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DEMAND TENDER ADMINISTRATOR FILES\2026 FILES\TENDERS ADVERTISED\JW104060RRR\"/>
    </mc:Choice>
  </mc:AlternateContent>
  <xr:revisionPtr revIDLastSave="0" documentId="8_{DA922AE9-1B4E-4F11-A9D4-6ADF53EFBDDC}" xr6:coauthVersionLast="47" xr6:coauthVersionMax="47" xr10:uidLastSave="{00000000-0000-0000-0000-000000000000}"/>
  <bookViews>
    <workbookView xWindow="-108" yWindow="-108" windowWidth="23256" windowHeight="13896" tabRatio="956" firstSheet="5" activeTab="12" xr2:uid="{E20E4D92-57E8-438D-BC07-A3384D2E9316}"/>
  </bookViews>
  <sheets>
    <sheet name="Cover Page" sheetId="2" r:id="rId1"/>
    <sheet name="1 - P &amp; G's" sheetId="3" r:id="rId2"/>
    <sheet name="2.1 - Civil - Site Clear" sheetId="4" r:id="rId3"/>
    <sheet name="2.2 - Civil New MCC for 6 Belts" sheetId="7" r:id="rId4"/>
    <sheet name="2.3 - Civil New MCC for 4 Belts" sheetId="6" r:id="rId5"/>
    <sheet name="2.4 Civil Solar Battery Room" sheetId="8" r:id="rId6"/>
    <sheet name="2.5 - Civil General" sheetId="9" r:id="rId7"/>
    <sheet name="3.1 - Mech Poly, Water &amp; Sludge" sheetId="10" r:id="rId8"/>
    <sheet name="3.2 -  Mech. Belt Presses " sheetId="11" r:id="rId9"/>
    <sheet name="4 -  Electrical Dewatering Gen" sheetId="12" r:id="rId10"/>
    <sheet name="5 - Instr and Control" sheetId="13" r:id="rId11"/>
    <sheet name="6 - Testing &amp; Commissioning" sheetId="14" r:id="rId12"/>
    <sheet name="Schedule Summary" sheetId="1" r:id="rId13"/>
  </sheets>
  <externalReferences>
    <externalReference r:id="rId14"/>
    <externalReference r:id="rId15"/>
  </externalReferences>
  <definedNames>
    <definedName name="_xlnm.Print_Area" localSheetId="0">'Cover Page'!$A$1:$F$28</definedName>
    <definedName name="_xlnm.Print_Area" localSheetId="12">'Schedule Summary'!$A$1:$E$31</definedName>
    <definedName name="_xlnm.Print_Titles" localSheetId="1">'1 - P &amp; G''s'!$1:$2</definedName>
    <definedName name="_xlnm.Print_Titles" localSheetId="3">'2.2 - Civil New MCC for 6 Belts'!$1:$2</definedName>
    <definedName name="_xlnm.Print_Titles" localSheetId="4">'2.3 - Civil New MCC for 4 Belts'!$1:$2</definedName>
    <definedName name="_xlnm.Print_Titles" localSheetId="5">'2.4 Civil Solar Battery Room'!$1:$2</definedName>
    <definedName name="_xlnm.Print_Titles" localSheetId="6">'2.5 - Civil General'!$1:$3</definedName>
    <definedName name="_xlnm.Print_Titles" localSheetId="7">'3.1 - Mech Poly, Water &amp; Sludge'!$1:$3</definedName>
    <definedName name="_xlnm.Print_Titles" localSheetId="8">'3.2 -  Mech. Belt Presses '!$1:$3</definedName>
    <definedName name="_xlnm.Print_Titles" localSheetId="9">'4 -  Electrical Dewatering Gen'!$1:$2</definedName>
    <definedName name="_xlnm.Print_Titles" localSheetId="10">'5 - Instr and Control'!$1:$2</definedName>
    <definedName name="_xlnm.Print_Titles" localSheetId="11">'6 - Testing &amp; Commissioning'!$1:$2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8" l="1"/>
  <c r="E10" i="6"/>
  <c r="E10" i="7"/>
  <c r="E38" i="7"/>
  <c r="E37" i="6"/>
  <c r="E122" i="8" l="1"/>
  <c r="E121" i="8"/>
  <c r="E119" i="8"/>
  <c r="E120" i="8" s="1"/>
  <c r="E105" i="8"/>
  <c r="E108" i="8" s="1"/>
  <c r="E100" i="8"/>
  <c r="E98" i="8"/>
  <c r="E132" i="6"/>
  <c r="E131" i="6"/>
  <c r="E129" i="6"/>
  <c r="E130" i="6"/>
  <c r="E107" i="7"/>
  <c r="E108" i="6"/>
  <c r="E111" i="6" s="1"/>
  <c r="E103" i="6"/>
  <c r="E101" i="6"/>
  <c r="E139" i="7"/>
  <c r="E138" i="7"/>
  <c r="E136" i="7"/>
  <c r="E137" i="7" s="1"/>
  <c r="E110" i="7" l="1"/>
  <c r="E102" i="7"/>
  <c r="E100" i="7"/>
  <c r="C5" i="7" l="1"/>
  <c r="C5" i="8"/>
  <c r="C5" i="6"/>
  <c r="E51" i="6" l="1"/>
  <c r="E59" i="6" s="1"/>
  <c r="E110" i="10" l="1"/>
  <c r="E108" i="10"/>
  <c r="E107" i="10"/>
  <c r="E106" i="10"/>
  <c r="E53" i="10"/>
  <c r="E51" i="10"/>
  <c r="E50" i="10"/>
  <c r="E49" i="10"/>
  <c r="E100" i="9"/>
  <c r="E99" i="9"/>
  <c r="E65" i="9"/>
  <c r="H2" i="9"/>
  <c r="K2" i="9"/>
  <c r="C6" i="9"/>
  <c r="J10" i="9"/>
  <c r="M10" i="9"/>
  <c r="J11" i="9"/>
  <c r="M11" i="9"/>
  <c r="E12" i="9"/>
  <c r="J12" i="9"/>
  <c r="M12" i="9"/>
  <c r="J15" i="9"/>
  <c r="M15" i="9"/>
  <c r="J16" i="9"/>
  <c r="M16" i="9"/>
  <c r="J17" i="9"/>
  <c r="M17" i="9"/>
  <c r="E21" i="9"/>
  <c r="J21" i="9"/>
  <c r="M21" i="9"/>
  <c r="E22" i="9"/>
  <c r="J22" i="9"/>
  <c r="M22" i="9"/>
  <c r="J26" i="9"/>
  <c r="M26" i="9"/>
  <c r="E27" i="9"/>
  <c r="E28" i="9"/>
  <c r="E29" i="9"/>
  <c r="E30" i="9"/>
  <c r="E33" i="9"/>
  <c r="E34" i="9"/>
  <c r="E35" i="9"/>
  <c r="E36" i="9"/>
  <c r="E38" i="9"/>
  <c r="H38" i="9"/>
  <c r="J38" i="9" s="1"/>
  <c r="K38" i="9"/>
  <c r="M38" i="9" s="1"/>
  <c r="E40" i="9"/>
  <c r="H40" i="9"/>
  <c r="J40" i="9" s="1"/>
  <c r="K40" i="9"/>
  <c r="M40" i="9" s="1"/>
  <c r="J44" i="9"/>
  <c r="M44" i="9"/>
  <c r="J45" i="9"/>
  <c r="M45" i="9"/>
  <c r="J48" i="9"/>
  <c r="M48" i="9"/>
  <c r="H61" i="9"/>
  <c r="I65" i="9" s="1"/>
  <c r="J65" i="9" s="1"/>
  <c r="K61" i="9"/>
  <c r="L65" i="9" s="1"/>
  <c r="M65" i="9" s="1"/>
  <c r="H62" i="9"/>
  <c r="J62" i="9" s="1"/>
  <c r="K62" i="9"/>
  <c r="M62" i="9" s="1"/>
  <c r="H63" i="9"/>
  <c r="I63" i="9"/>
  <c r="L63" i="9"/>
  <c r="M63" i="9" s="1"/>
  <c r="H64" i="9"/>
  <c r="J64" i="9" s="1"/>
  <c r="K64" i="9"/>
  <c r="M64" i="9" s="1"/>
  <c r="I66" i="9"/>
  <c r="J66" i="9" s="1"/>
  <c r="L66" i="9"/>
  <c r="M66" i="9" s="1"/>
  <c r="I69" i="9"/>
  <c r="J69" i="9" s="1"/>
  <c r="L69" i="9"/>
  <c r="M69" i="9" s="1"/>
  <c r="I70" i="9"/>
  <c r="J70" i="9" s="1"/>
  <c r="L70" i="9"/>
  <c r="M70" i="9" s="1"/>
  <c r="J71" i="9"/>
  <c r="M71" i="9"/>
  <c r="I73" i="9"/>
  <c r="J73" i="9" s="1"/>
  <c r="L73" i="9"/>
  <c r="M73" i="9" s="1"/>
  <c r="H79" i="9"/>
  <c r="I79" i="9"/>
  <c r="K79" i="9"/>
  <c r="L79" i="9"/>
  <c r="I84" i="9"/>
  <c r="J84" i="9" s="1"/>
  <c r="L84" i="9"/>
  <c r="M84" i="9" s="1"/>
  <c r="E45" i="9" l="1"/>
  <c r="J63" i="9"/>
  <c r="E15" i="9"/>
  <c r="E16" i="9" s="1"/>
  <c r="M79" i="9"/>
  <c r="M61" i="9"/>
  <c r="J79" i="9"/>
  <c r="E17" i="9"/>
  <c r="J61" i="9"/>
  <c r="M99" i="9"/>
  <c r="E77" i="10"/>
  <c r="J99" i="9" l="1"/>
  <c r="C4" i="14"/>
  <c r="E133" i="11"/>
  <c r="E132" i="11"/>
  <c r="E131" i="11"/>
  <c r="E130" i="11"/>
  <c r="E129" i="11"/>
  <c r="E128" i="11"/>
  <c r="E127" i="11"/>
  <c r="E126" i="11"/>
  <c r="E123" i="11"/>
  <c r="E122" i="11"/>
  <c r="E120" i="11"/>
  <c r="E117" i="11"/>
  <c r="E116" i="11"/>
  <c r="E115" i="11"/>
  <c r="E114" i="11"/>
  <c r="E113" i="11"/>
  <c r="L93" i="11"/>
  <c r="M93" i="11" s="1"/>
  <c r="I93" i="11"/>
  <c r="J93" i="11" s="1"/>
  <c r="L90" i="11"/>
  <c r="M90" i="11" s="1"/>
  <c r="I90" i="11"/>
  <c r="J90" i="11" s="1"/>
  <c r="L89" i="11"/>
  <c r="M89" i="11" s="1"/>
  <c r="I89" i="11"/>
  <c r="J89" i="11" s="1"/>
  <c r="L86" i="11"/>
  <c r="M86" i="11" s="1"/>
  <c r="I86" i="11"/>
  <c r="J86" i="11" s="1"/>
  <c r="L85" i="11"/>
  <c r="M85" i="11" s="1"/>
  <c r="I85" i="11"/>
  <c r="J85" i="11" s="1"/>
  <c r="L84" i="11"/>
  <c r="M84" i="11" s="1"/>
  <c r="I84" i="11"/>
  <c r="J84" i="11" s="1"/>
  <c r="L83" i="11"/>
  <c r="M83" i="11" s="1"/>
  <c r="I83" i="11"/>
  <c r="J83" i="11" s="1"/>
  <c r="L82" i="11"/>
  <c r="M82" i="11" s="1"/>
  <c r="I82" i="11"/>
  <c r="J82" i="11" s="1"/>
  <c r="L79" i="11"/>
  <c r="K79" i="11"/>
  <c r="I79" i="11"/>
  <c r="H79" i="11"/>
  <c r="E79" i="11"/>
  <c r="L78" i="11"/>
  <c r="K78" i="11"/>
  <c r="I78" i="11"/>
  <c r="H78" i="11"/>
  <c r="E78" i="11"/>
  <c r="L77" i="11"/>
  <c r="K77" i="11"/>
  <c r="I77" i="11"/>
  <c r="H77" i="11"/>
  <c r="E77" i="11"/>
  <c r="L76" i="11"/>
  <c r="K76" i="11"/>
  <c r="M76" i="11" s="1"/>
  <c r="I76" i="11"/>
  <c r="H76" i="11"/>
  <c r="E76" i="11"/>
  <c r="M75" i="11"/>
  <c r="J75" i="11"/>
  <c r="M74" i="11"/>
  <c r="J74" i="11"/>
  <c r="L73" i="11"/>
  <c r="M73" i="11" s="1"/>
  <c r="I73" i="11"/>
  <c r="J73" i="11" s="1"/>
  <c r="M72" i="11"/>
  <c r="J72" i="11"/>
  <c r="H71" i="11"/>
  <c r="J71" i="11" s="1"/>
  <c r="L67" i="11"/>
  <c r="M67" i="11" s="1"/>
  <c r="I67" i="11"/>
  <c r="J67" i="11" s="1"/>
  <c r="L66" i="11"/>
  <c r="I66" i="11"/>
  <c r="L58" i="11"/>
  <c r="M58" i="11" s="1"/>
  <c r="I58" i="11"/>
  <c r="J58" i="11" s="1"/>
  <c r="M53" i="11"/>
  <c r="J53" i="11"/>
  <c r="H52" i="11"/>
  <c r="J52" i="11" s="1"/>
  <c r="M48" i="11"/>
  <c r="J48" i="11"/>
  <c r="H47" i="11"/>
  <c r="J47" i="11" s="1"/>
  <c r="H46" i="11"/>
  <c r="J46" i="11" s="1"/>
  <c r="M45" i="11"/>
  <c r="J45" i="11"/>
  <c r="K41" i="11"/>
  <c r="M41" i="11" s="1"/>
  <c r="H41" i="11"/>
  <c r="J41" i="11" s="1"/>
  <c r="E41" i="11"/>
  <c r="K40" i="11"/>
  <c r="M40" i="11" s="1"/>
  <c r="H40" i="11"/>
  <c r="J40" i="11" s="1"/>
  <c r="E40" i="11"/>
  <c r="K39" i="11"/>
  <c r="M39" i="11" s="1"/>
  <c r="H39" i="11"/>
  <c r="J39" i="11" s="1"/>
  <c r="E39" i="11"/>
  <c r="M38" i="11"/>
  <c r="J38" i="11"/>
  <c r="M36" i="11"/>
  <c r="J36" i="11"/>
  <c r="L26" i="11"/>
  <c r="I26" i="11"/>
  <c r="H26" i="11"/>
  <c r="L25" i="11"/>
  <c r="M25" i="11" s="1"/>
  <c r="I25" i="11"/>
  <c r="J25" i="11" s="1"/>
  <c r="L24" i="11"/>
  <c r="I24" i="11"/>
  <c r="H24" i="11"/>
  <c r="L23" i="11"/>
  <c r="I23" i="11"/>
  <c r="H23" i="11"/>
  <c r="L22" i="11"/>
  <c r="L65" i="11" s="1"/>
  <c r="K22" i="11"/>
  <c r="K26" i="11" s="1"/>
  <c r="I22" i="11"/>
  <c r="E22" i="11"/>
  <c r="E66" i="11" s="1"/>
  <c r="L18" i="11"/>
  <c r="M18" i="11" s="1"/>
  <c r="I18" i="11"/>
  <c r="J18" i="11" s="1"/>
  <c r="L17" i="11"/>
  <c r="M17" i="11" s="1"/>
  <c r="I17" i="11"/>
  <c r="J17" i="11" s="1"/>
  <c r="M14" i="11"/>
  <c r="J14" i="11"/>
  <c r="L13" i="11"/>
  <c r="K13" i="11"/>
  <c r="I13" i="11"/>
  <c r="H13" i="11"/>
  <c r="E13" i="11"/>
  <c r="L12" i="11"/>
  <c r="M12" i="11" s="1"/>
  <c r="I12" i="11"/>
  <c r="J12" i="11" s="1"/>
  <c r="L11" i="11"/>
  <c r="K11" i="11"/>
  <c r="I11" i="11"/>
  <c r="H11" i="11"/>
  <c r="L10" i="11"/>
  <c r="M10" i="11" s="1"/>
  <c r="I10" i="11"/>
  <c r="J10" i="11" s="1"/>
  <c r="C6" i="11"/>
  <c r="K2" i="11"/>
  <c r="H2" i="11"/>
  <c r="E19" i="10"/>
  <c r="E123" i="10"/>
  <c r="E114" i="10"/>
  <c r="E69" i="10"/>
  <c r="E57" i="10"/>
  <c r="E43" i="10"/>
  <c r="E42" i="10"/>
  <c r="E38" i="10"/>
  <c r="E36" i="10"/>
  <c r="E34" i="10"/>
  <c r="C5" i="10"/>
  <c r="J11" i="11" l="1"/>
  <c r="J23" i="11"/>
  <c r="J13" i="11"/>
  <c r="E30" i="11"/>
  <c r="M11" i="11"/>
  <c r="M77" i="11"/>
  <c r="J79" i="11"/>
  <c r="M26" i="11"/>
  <c r="J76" i="11"/>
  <c r="E26" i="11"/>
  <c r="M79" i="11"/>
  <c r="I65" i="11"/>
  <c r="J22" i="11"/>
  <c r="M13" i="11"/>
  <c r="J78" i="11"/>
  <c r="J26" i="11"/>
  <c r="M78" i="11"/>
  <c r="J24" i="11"/>
  <c r="K47" i="11"/>
  <c r="M47" i="11" s="1"/>
  <c r="J77" i="11"/>
  <c r="H65" i="11"/>
  <c r="K23" i="11"/>
  <c r="M23" i="11" s="1"/>
  <c r="K24" i="11"/>
  <c r="M24" i="11" s="1"/>
  <c r="K46" i="11"/>
  <c r="M46" i="11" s="1"/>
  <c r="H66" i="11"/>
  <c r="J66" i="11" s="1"/>
  <c r="K71" i="11"/>
  <c r="M71" i="11" s="1"/>
  <c r="M22" i="11"/>
  <c r="K52" i="11"/>
  <c r="M52" i="11" s="1"/>
  <c r="E23" i="11"/>
  <c r="K66" i="11"/>
  <c r="M66" i="11" s="1"/>
  <c r="K65" i="11"/>
  <c r="M65" i="11" s="1"/>
  <c r="E65" i="11"/>
  <c r="E71" i="11"/>
  <c r="E42" i="11"/>
  <c r="E52" i="11"/>
  <c r="J65" i="11" l="1"/>
  <c r="E94" i="8" l="1"/>
  <c r="E92" i="8"/>
  <c r="E93" i="8" s="1"/>
  <c r="E77" i="8"/>
  <c r="E63" i="8"/>
  <c r="E116" i="8" s="1"/>
  <c r="E56" i="8"/>
  <c r="E52" i="8"/>
  <c r="E60" i="8" s="1"/>
  <c r="E51" i="8"/>
  <c r="E59" i="8" s="1"/>
  <c r="E49" i="8"/>
  <c r="E46" i="8"/>
  <c r="E45" i="8"/>
  <c r="E32" i="8" s="1"/>
  <c r="E37" i="8"/>
  <c r="E50" i="8" s="1"/>
  <c r="E25" i="8"/>
  <c r="E23" i="8"/>
  <c r="E22" i="8"/>
  <c r="E17" i="8"/>
  <c r="E12" i="8"/>
  <c r="E9" i="8"/>
  <c r="E12" i="7"/>
  <c r="E96" i="7"/>
  <c r="E94" i="7"/>
  <c r="E76" i="7"/>
  <c r="E70" i="7" s="1"/>
  <c r="E61" i="7"/>
  <c r="E62" i="7" s="1"/>
  <c r="E55" i="7"/>
  <c r="E48" i="7"/>
  <c r="E57" i="7" s="1"/>
  <c r="E47" i="7"/>
  <c r="E45" i="7"/>
  <c r="E34" i="7" s="1"/>
  <c r="E44" i="7"/>
  <c r="E43" i="7"/>
  <c r="E58" i="7" s="1"/>
  <c r="E46" i="7"/>
  <c r="E25" i="7"/>
  <c r="E23" i="7"/>
  <c r="E22" i="7"/>
  <c r="E17" i="7"/>
  <c r="E9" i="7"/>
  <c r="E97" i="6"/>
  <c r="E95" i="6"/>
  <c r="E96" i="6" s="1"/>
  <c r="E78" i="6"/>
  <c r="E75" i="6" s="1"/>
  <c r="E64" i="6"/>
  <c r="E119" i="6" s="1"/>
  <c r="E54" i="6"/>
  <c r="E53" i="6"/>
  <c r="E61" i="6" s="1"/>
  <c r="E46" i="6"/>
  <c r="E45" i="6"/>
  <c r="E33" i="6" s="1"/>
  <c r="E52" i="6"/>
  <c r="E25" i="6"/>
  <c r="E23" i="6"/>
  <c r="E22" i="6"/>
  <c r="E31" i="6" s="1"/>
  <c r="E17" i="6"/>
  <c r="E12" i="6"/>
  <c r="E15" i="6" s="1"/>
  <c r="E9" i="6"/>
  <c r="E25" i="4"/>
  <c r="C4" i="4"/>
  <c r="E92" i="3"/>
  <c r="E91" i="3"/>
  <c r="E90" i="3"/>
  <c r="E89" i="3"/>
  <c r="E73" i="7" l="1"/>
  <c r="E80" i="7" s="1"/>
  <c r="E81" i="7" s="1"/>
  <c r="E15" i="8"/>
  <c r="E26" i="6"/>
  <c r="E26" i="7"/>
  <c r="E56" i="7"/>
  <c r="E32" i="7"/>
  <c r="E57" i="8"/>
  <c r="E69" i="8"/>
  <c r="E71" i="8"/>
  <c r="E31" i="8"/>
  <c r="E74" i="8"/>
  <c r="E33" i="8"/>
  <c r="E58" i="8"/>
  <c r="E61" i="8"/>
  <c r="E26" i="8"/>
  <c r="E64" i="8"/>
  <c r="E41" i="8"/>
  <c r="E121" i="7"/>
  <c r="E95" i="7"/>
  <c r="E33" i="7"/>
  <c r="E68" i="7"/>
  <c r="E65" i="6"/>
  <c r="E16" i="6"/>
  <c r="E60" i="6"/>
  <c r="E82" i="6"/>
  <c r="E32" i="6"/>
  <c r="E41" i="6"/>
  <c r="E70" i="6"/>
  <c r="E62" i="6"/>
  <c r="E72" i="6"/>
  <c r="E16" i="8" l="1"/>
  <c r="E34" i="6"/>
  <c r="E35" i="7"/>
  <c r="E81" i="8"/>
  <c r="E34" i="8"/>
  <c r="E41" i="7"/>
  <c r="E83" i="6"/>
  <c r="E82" i="8" l="1"/>
  <c r="E54" i="7" l="1"/>
  <c r="E15" i="7"/>
  <c r="E16" i="7" s="1"/>
</calcChain>
</file>

<file path=xl/sharedStrings.xml><?xml version="1.0" encoding="utf-8"?>
<sst xmlns="http://schemas.openxmlformats.org/spreadsheetml/2006/main" count="3676" uniqueCount="1981">
  <si>
    <t xml:space="preserve">SUMMARY OF BILL OF QUANTITIES </t>
  </si>
  <si>
    <t>DESCRIPTION</t>
  </si>
  <si>
    <t>AMOUNT</t>
  </si>
  <si>
    <t>SCHEDULE 1 : PRELIMINARY &amp; GENERAL</t>
  </si>
  <si>
    <t>ITEM
No.</t>
  </si>
  <si>
    <t>PAYM.
REFERS</t>
  </si>
  <si>
    <t>UNIT</t>
  </si>
  <si>
    <t>QTY</t>
  </si>
  <si>
    <t>RATE</t>
  </si>
  <si>
    <t xml:space="preserve">   AMOUNT</t>
  </si>
  <si>
    <t>SANS 1200 A</t>
  </si>
  <si>
    <t>SCHEDULED FIXED-CHARGE AND VALUE RELATED ITEMS</t>
  </si>
  <si>
    <t>1.1.1</t>
  </si>
  <si>
    <t>8.3.1</t>
  </si>
  <si>
    <t>Contractual Requirements</t>
  </si>
  <si>
    <t>Sum</t>
  </si>
  <si>
    <t>1.1.2</t>
  </si>
  <si>
    <t>8.3.2</t>
  </si>
  <si>
    <t>Establishment of Facilities on Site</t>
  </si>
  <si>
    <t>1.1.3</t>
  </si>
  <si>
    <t>8.3.2.1</t>
  </si>
  <si>
    <t>Facilities for the Employer's Agent</t>
  </si>
  <si>
    <t>1.1.4</t>
  </si>
  <si>
    <t>a) Furnished Office (1 No.)</t>
  </si>
  <si>
    <t>1.1.5</t>
  </si>
  <si>
    <t>b) Nameboard (1 No.)</t>
  </si>
  <si>
    <t>1.1.6</t>
  </si>
  <si>
    <t>8.3.2.2</t>
  </si>
  <si>
    <t>Facilities for Contractor:</t>
  </si>
  <si>
    <t>a) Offices and storage sheds</t>
  </si>
  <si>
    <t>b) Workshops</t>
  </si>
  <si>
    <t>1.1.10</t>
  </si>
  <si>
    <t>c) Laboratories</t>
  </si>
  <si>
    <t>1.1.11</t>
  </si>
  <si>
    <t>d) Living Accommodation</t>
  </si>
  <si>
    <t>1.1.12</t>
  </si>
  <si>
    <t>e) Ablution and latrine facilities</t>
  </si>
  <si>
    <t>1.1.13</t>
  </si>
  <si>
    <t>f) Tools and equipment</t>
  </si>
  <si>
    <t>1.1.14</t>
  </si>
  <si>
    <t>g) Water supplies, electric power and communications</t>
  </si>
  <si>
    <t>1.1.15</t>
  </si>
  <si>
    <t>h) Dealing with water</t>
  </si>
  <si>
    <t>1.1.16</t>
  </si>
  <si>
    <t>1.1.17</t>
  </si>
  <si>
    <t>j) Plant (Construction Equipment)</t>
  </si>
  <si>
    <t>1.1.18</t>
  </si>
  <si>
    <t>8.3.3</t>
  </si>
  <si>
    <t>Other Fixed-charge Obligations</t>
  </si>
  <si>
    <t>1.1.19</t>
  </si>
  <si>
    <t>a) Compliance with the Health &amp; Safety Specification and Plan</t>
  </si>
  <si>
    <t>1.1.20</t>
  </si>
  <si>
    <t>b) Compliance with the Environmental Management Plan</t>
  </si>
  <si>
    <t>1.1.21</t>
  </si>
  <si>
    <t>c) Establish Survey Control</t>
  </si>
  <si>
    <t>1.1.22</t>
  </si>
  <si>
    <t>1.1.25</t>
  </si>
  <si>
    <t>8.3.4</t>
  </si>
  <si>
    <t>Removal of Site Establishment</t>
  </si>
  <si>
    <t>SCHEDULED TIME-RELATED ITEMS</t>
  </si>
  <si>
    <t>1.2.1</t>
  </si>
  <si>
    <t>8.4.1</t>
  </si>
  <si>
    <t>1.2.2</t>
  </si>
  <si>
    <t>8.4.2</t>
  </si>
  <si>
    <t>Operation and Maintenance of Facilities on Site for the Duration of Construction, except where otherwise stated</t>
  </si>
  <si>
    <t>1.2.3</t>
  </si>
  <si>
    <t>8.4.2.1</t>
  </si>
  <si>
    <t>Facilities for Employer's Agent</t>
  </si>
  <si>
    <t>1.2.4</t>
  </si>
  <si>
    <t>1.2.5</t>
  </si>
  <si>
    <t>8.4.2.2</t>
  </si>
  <si>
    <t>1.2.6</t>
  </si>
  <si>
    <t>1.2.7</t>
  </si>
  <si>
    <t>1.2.8</t>
  </si>
  <si>
    <t>1.2.9</t>
  </si>
  <si>
    <t>1.2.10</t>
  </si>
  <si>
    <t>1.2.11</t>
  </si>
  <si>
    <t>1.2.12</t>
  </si>
  <si>
    <t>1.2.13</t>
  </si>
  <si>
    <t>1.2.14</t>
  </si>
  <si>
    <t>1.2.15</t>
  </si>
  <si>
    <t xml:space="preserve">                                            </t>
  </si>
  <si>
    <t>1.2.16</t>
  </si>
  <si>
    <t>PSA 8.4.3</t>
  </si>
  <si>
    <t>Supervision for Duration of Construction</t>
  </si>
  <si>
    <t>1.2.17</t>
  </si>
  <si>
    <t>8.4.4</t>
  </si>
  <si>
    <t>Company and Head Office Overhead Costs for the Duration of the Contract</t>
  </si>
  <si>
    <t>TOTAL CARRIED FORWARD</t>
  </si>
  <si>
    <t>TOTAL BROUGHT FORWARD</t>
  </si>
  <si>
    <t>1.2.18</t>
  </si>
  <si>
    <t>8.4.5</t>
  </si>
  <si>
    <t>Other Time-related Obligations</t>
  </si>
  <si>
    <t>1.2.19</t>
  </si>
  <si>
    <t>a) Compliance with the Health and Safety Specification</t>
  </si>
  <si>
    <t>1.2.20</t>
  </si>
  <si>
    <t>1.2.21</t>
  </si>
  <si>
    <t>c) Maintain Survey Control</t>
  </si>
  <si>
    <t>1.2.22</t>
  </si>
  <si>
    <t>d) Subcontractor Management</t>
  </si>
  <si>
    <t>1.2.23</t>
  </si>
  <si>
    <t>1.2.24</t>
  </si>
  <si>
    <t>SUMS STATED PROVISIONALLY BY EMPLOYER'S AGENT</t>
  </si>
  <si>
    <t>1.3.1</t>
  </si>
  <si>
    <t>P.Sum</t>
  </si>
  <si>
    <t>1.3.2</t>
  </si>
  <si>
    <t>Contractor's stated commission on the 1.3.1 provisional sum above</t>
  </si>
  <si>
    <t>%</t>
  </si>
  <si>
    <t>1.3.3</t>
  </si>
  <si>
    <t>1.3.4</t>
  </si>
  <si>
    <t>Contractor's stated commission on the 1.3.3 provisional sum above</t>
  </si>
  <si>
    <t>1.3.5</t>
  </si>
  <si>
    <t>1.3.6</t>
  </si>
  <si>
    <t>Contractor's stated commission on the 1.3.5 provisional sum above</t>
  </si>
  <si>
    <t>1.3.7</t>
  </si>
  <si>
    <t>PSX 6.7</t>
  </si>
  <si>
    <t>1.3.8</t>
  </si>
  <si>
    <t>1.3.9</t>
  </si>
  <si>
    <t>PSX 6.6</t>
  </si>
  <si>
    <t>1.3.10</t>
  </si>
  <si>
    <t>Contractor's stated commission on the 1.3.9 provisional sum above</t>
  </si>
  <si>
    <t>PSA 8.7</t>
  </si>
  <si>
    <t>DAYWORKS (Provisional)</t>
  </si>
  <si>
    <t>1.4.1</t>
  </si>
  <si>
    <t>Labour:</t>
  </si>
  <si>
    <t>1.4.2</t>
  </si>
  <si>
    <t>a) Foreman</t>
  </si>
  <si>
    <t>hour</t>
  </si>
  <si>
    <t>1.4.3</t>
  </si>
  <si>
    <t>b) Skilled</t>
  </si>
  <si>
    <t>1.4.4</t>
  </si>
  <si>
    <t>c) Semi-skilled</t>
  </si>
  <si>
    <t>1.4.5</t>
  </si>
  <si>
    <t>d) Unskilled</t>
  </si>
  <si>
    <t>1.4.7</t>
  </si>
  <si>
    <t>Plant Equipment:</t>
  </si>
  <si>
    <t>1.4.9</t>
  </si>
  <si>
    <t>1.4.14</t>
  </si>
  <si>
    <t>c) TLB</t>
  </si>
  <si>
    <t>d) Plate compactor</t>
  </si>
  <si>
    <t>e) Generator and Breaker</t>
  </si>
  <si>
    <t>f) Min. 10 ton Mobile Crane truck</t>
  </si>
  <si>
    <t>g) Other (Tenderer to specify)…………………………</t>
  </si>
  <si>
    <t>Materials i.e. Backfilling sand, Polyelectrolyte,  etc, :</t>
  </si>
  <si>
    <t>a) Supplied by the Contractor under Dayworks</t>
  </si>
  <si>
    <t>CONTRACTORS DOCUMENTATION FOR ALL SUPPLIED EQUIPMENT</t>
  </si>
  <si>
    <t>1.6.1</t>
  </si>
  <si>
    <t>Operations and Maintenance Manuals</t>
  </si>
  <si>
    <t>The cost shall include for the preparation, submission and
acceptance by the Employer's Agent and shall be broken down as follows:
• 50% on submission of the Draft O &amp; M Manuals
• 25% on acceptance by the Employer's Agent of the Final O &amp; M
Manuals
• 25% after the successful commissioning of the works
and training of the Employers Personnel</t>
  </si>
  <si>
    <t>1.6.2</t>
  </si>
  <si>
    <t>Preparation of As-Built or Record Drawings</t>
  </si>
  <si>
    <t>The cost shall include for the preparation, submission and acceptance by the Employer's Agent and shall only be due once the works have been successfully tested and commissioned.</t>
  </si>
  <si>
    <t>sum</t>
  </si>
  <si>
    <t>DEFECTS LIABILITY PERIOD</t>
  </si>
  <si>
    <t>1.7.1</t>
  </si>
  <si>
    <t>Months</t>
  </si>
  <si>
    <t>No.</t>
  </si>
  <si>
    <t>SCHEDULE 2.1 : CIVIL ENGINEERING - SITE CLEARANCE</t>
  </si>
  <si>
    <t>2.1.1</t>
  </si>
  <si>
    <t>SANS 1200C</t>
  </si>
  <si>
    <t>SITE CLEARANCE</t>
  </si>
  <si>
    <t>8.2.1</t>
  </si>
  <si>
    <t>Clear and Grub</t>
  </si>
  <si>
    <t>a) Contractor Site Establishment</t>
  </si>
  <si>
    <t>ha</t>
  </si>
  <si>
    <t>b) New MCC Building for the Belt Press Set A</t>
  </si>
  <si>
    <t>8.2.2</t>
  </si>
  <si>
    <t>Remove and grub large trees and tree stumps of girth</t>
  </si>
  <si>
    <t>Over 1 m and up to and including 2 m</t>
  </si>
  <si>
    <t>b) MCC for the Belt Press Set A  - removal of paving and concrete road surface.</t>
  </si>
  <si>
    <t>c) MCC for the Belt Press Set C  - removal of paving and concrete road surface.</t>
  </si>
  <si>
    <t>8.2.8</t>
  </si>
  <si>
    <t>Demolish and remove structures/buildings and dismantle steelwork, etc.</t>
  </si>
  <si>
    <t>d) Existing MCC for the A &amp; C Belt Press  - Demolish and remove structure</t>
  </si>
  <si>
    <t>PSC 8.2.9</t>
  </si>
  <si>
    <t>Transport materials and debris:</t>
  </si>
  <si>
    <t>Rates tendered shall include for all haul to a registered municipal dump including any dumping charges levied.</t>
  </si>
  <si>
    <t>m³.km</t>
  </si>
  <si>
    <t>Demolished building and structures (see clause payment clause 8.2.8)</t>
  </si>
  <si>
    <t>2.1.2</t>
  </si>
  <si>
    <t>2.1.3</t>
  </si>
  <si>
    <t>2.1.4</t>
  </si>
  <si>
    <t>2.1.5</t>
  </si>
  <si>
    <t>2.1.6</t>
  </si>
  <si>
    <t>2.1.7</t>
  </si>
  <si>
    <t>2.1.8</t>
  </si>
  <si>
    <t>2.1.9</t>
  </si>
  <si>
    <t>2.1.10</t>
  </si>
  <si>
    <t>2.1.11</t>
  </si>
  <si>
    <t>2.1.12</t>
  </si>
  <si>
    <t>2.1.13</t>
  </si>
  <si>
    <t>2.1.14</t>
  </si>
  <si>
    <t>2.1.15</t>
  </si>
  <si>
    <t>2.1.16</t>
  </si>
  <si>
    <t>2.1.17</t>
  </si>
  <si>
    <t>2.1.18</t>
  </si>
  <si>
    <t>2.1.19</t>
  </si>
  <si>
    <t>2.1.20</t>
  </si>
  <si>
    <t>2.1.21</t>
  </si>
  <si>
    <t>SCHEDULE 2.2 : CIVIL ENGINEERING - NEW MCC FOR BELT PRESS SET A (6 no. off)</t>
  </si>
  <si>
    <t>SANS 1200D</t>
  </si>
  <si>
    <t>Earth Works</t>
  </si>
  <si>
    <t>2.2.1</t>
  </si>
  <si>
    <t>Site Preparation</t>
  </si>
  <si>
    <t>2.2.2</t>
  </si>
  <si>
    <t>8.3.1.1</t>
  </si>
  <si>
    <t>Clear and strip site</t>
  </si>
  <si>
    <t>m²</t>
  </si>
  <si>
    <t>2.2.3</t>
  </si>
  <si>
    <t>8.3.1.2</t>
  </si>
  <si>
    <t>Remove topsoil to nominal depth 150mm, stockpile and maintain</t>
  </si>
  <si>
    <t>2.2.4</t>
  </si>
  <si>
    <t>8.3.8.1</t>
  </si>
  <si>
    <t>Location</t>
  </si>
  <si>
    <t>2.2.5</t>
  </si>
  <si>
    <t>m³</t>
  </si>
  <si>
    <t>2.2.6</t>
  </si>
  <si>
    <t>2.2.7</t>
  </si>
  <si>
    <t>Extra-over for:</t>
  </si>
  <si>
    <t>2.2.8</t>
  </si>
  <si>
    <t>1) Intermediate excavation</t>
  </si>
  <si>
    <t>2.2.9</t>
  </si>
  <si>
    <t>2) Hard Rock excavation</t>
  </si>
  <si>
    <t>2.2.10</t>
  </si>
  <si>
    <t>8.3.9</t>
  </si>
  <si>
    <t>Extra-over for Backfill Material against Structures</t>
  </si>
  <si>
    <t>2.2.17</t>
  </si>
  <si>
    <t>SANS 1200G</t>
  </si>
  <si>
    <t>Concrete Structural</t>
  </si>
  <si>
    <t>2.2.18</t>
  </si>
  <si>
    <t>Scheduled Formwork Items</t>
  </si>
  <si>
    <t>2.2.19</t>
  </si>
  <si>
    <t>Rough</t>
  </si>
  <si>
    <t>2.2.20</t>
  </si>
  <si>
    <t>2.2.21</t>
  </si>
  <si>
    <t>2.2.22</t>
  </si>
  <si>
    <t>8.2.4</t>
  </si>
  <si>
    <t>2.2.23</t>
  </si>
  <si>
    <t>(1) Vertical to Roof Slab Edge</t>
  </si>
  <si>
    <t>2.2.24</t>
  </si>
  <si>
    <t>(2) Horizontal to Roof slab</t>
  </si>
  <si>
    <t>2.2.25</t>
  </si>
  <si>
    <t>Scheduled Replacement Items</t>
  </si>
  <si>
    <t>2.2.26</t>
  </si>
  <si>
    <t>Steel Bars</t>
  </si>
  <si>
    <t>2.2.27</t>
  </si>
  <si>
    <t>High-tensile steel</t>
  </si>
  <si>
    <t>2.2.28</t>
  </si>
  <si>
    <t>Nominal size 25mm to:</t>
  </si>
  <si>
    <t>2.2.29</t>
  </si>
  <si>
    <t>Strip Footing Foundations</t>
  </si>
  <si>
    <t>t</t>
  </si>
  <si>
    <t>2.2.30</t>
  </si>
  <si>
    <t>Concrete Floor Slabs</t>
  </si>
  <si>
    <t>2.2.32</t>
  </si>
  <si>
    <t>Cable Trench Floor Slab</t>
  </si>
  <si>
    <t>Roof Slab</t>
  </si>
  <si>
    <t>2.2.33</t>
  </si>
  <si>
    <t>High-Tensile Welded Mesh:</t>
  </si>
  <si>
    <t>2.2.34</t>
  </si>
  <si>
    <t>(1) Floor Slab - Mesh Ref. 193</t>
  </si>
  <si>
    <t>2.2.35</t>
  </si>
  <si>
    <t>Slab to entrances</t>
  </si>
  <si>
    <t>2.2.36</t>
  </si>
  <si>
    <t>Scheduled Concrete Items</t>
  </si>
  <si>
    <t>2.2.37</t>
  </si>
  <si>
    <t>Blinding Layer</t>
  </si>
  <si>
    <t>2.2.38</t>
  </si>
  <si>
    <t>(1) 15 Mpa no-fines concrete 50 mm thick</t>
  </si>
  <si>
    <t>2.2.39</t>
  </si>
  <si>
    <t>8.4.3</t>
  </si>
  <si>
    <t>Strength Grade Concrete</t>
  </si>
  <si>
    <t>2.2.41</t>
  </si>
  <si>
    <t>(1.1) Floor Slab</t>
  </si>
  <si>
    <t>2.2.42</t>
  </si>
  <si>
    <t>(1.2) Strip Footing Foundations</t>
  </si>
  <si>
    <t>2.2.43</t>
  </si>
  <si>
    <t>(1.3) Cable Trench Floor Slab</t>
  </si>
  <si>
    <t>2.2.44</t>
  </si>
  <si>
    <t>(1.4) Ramps to doorways</t>
  </si>
  <si>
    <t>2.2.45</t>
  </si>
  <si>
    <t>(1.5) Roof Slab</t>
  </si>
  <si>
    <t>2.2.46</t>
  </si>
  <si>
    <t>(1.6) Apron slabs</t>
  </si>
  <si>
    <t>2.2.47</t>
  </si>
  <si>
    <t>Unformed Surface Finishes</t>
  </si>
  <si>
    <t>2.2.48</t>
  </si>
  <si>
    <t>(1) Wood-floated finish to</t>
  </si>
  <si>
    <t>2.2.49</t>
  </si>
  <si>
    <t>Steel Fasteners (various sizes) for mounting of structural steelwork items including washers and corrosion isolation materials between dissimilar metals e.g. M16 or M20 threaded bolts, nuts and washers</t>
  </si>
  <si>
    <t>2.2.50</t>
  </si>
  <si>
    <t xml:space="preserve">(1.2) Cable trench floor </t>
  </si>
  <si>
    <t>2.2.51</t>
  </si>
  <si>
    <t>(1.3) Ramp to FGL</t>
  </si>
  <si>
    <t>2.2.52</t>
  </si>
  <si>
    <t>(1.4) Roof Slab</t>
  </si>
  <si>
    <t>2.2.53</t>
  </si>
  <si>
    <t>(1.5) Apron slabs</t>
  </si>
  <si>
    <t>2.2.55</t>
  </si>
  <si>
    <t>2.2.56</t>
  </si>
  <si>
    <t>JOINTS</t>
  </si>
  <si>
    <t>2.2.57</t>
  </si>
  <si>
    <t>10mm Softboard with 10x10mm Polyurethane Sealant</t>
  </si>
  <si>
    <t>m</t>
  </si>
  <si>
    <t>2.2.58</t>
  </si>
  <si>
    <t>Grooved Joint with Polyurethane Sealant</t>
  </si>
  <si>
    <t>2.2.59</t>
  </si>
  <si>
    <t>SANS 1200H</t>
  </si>
  <si>
    <t>STRUCTURAL STEELWORK</t>
  </si>
  <si>
    <t>2.2.60</t>
  </si>
  <si>
    <t>Supply and Fabrication</t>
  </si>
  <si>
    <t>2.2.61</t>
  </si>
  <si>
    <t>Preparation of shop detail drawings</t>
  </si>
  <si>
    <t>2.2.62</t>
  </si>
  <si>
    <t>(1) Angle Frame (50x50x6mm L Iron, including R8 lugs and 6x6mm Square Bar)</t>
  </si>
  <si>
    <t>2.2.63</t>
  </si>
  <si>
    <t>Supply and fabrication of steelwork</t>
  </si>
  <si>
    <t>2.2.64</t>
  </si>
  <si>
    <t>2.2.65</t>
  </si>
  <si>
    <t>Delivery to Site</t>
  </si>
  <si>
    <t>2.2.66</t>
  </si>
  <si>
    <t>Normal Delivery</t>
  </si>
  <si>
    <t>2.2.67</t>
  </si>
  <si>
    <t>(1) Angle Frame (50x50x6mm L Iron, including R8 lugs and 6x6mm)</t>
  </si>
  <si>
    <t>2.2.68</t>
  </si>
  <si>
    <t>Flooring, Complete and Installed with Frames</t>
  </si>
  <si>
    <t>2.2.69</t>
  </si>
  <si>
    <t>(b) Floorplate Floors</t>
  </si>
  <si>
    <t>2.2.70</t>
  </si>
  <si>
    <t>VASTRAP ® flooring, 6.0mm thick</t>
  </si>
  <si>
    <t>2.2.71</t>
  </si>
  <si>
    <t>SANS 1200HC</t>
  </si>
  <si>
    <t>CORROSION PROTECTION OF STRUCTURAL STEELWORK</t>
  </si>
  <si>
    <t>2.2.72</t>
  </si>
  <si>
    <t>8.2.3</t>
  </si>
  <si>
    <t>Surface Preparation and Coating Application</t>
  </si>
  <si>
    <t>2.2.73</t>
  </si>
  <si>
    <t>a) in the shop</t>
  </si>
  <si>
    <t>2.2.74</t>
  </si>
  <si>
    <t>b) on Site</t>
  </si>
  <si>
    <t>2.2.75</t>
  </si>
  <si>
    <t>SANS 1200LC</t>
  </si>
  <si>
    <t>CABLE DUCTS</t>
  </si>
  <si>
    <t>2.2.76</t>
  </si>
  <si>
    <t>8.2.5</t>
  </si>
  <si>
    <t>Supply, Lay, Bed, and Prove Ducts (Including Draw Wires)</t>
  </si>
  <si>
    <t>(1) Electrical cable ducts</t>
  </si>
  <si>
    <t>(1.1) 160mm diam uPVC (Class 34) Heavy Duty to be infilled with "Sika Boom Expanding Polyurethane Foam" or similar approved.</t>
  </si>
  <si>
    <t>PWB</t>
  </si>
  <si>
    <t>BUILDING SPECIFICATION</t>
  </si>
  <si>
    <t>PWB 13.1</t>
  </si>
  <si>
    <t>Brickwork</t>
  </si>
  <si>
    <t>PWB 13.1.1</t>
  </si>
  <si>
    <t>230mm Thick</t>
  </si>
  <si>
    <t>PWB 13.5</t>
  </si>
  <si>
    <t>Iron Mongery</t>
  </si>
  <si>
    <t>13.5.1</t>
  </si>
  <si>
    <t>Steel Doors and Frames</t>
  </si>
  <si>
    <t>(1) Standard 1.2mm for a single and double door access frame Mild Steel  Door and Jamb combination type DV with full louvres (2mm steel plate riveted to inside face of louvres)</t>
  </si>
  <si>
    <t>PWB 13.8</t>
  </si>
  <si>
    <t>(1) 290 x 290mm Standard PVC safety signs to comply with SANS 1186</t>
  </si>
  <si>
    <t>Draw pits / manholes</t>
  </si>
  <si>
    <t>1600 mm x 1600 mm x 920 mm (internal dimensions) cable manhole including excavations, backfilling, 170 mm concrete floor slab, 200 mm concrete walls, 200 mm concrete roof slab. Inclusive of single size 30mm crushed stone in 200 mm x 800 mm x 1200 mm in recess slab</t>
  </si>
  <si>
    <t>No</t>
  </si>
  <si>
    <t>Ancillaries to Draw pits/manholes</t>
  </si>
  <si>
    <t>Waterproofing</t>
  </si>
  <si>
    <t>2.2.11</t>
  </si>
  <si>
    <t>2.2.12</t>
  </si>
  <si>
    <t>2.2.13</t>
  </si>
  <si>
    <t>2.2.14</t>
  </si>
  <si>
    <t>2.2.15</t>
  </si>
  <si>
    <t>2.2.16</t>
  </si>
  <si>
    <t>2.2.31</t>
  </si>
  <si>
    <t>2.2.40</t>
  </si>
  <si>
    <t>2.2.54</t>
  </si>
  <si>
    <t>SCHEDULE 2.3 : CIVIL ENGINEERING - NEW MCC FOR BELT PRESS SET C (4 no. off)</t>
  </si>
  <si>
    <t>Ref DWG: JW14060-CE-003 &amp; 002</t>
  </si>
  <si>
    <t>2.3.1</t>
  </si>
  <si>
    <t>2.3.2</t>
  </si>
  <si>
    <t>2.3.3</t>
  </si>
  <si>
    <t>2.3.4</t>
  </si>
  <si>
    <t>2.3.5</t>
  </si>
  <si>
    <t>2.3.6</t>
  </si>
  <si>
    <t>2.3.7</t>
  </si>
  <si>
    <t>b) Extra-over for:</t>
  </si>
  <si>
    <t>2.3.8</t>
  </si>
  <si>
    <t>2.3.9</t>
  </si>
  <si>
    <t>2.3.10</t>
  </si>
  <si>
    <t>2.3.17</t>
  </si>
  <si>
    <t>2.3.18</t>
  </si>
  <si>
    <t>2.3.19</t>
  </si>
  <si>
    <t>2.3.20</t>
  </si>
  <si>
    <t>2.3.21</t>
  </si>
  <si>
    <t>2.3.22</t>
  </si>
  <si>
    <t>2.3.23</t>
  </si>
  <si>
    <t>2.3.24</t>
  </si>
  <si>
    <t>2.3.25</t>
  </si>
  <si>
    <t>2.3.26</t>
  </si>
  <si>
    <t>2.3.27</t>
  </si>
  <si>
    <t>High-tensile steel,  Nominal size 25mm to:</t>
  </si>
  <si>
    <t>2.3.29</t>
  </si>
  <si>
    <t>2.3.30</t>
  </si>
  <si>
    <t>2.3.32</t>
  </si>
  <si>
    <t>2.3.33</t>
  </si>
  <si>
    <t>2.3.34</t>
  </si>
  <si>
    <t>2.3.35</t>
  </si>
  <si>
    <t>2.3.36</t>
  </si>
  <si>
    <t>2.3.37</t>
  </si>
  <si>
    <t>2.3.38</t>
  </si>
  <si>
    <t>2.3.39</t>
  </si>
  <si>
    <t>2.3.40</t>
  </si>
  <si>
    <t>(1) 30Mpa/19mm concrete</t>
  </si>
  <si>
    <t>2.3.41</t>
  </si>
  <si>
    <t>2.3.42</t>
  </si>
  <si>
    <t>2.3.43</t>
  </si>
  <si>
    <t>2.3.44</t>
  </si>
  <si>
    <t>2.3.45</t>
  </si>
  <si>
    <t>2.3.47</t>
  </si>
  <si>
    <t>2.3.48</t>
  </si>
  <si>
    <t>2.3.49</t>
  </si>
  <si>
    <t>2.3.50</t>
  </si>
  <si>
    <t>2.3.51</t>
  </si>
  <si>
    <t>2.3.52</t>
  </si>
  <si>
    <t>2.3.53</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</si>
  <si>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</si>
  <si>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</si>
  <si>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</si>
  <si>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</si>
  <si>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</si>
  <si>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</si>
  <si>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</si>
  <si>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</si>
  <si>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</si>
  <si>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</si>
  <si>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</si>
  <si>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</si>
  <si>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</si>
  <si>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</si>
  <si>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</si>
  <si>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</si>
  <si>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</si>
  <si>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</si>
  <si>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</si>
  <si>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</si>
  <si>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</si>
  <si>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</si>
  <si>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</si>
  <si>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</si>
  <si>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</si>
  <si>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</si>
  <si>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</si>
  <si>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</si>
  <si>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(1) Standard 1.2mm for a single and double door access frame Mild Steel  Door and Jamb combination type DV  with full louvres (2mm steel plate riveted to inside face of louvres)</t>
  </si>
  <si>
    <t>2.3.88</t>
  </si>
  <si>
    <t>2.3.11</t>
  </si>
  <si>
    <t>2.3.12</t>
  </si>
  <si>
    <t>2.3.13</t>
  </si>
  <si>
    <t>2.3.14</t>
  </si>
  <si>
    <t>2.3.15</t>
  </si>
  <si>
    <t>2.3.16</t>
  </si>
  <si>
    <t>2.3.28</t>
  </si>
  <si>
    <t>2.3.31</t>
  </si>
  <si>
    <t>2.3.54</t>
  </si>
  <si>
    <t>(1) Standard 1.2mm for a single door access frame Mild Steel  Door and Jamb combination type DV  with full louvres (2mm steel plate riveted to inside face of louvres) with electronic access</t>
  </si>
  <si>
    <t>2.4.1</t>
  </si>
  <si>
    <t>2.4.2</t>
  </si>
  <si>
    <t>2.4.3</t>
  </si>
  <si>
    <t>2.4.4</t>
  </si>
  <si>
    <t>2.4.5</t>
  </si>
  <si>
    <t>2.4.6</t>
  </si>
  <si>
    <t>2.4.7</t>
  </si>
  <si>
    <t>2.4.8</t>
  </si>
  <si>
    <t>2.4.9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</si>
  <si>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</si>
  <si>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</si>
  <si>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</si>
  <si>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</si>
  <si>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</si>
  <si>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</si>
  <si>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</si>
  <si>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</si>
  <si>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</si>
  <si>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</si>
  <si>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</si>
  <si>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</si>
  <si>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</si>
  <si>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</si>
  <si>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</si>
  <si>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</si>
  <si>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</si>
  <si>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</si>
  <si>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</si>
  <si>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</si>
  <si>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</si>
  <si>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</si>
  <si>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</si>
  <si>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</si>
  <si>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</si>
  <si>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</si>
  <si>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</si>
  <si>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</si>
  <si>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</si>
  <si>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</si>
  <si>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</si>
  <si>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</si>
  <si>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</si>
  <si>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</si>
  <si>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</si>
  <si>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</si>
  <si>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</si>
  <si>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</si>
  <si>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</si>
  <si>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</si>
  <si>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</si>
  <si>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</si>
  <si>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</si>
  <si>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</si>
  <si>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</si>
  <si>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</si>
  <si>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</si>
  <si>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</si>
  <si>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</si>
  <si>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</si>
  <si>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</si>
  <si>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</si>
  <si>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</si>
  <si>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</si>
  <si>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</si>
  <si>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</si>
  <si>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</si>
  <si>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</si>
  <si>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</si>
  <si>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</si>
  <si>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</si>
  <si>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</si>
  <si>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</si>
  <si>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</si>
  <si>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</si>
  <si>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2.4.76</t>
  </si>
  <si>
    <t>2.4.77</t>
  </si>
  <si>
    <t>2.4.78</t>
  </si>
  <si>
    <t>2.4.79</t>
  </si>
  <si>
    <t>2.4.80</t>
  </si>
  <si>
    <t>2.4.81</t>
  </si>
  <si>
    <t>Structural Concrete</t>
  </si>
  <si>
    <t>Scheduled formwork Items</t>
  </si>
  <si>
    <t xml:space="preserve">Strength Concrete, Grade, Concrete class 30MPa/19mm </t>
  </si>
  <si>
    <t>8.4.3 a)</t>
  </si>
  <si>
    <t>8.4.3 b)</t>
  </si>
  <si>
    <t>In stub columns - Belt Press supports base</t>
  </si>
  <si>
    <t>Joints</t>
  </si>
  <si>
    <t>Scheduled Reinforcement Items</t>
  </si>
  <si>
    <t>8.7 a)</t>
  </si>
  <si>
    <t>30 Mpa Non-Shrink grout under structural steel bases</t>
  </si>
  <si>
    <t>STRUCTURAL STEEL WORK (Supply, fabrication, delivery and installation)</t>
  </si>
  <si>
    <t>SCHEDULED ITEMS</t>
  </si>
  <si>
    <t>Rates quoted for structural steel items shall include cost of supply, fabrication, transport, erection on site and shop detailing. The Contractor shall submit shop drawings of all the structural items required and material list to the Employer's Agent for approval at least two weeks prior to the commencement of fabrication.</t>
  </si>
  <si>
    <t>All rolled steel sections including hollow sections are to conform to SANS 1431 grade 350WA</t>
  </si>
  <si>
    <t>The rates quoted shall include cost of all necessary nuts, bolts, washers etc</t>
  </si>
  <si>
    <t>8.3.1.2 i)</t>
  </si>
  <si>
    <t>Hot rolled 152x152*23 H Steel Sections for Belt Press Supports</t>
  </si>
  <si>
    <t>8.3.1.2 iii)</t>
  </si>
  <si>
    <t>304L Stainless Steel Equal Angles (L50X50X5) in bracings for Sludge cake Chutes</t>
  </si>
  <si>
    <t xml:space="preserve">8.3.1.2 iv) </t>
  </si>
  <si>
    <t>Base plates and Cleats/gussets etc with shaped plates, thickness varies from 5mm and 20mm, welded and or bolted</t>
  </si>
  <si>
    <t>4.5mm 304L Stainless Sludge Cake Extension Chute</t>
  </si>
  <si>
    <t>Galvanised steel sliding door (Industrial type) for main access to the Belt Press Building of 2800mm wide  x 6000 mm high opening</t>
  </si>
  <si>
    <t>SANS 1200 HB</t>
  </si>
  <si>
    <t>Supply and install Fasteners , and re-bolting of the existing Sheeting to the existing building's Architectural requirements</t>
  </si>
  <si>
    <t>P. sum</t>
  </si>
  <si>
    <t xml:space="preserve"> </t>
  </si>
  <si>
    <t>Safety shower and eye bath</t>
  </si>
  <si>
    <t>304L Stainless steel safety shower and eye baths as per the requirements specified on Johannesburg Water M30 Polyelectrolyte handling, storage and dosing equipment Particular specification</t>
  </si>
  <si>
    <t>Bund walls as per JW14060-CE-005</t>
  </si>
  <si>
    <t>Bund walls as per JW14060-CE-006</t>
  </si>
  <si>
    <t>Bund walls as per JW14060-CE-007</t>
  </si>
  <si>
    <t>Ref Dwg: JW14060-ME-001 to 006 &amp; JW14060-CI-001 to 012</t>
  </si>
  <si>
    <t>3.1.1</t>
  </si>
  <si>
    <t>PSX 6.2</t>
  </si>
  <si>
    <t>Decommission, Dismantle, handle (loading &amp; offloading) and transport to an on/offsite storage facility</t>
  </si>
  <si>
    <t>3.1.1.1</t>
  </si>
  <si>
    <t>3.1.1.2</t>
  </si>
  <si>
    <t>3.1.1.3</t>
  </si>
  <si>
    <t>3.1.1.4</t>
  </si>
  <si>
    <t>3.1.1.5</t>
  </si>
  <si>
    <t>3.1.1.6</t>
  </si>
  <si>
    <t>3.1.1.7</t>
  </si>
  <si>
    <t>3.1.1.8</t>
  </si>
  <si>
    <t>Removal of Sludge supply pumps with associated drive units</t>
  </si>
  <si>
    <t>3.1.1.9</t>
  </si>
  <si>
    <t>Removal of Sludge pipework and associated equipment</t>
  </si>
  <si>
    <t>3.1.1.10</t>
  </si>
  <si>
    <t>ton/km</t>
  </si>
  <si>
    <t>3.1.2</t>
  </si>
  <si>
    <t>PSX 6.3</t>
  </si>
  <si>
    <t>Fabricate, Supply, Deliver and Store (if required) on site with documentation</t>
  </si>
  <si>
    <t>3.1.2.1</t>
  </si>
  <si>
    <t>3.1.2.2</t>
  </si>
  <si>
    <t>3.1.2.3</t>
  </si>
  <si>
    <t>Interconnecting piping, associated fittings and bolting ancillaries</t>
  </si>
  <si>
    <t>3.1.2.4</t>
  </si>
  <si>
    <t>3.1.2.5</t>
  </si>
  <si>
    <t>3.1.2.6</t>
  </si>
  <si>
    <t>Stirrer/Mixer with drive unit (motor, speed reducer, etc..)</t>
  </si>
  <si>
    <t>3.1.2.7</t>
  </si>
  <si>
    <t>3.1.2.8</t>
  </si>
  <si>
    <t>Isolation Valves</t>
  </si>
  <si>
    <t>3.1.2.9</t>
  </si>
  <si>
    <t>3.1.2.10</t>
  </si>
  <si>
    <t>Pressure relief valves for each valve discharge</t>
  </si>
  <si>
    <t>3.1.2.11</t>
  </si>
  <si>
    <t>3.1.2.12</t>
  </si>
  <si>
    <t>3.1.2.13</t>
  </si>
  <si>
    <t>3.1.2.14</t>
  </si>
  <si>
    <t>3.1.2.15</t>
  </si>
  <si>
    <t>Propeller or Screw Feeder with Drive unit</t>
  </si>
  <si>
    <t>3.1.2.16</t>
  </si>
  <si>
    <t>Jet filter c/w fan motor for powder dosing</t>
  </si>
  <si>
    <t>3.1.2.17</t>
  </si>
  <si>
    <t>3.1.2.18</t>
  </si>
  <si>
    <t>3.1.2.19</t>
  </si>
  <si>
    <t>3.1.2.20</t>
  </si>
  <si>
    <t>3.1.2.21</t>
  </si>
  <si>
    <t>3.1.2.22</t>
  </si>
  <si>
    <t>Wash water  Non-return valve with flanges DN300</t>
  </si>
  <si>
    <t>3.1.2.23</t>
  </si>
  <si>
    <t>80NB Waste water air and vacuum valve</t>
  </si>
  <si>
    <t>3.1.2.24</t>
  </si>
  <si>
    <t>Wash Water Supply Pumps with Associated equipment (Ref: JW14060-ME-008, JW14060-ME-009 &amp; JW14060-CI-012)</t>
  </si>
  <si>
    <t>3.1.2.26</t>
  </si>
  <si>
    <t>Wash water supply pumps at the Dewatering Building with drive units @ 250m³/hr at 85m</t>
  </si>
  <si>
    <t>3.1.2.27</t>
  </si>
  <si>
    <t>3.1.2.28</t>
  </si>
  <si>
    <t>3.1.2.29</t>
  </si>
  <si>
    <t>Wash water  Non-return Ball valve with flanges DN200</t>
  </si>
  <si>
    <t>3.1.2.30</t>
  </si>
  <si>
    <t>3.1.2.31</t>
  </si>
  <si>
    <t>Wash water Automatic backwash Strainer DN150</t>
  </si>
  <si>
    <t>3.1.2.32</t>
  </si>
  <si>
    <t>Wash water manual bypass Strainer DN150</t>
  </si>
  <si>
    <t>3.1.2.33</t>
  </si>
  <si>
    <t>Wash water control valves (pressure reducing and flow control)</t>
  </si>
  <si>
    <t>3.1.2.34</t>
  </si>
  <si>
    <t>3.1.2.35</t>
  </si>
  <si>
    <t>3.1.2.36</t>
  </si>
  <si>
    <t>3.1.2.37</t>
  </si>
  <si>
    <t>Sludge Supply Pumps and Associated equipment (Ref: JW14060-ME-010 &amp; JW14060-CI-012)</t>
  </si>
  <si>
    <t>3.1.2.38</t>
  </si>
  <si>
    <t>3.1.2.39</t>
  </si>
  <si>
    <t>3.1.2.40</t>
  </si>
  <si>
    <t>Pipework for Tie-in Point for the Belt Press Set C</t>
  </si>
  <si>
    <t>3.1.3</t>
  </si>
  <si>
    <t>PSX 6.4</t>
  </si>
  <si>
    <t>Handle and Install</t>
  </si>
  <si>
    <t>3.1.3.1</t>
  </si>
  <si>
    <t>3.1.3.2</t>
  </si>
  <si>
    <t>3.1.3.3</t>
  </si>
  <si>
    <t>3.1.3.4</t>
  </si>
  <si>
    <t>3.1.3.5</t>
  </si>
  <si>
    <t>3.1.3.6</t>
  </si>
  <si>
    <t>3.1.3.7</t>
  </si>
  <si>
    <t>3.1.3.8</t>
  </si>
  <si>
    <t>3.1.3.9</t>
  </si>
  <si>
    <t>3.1.3.10</t>
  </si>
  <si>
    <t>3.1.3.11</t>
  </si>
  <si>
    <t>Solenoids valve for wash water feed x2 per tank</t>
  </si>
  <si>
    <t>3.1.3.12</t>
  </si>
  <si>
    <t>3.1.3.13</t>
  </si>
  <si>
    <t>3.1.3.14</t>
  </si>
  <si>
    <t>3.1.3.15</t>
  </si>
  <si>
    <t>3.1.3.16</t>
  </si>
  <si>
    <t>3.1.3.17</t>
  </si>
  <si>
    <t>3.1.3.18</t>
  </si>
  <si>
    <t>3.1.3.19</t>
  </si>
  <si>
    <t>3.1.3.20</t>
  </si>
  <si>
    <t>3.1.3.21</t>
  </si>
  <si>
    <t>3.1.3.22</t>
  </si>
  <si>
    <t>3.1.3.23</t>
  </si>
  <si>
    <t>3.1.3.24</t>
  </si>
  <si>
    <t>3.1.3.25</t>
  </si>
  <si>
    <t>3.1.3.26</t>
  </si>
  <si>
    <t>3.1.3.27</t>
  </si>
  <si>
    <t>3.1.3.28</t>
  </si>
  <si>
    <t>3.1.3.29</t>
  </si>
  <si>
    <t>3.1.3.30</t>
  </si>
  <si>
    <t>3.1.3.31</t>
  </si>
  <si>
    <t>3.1.3.32</t>
  </si>
  <si>
    <t>3.1.3.33</t>
  </si>
  <si>
    <t>3.1.3.34</t>
  </si>
  <si>
    <t>3.1.3.35</t>
  </si>
  <si>
    <t>3.1.3.36</t>
  </si>
  <si>
    <t>3.1.3.37</t>
  </si>
  <si>
    <t>3.1.3.38</t>
  </si>
  <si>
    <t>3.1.3.39</t>
  </si>
  <si>
    <t>3.1.3.40</t>
  </si>
  <si>
    <t>Interconnecting piping, associated fittings and bolting ancillaries as per pipe schedule in drawing JW14060-ME-008</t>
  </si>
  <si>
    <t>3.1.2.41</t>
  </si>
  <si>
    <t>3.1.2.42</t>
  </si>
  <si>
    <t>3.1.2.43</t>
  </si>
  <si>
    <t>3.2.1</t>
  </si>
  <si>
    <t>Decommission, Dismantle, handle (loading &amp; offloading) and transport to an offsite storage facility</t>
  </si>
  <si>
    <t>NB. Cost to include all required resources e.g. crane, manpower, tools, cleaning, etc.…</t>
  </si>
  <si>
    <t>3.2.1.1</t>
  </si>
  <si>
    <t xml:space="preserve">Removal of existing belt press </t>
  </si>
  <si>
    <t>3.2.1.2</t>
  </si>
  <si>
    <t>3.2.1.3</t>
  </si>
  <si>
    <t>3.2.1.4</t>
  </si>
  <si>
    <t>3.2.1.5</t>
  </si>
  <si>
    <t>3.2.2</t>
  </si>
  <si>
    <t>Engineering and Project Management</t>
  </si>
  <si>
    <t>3.2.2.1</t>
  </si>
  <si>
    <t>3.2.2.2</t>
  </si>
  <si>
    <t>3.2.3</t>
  </si>
  <si>
    <t>3.2.3.1</t>
  </si>
  <si>
    <t>Dewatering Equipment</t>
  </si>
  <si>
    <t>3.2.3.2</t>
  </si>
  <si>
    <t>3.2.3.3</t>
  </si>
  <si>
    <t>3.2.3.4</t>
  </si>
  <si>
    <t>Set of electrical actuators for automatic spray pipe</t>
  </si>
  <si>
    <t>3.2.3.5</t>
  </si>
  <si>
    <t>Centralized lubrication system</t>
  </si>
  <si>
    <t>3.2.3.6</t>
  </si>
  <si>
    <t>3.2.3.7</t>
  </si>
  <si>
    <t>3.2.3.9</t>
  </si>
  <si>
    <t>3.2.3.10</t>
  </si>
  <si>
    <t>3.2.3.11</t>
  </si>
  <si>
    <t>3.2.3.12</t>
  </si>
  <si>
    <t>3.2.3.13</t>
  </si>
  <si>
    <t>3.2.3.8</t>
  </si>
  <si>
    <t>3.2.3.14</t>
  </si>
  <si>
    <t>Isolation valves for the new holding tank on the downstream side</t>
  </si>
  <si>
    <t>3.2.3.16</t>
  </si>
  <si>
    <t>3.2.3.17</t>
  </si>
  <si>
    <t>Dosing pump Non-return valve per dosing pump for each Belt Press</t>
  </si>
  <si>
    <t>3.2.3.18</t>
  </si>
  <si>
    <t>Dosing pump Pressure relief valve per dosing pump for each Belt Press</t>
  </si>
  <si>
    <t>3.2.3.19</t>
  </si>
  <si>
    <t>Inline static mixer and dosing device unit as per JW14060-ME-006</t>
  </si>
  <si>
    <t>3.2.3.20</t>
  </si>
  <si>
    <t>3.2.3.21</t>
  </si>
  <si>
    <t>3.2.3.22</t>
  </si>
  <si>
    <t>3.2.3.23</t>
  </si>
  <si>
    <t>3.2.3.24</t>
  </si>
  <si>
    <t>Sludge manifold,  interconnecting pipework and fittings</t>
  </si>
  <si>
    <t>3.2.3.25</t>
  </si>
  <si>
    <t>New Wash Water Supply Line for the New Belts</t>
  </si>
  <si>
    <t>3.2.3.26</t>
  </si>
  <si>
    <t>Wash water feed isolation valves per belt press</t>
  </si>
  <si>
    <t>3.2.3.27</t>
  </si>
  <si>
    <t>Interconnecting pipework</t>
  </si>
  <si>
    <t>3.2.3.28</t>
  </si>
  <si>
    <t>3.2.3.29</t>
  </si>
  <si>
    <t xml:space="preserve">Conveyor belt ancillaries incl. drive unit, belt, idlers and associated steelwork </t>
  </si>
  <si>
    <t>3.2.4</t>
  </si>
  <si>
    <t>NB: The cost shall include for retrieving all required units and its ancillaries from an on-site store if required and installing (using appropriate resources for installation) within the proposed location in the Belt Pres facility</t>
  </si>
  <si>
    <t>3.2.4.1</t>
  </si>
  <si>
    <t>New Dewatering Belt Press and associated equipment</t>
  </si>
  <si>
    <t>3.2.4.2</t>
  </si>
  <si>
    <t>3.2.4.3</t>
  </si>
  <si>
    <t>Installation Supervision</t>
  </si>
  <si>
    <t>3.2.4.4</t>
  </si>
  <si>
    <t>3.2.4.5</t>
  </si>
  <si>
    <t>3.2.4.6</t>
  </si>
  <si>
    <t>3.2.4.7</t>
  </si>
  <si>
    <t>3.2.4.8</t>
  </si>
  <si>
    <t>3.2.4.9</t>
  </si>
  <si>
    <t>Interconnecting Pipework and fitting to the Belt Press</t>
  </si>
  <si>
    <t>3.2.4.10</t>
  </si>
  <si>
    <t>3.2.4.11</t>
  </si>
  <si>
    <t>3.2.4.12</t>
  </si>
  <si>
    <t>Dosing pump Electric Controlled valves per Belt Press</t>
  </si>
  <si>
    <t>3.2.4.13</t>
  </si>
  <si>
    <t>3.2.4.14</t>
  </si>
  <si>
    <t>3.2.4.15</t>
  </si>
  <si>
    <t>3.2.4.16</t>
  </si>
  <si>
    <t>3.2.4.17</t>
  </si>
  <si>
    <t>3.2.4.18</t>
  </si>
  <si>
    <t>3.2.4.19</t>
  </si>
  <si>
    <t>3.2.4.20</t>
  </si>
  <si>
    <t>3.2.4.21</t>
  </si>
  <si>
    <t>3.2.4.22</t>
  </si>
  <si>
    <t>3.2.4.23</t>
  </si>
  <si>
    <t>3.2.4.24</t>
  </si>
  <si>
    <t>Conveyor Belt</t>
  </si>
  <si>
    <t>3.2.4.25</t>
  </si>
  <si>
    <t>3.2.5</t>
  </si>
  <si>
    <t>3.2.5.1</t>
  </si>
  <si>
    <t>3.2.5.2</t>
  </si>
  <si>
    <t>General Items</t>
  </si>
  <si>
    <t>3.2.5.3</t>
  </si>
  <si>
    <t>Top filter Belt - 24760 x 2000 mm</t>
  </si>
  <si>
    <t>3.2.5.4</t>
  </si>
  <si>
    <t>bottom filter belt - 19560 x 2000 mm</t>
  </si>
  <si>
    <t>3.2.5.5</t>
  </si>
  <si>
    <t>S20 Unison 620 Scrapper blade</t>
  </si>
  <si>
    <t>3.2.5.6</t>
  </si>
  <si>
    <t>3.2.5.7</t>
  </si>
  <si>
    <t>U620 UHMWPE Bottom tray grid wear strips</t>
  </si>
  <si>
    <t>3.2.5.8</t>
  </si>
  <si>
    <t>U620 UHMWPE Top tray grid wear strips</t>
  </si>
  <si>
    <t>3.2.5.9</t>
  </si>
  <si>
    <t>3.2.5.10</t>
  </si>
  <si>
    <t>Belt Tracking system</t>
  </si>
  <si>
    <t>3.2.5.11</t>
  </si>
  <si>
    <t>Belt limit switch</t>
  </si>
  <si>
    <t>3.2.5.12</t>
  </si>
  <si>
    <t>slew shaft and nut assembly</t>
  </si>
  <si>
    <t>3.2.5.13</t>
  </si>
  <si>
    <t>Belt broken sensor</t>
  </si>
  <si>
    <t>3.2.5.14</t>
  </si>
  <si>
    <t>3.2.5.15</t>
  </si>
  <si>
    <t>slew actuator drive SK ONF 71 l/4 0.37kW @ 179rpm</t>
  </si>
  <si>
    <t>3.2.5.16</t>
  </si>
  <si>
    <t>Belt Wash system on the Belt Assembly</t>
  </si>
  <si>
    <t>3.2.5.17</t>
  </si>
  <si>
    <t xml:space="preserve">spay bar nozzle </t>
  </si>
  <si>
    <t>3.2.5.18</t>
  </si>
  <si>
    <t>spray bar gasket</t>
  </si>
  <si>
    <t>3.2.5.19</t>
  </si>
  <si>
    <t>wash pressure gauge</t>
  </si>
  <si>
    <t>3.2.5.20</t>
  </si>
  <si>
    <t>3.2.5.21</t>
  </si>
  <si>
    <t>Roller Bearings</t>
  </si>
  <si>
    <t>3.2.5.22</t>
  </si>
  <si>
    <t>Drive roller (DS) bearing kit</t>
  </si>
  <si>
    <t>3.2.5.23</t>
  </si>
  <si>
    <t>Drive roller (DNS) bearing kit</t>
  </si>
  <si>
    <t>3.2.5.24</t>
  </si>
  <si>
    <t>Press &amp; Wedge roller bearing kit</t>
  </si>
  <si>
    <t>3.2.5.25</t>
  </si>
  <si>
    <t>3.2.5.26</t>
  </si>
  <si>
    <t>Hydraulic tension rollers bearing kit</t>
  </si>
  <si>
    <t>3.2.5.27</t>
  </si>
  <si>
    <t>Slew rollers (fixed) bearing kit</t>
  </si>
  <si>
    <t>3.2.5.28</t>
  </si>
  <si>
    <t>lew rollers (slew) bearing kit</t>
  </si>
  <si>
    <t>3.2.5.29</t>
  </si>
  <si>
    <t>Tension arm (needle)</t>
  </si>
  <si>
    <t>3.2.5.30</t>
  </si>
  <si>
    <t>Rollers</t>
  </si>
  <si>
    <t>3.2.5.31</t>
  </si>
  <si>
    <t>Drive 12inch Sche 10</t>
  </si>
  <si>
    <t>3.2.5.32</t>
  </si>
  <si>
    <t>Press 12inch Sch 10</t>
  </si>
  <si>
    <t>3.2.5.33</t>
  </si>
  <si>
    <t>Press 458 x 4mm</t>
  </si>
  <si>
    <t>3.2.5.34</t>
  </si>
  <si>
    <t>Drive 608 x 4mm</t>
  </si>
  <si>
    <t>3.2.5.35</t>
  </si>
  <si>
    <t>Wedge 758 x 4mm</t>
  </si>
  <si>
    <t>3.2.5.36</t>
  </si>
  <si>
    <t>3.2.5.37</t>
  </si>
  <si>
    <t>Tension 12inch Sche 10</t>
  </si>
  <si>
    <t>3.2.5.38</t>
  </si>
  <si>
    <t>Guide 12inch Sche 10</t>
  </si>
  <si>
    <t>3.2.5.39</t>
  </si>
  <si>
    <t>Guide 8inch Sche 10</t>
  </si>
  <si>
    <t>3.2.5.40</t>
  </si>
  <si>
    <t>Slew 8inch Sche 10</t>
  </si>
  <si>
    <t>3.2.5.41</t>
  </si>
  <si>
    <t>PLC</t>
  </si>
  <si>
    <t>3.2.5.42</t>
  </si>
  <si>
    <t>3.2.6</t>
  </si>
  <si>
    <t>3.2.6.1</t>
  </si>
  <si>
    <t>3.2.6.2</t>
  </si>
  <si>
    <t>Removal of conveyor belt equipment for replacement of the 
x4 4M9BP1C-4C belt presses</t>
  </si>
  <si>
    <t>3.2.3.15</t>
  </si>
  <si>
    <t>Contractor's stated commission on the 3.2.3.27 provisional sum above</t>
  </si>
  <si>
    <t>3.2.3.30</t>
  </si>
  <si>
    <t>3.2.3.31</t>
  </si>
  <si>
    <t>Striping of conveyor equipment</t>
  </si>
  <si>
    <t>3.2.3.32</t>
  </si>
  <si>
    <t>Contractor's stated commission on the 3.2.3.31 provisional sum above</t>
  </si>
  <si>
    <t>3.2.5.43</t>
  </si>
  <si>
    <t>Contractor's stated commission on the 3.2.5.43 provisional sum above</t>
  </si>
  <si>
    <t>SECTION 4:  ELECTRICAL ENGINEERING REQUIREMENTS</t>
  </si>
  <si>
    <t xml:space="preserve">
PART 1: PROCUREMENT AND DELIVERY</t>
  </si>
  <si>
    <t>4.1.1</t>
  </si>
  <si>
    <t>4.1.2</t>
  </si>
  <si>
    <t>Motor Control Centres (MCC) and switchboards</t>
  </si>
  <si>
    <t>MCC2 - 4 new Belt Press</t>
  </si>
  <si>
    <t>MCC3 - 6 New Belt Press</t>
  </si>
  <si>
    <t>Dewatering Substation Main LV switchboard</t>
  </si>
  <si>
    <t>Busbar to Main LV switchboard</t>
  </si>
  <si>
    <t>4.1.3</t>
  </si>
  <si>
    <t>Distribution boards</t>
  </si>
  <si>
    <t>4.1.3.1</t>
  </si>
  <si>
    <t>Area 1 Small Power DB</t>
  </si>
  <si>
    <t>4.1.3.2</t>
  </si>
  <si>
    <t>Area 2 Small Power DB</t>
  </si>
  <si>
    <t>4.1.3.3</t>
  </si>
  <si>
    <t>Area 3 Small Power DB</t>
  </si>
  <si>
    <t>4.1.3.4</t>
  </si>
  <si>
    <t>PLC DB</t>
  </si>
  <si>
    <t>4.1.3.5</t>
  </si>
  <si>
    <t>Lighting DB</t>
  </si>
  <si>
    <t>Instrumentation DB</t>
  </si>
  <si>
    <t>4.1.4</t>
  </si>
  <si>
    <t xml:space="preserve">Instrument Power Supply </t>
  </si>
  <si>
    <t>4.1.4.1</t>
  </si>
  <si>
    <t>3kVA UPS</t>
  </si>
  <si>
    <t>4.1.4.2</t>
  </si>
  <si>
    <t>24V DC power supply</t>
  </si>
  <si>
    <t>4.1.5</t>
  </si>
  <si>
    <t>400V Drives</t>
  </si>
  <si>
    <t>4.1.5.1</t>
  </si>
  <si>
    <t>110kW Soft Starter for Wash Water Pumps</t>
  </si>
  <si>
    <t>4.1.6</t>
  </si>
  <si>
    <t>Solar Photovoltaic (PV) Installation</t>
  </si>
  <si>
    <t>4.1.6.1</t>
  </si>
  <si>
    <t>Solar panels</t>
  </si>
  <si>
    <t>Electrical equipment and cabling</t>
  </si>
  <si>
    <t>Batteries</t>
  </si>
  <si>
    <t>4.1.7</t>
  </si>
  <si>
    <t>600/1000 V, Cu/PVC/SWA/PVC cables</t>
  </si>
  <si>
    <t>4.1.7.1</t>
  </si>
  <si>
    <t>4 core, 185 mm²</t>
  </si>
  <si>
    <t>4.1.7.2</t>
  </si>
  <si>
    <t>4 core, 120 mm²</t>
  </si>
  <si>
    <t>4.1.7.3</t>
  </si>
  <si>
    <t>4 core, 16 mm²</t>
  </si>
  <si>
    <t>4.1.7.4</t>
  </si>
  <si>
    <t>4 core, 10 mm²</t>
  </si>
  <si>
    <t>4 core, 4 mm²</t>
  </si>
  <si>
    <t>4 core, 1.5 mm²</t>
  </si>
  <si>
    <t>3 core, 6 mm²</t>
  </si>
  <si>
    <t>3 core, 4 mm²</t>
  </si>
  <si>
    <t>3 core, 1.5 mm²</t>
  </si>
  <si>
    <t>4.1.8</t>
  </si>
  <si>
    <t>600/1000 V, Cu/PVC/SWA/PVC cable terminations</t>
  </si>
  <si>
    <t>4.1.8.1</t>
  </si>
  <si>
    <t>4.1.8.2</t>
  </si>
  <si>
    <t>4.1.8.3</t>
  </si>
  <si>
    <t>4.1.8.4</t>
  </si>
  <si>
    <t>4.1.8.5</t>
  </si>
  <si>
    <t>4.1.8.6</t>
  </si>
  <si>
    <t>4.1.8.7</t>
  </si>
  <si>
    <t>4.1.8.8</t>
  </si>
  <si>
    <t>4.1.8.9</t>
  </si>
  <si>
    <t>4.1.9</t>
  </si>
  <si>
    <t>Bare copper earth wire</t>
  </si>
  <si>
    <t>4.1.9.1</t>
  </si>
  <si>
    <t>70 mm²</t>
  </si>
  <si>
    <t>4.1.9.2</t>
  </si>
  <si>
    <t>16 mm²</t>
  </si>
  <si>
    <t>4.1.9.3</t>
  </si>
  <si>
    <t>10 mm²</t>
  </si>
  <si>
    <t>4.1.9.4</t>
  </si>
  <si>
    <t>4 mm²</t>
  </si>
  <si>
    <t>4.1.10</t>
  </si>
  <si>
    <t>Bare copper earth wire terminations</t>
  </si>
  <si>
    <t>4.1.10.1</t>
  </si>
  <si>
    <t>4.1.10.2</t>
  </si>
  <si>
    <t>4.1.10.3</t>
  </si>
  <si>
    <t>4.1.10.4</t>
  </si>
  <si>
    <t>4.1.11</t>
  </si>
  <si>
    <t>Cable Trenches</t>
  </si>
  <si>
    <t>4.1.11.1</t>
  </si>
  <si>
    <t>800 mm deep x 800 mm wide trench in soft material</t>
  </si>
  <si>
    <t>4.1.11.2</t>
  </si>
  <si>
    <t>800 mm deep x 800 mm wide trench in hard material</t>
  </si>
  <si>
    <t>4.1.11.3</t>
  </si>
  <si>
    <t>Pre-cast concrete cable route markers</t>
  </si>
  <si>
    <t>4.1.11.4</t>
  </si>
  <si>
    <t>Protective tiles</t>
  </si>
  <si>
    <t>4.1.12</t>
  </si>
  <si>
    <t>Lighting circuit wiring in conduit</t>
  </si>
  <si>
    <t>4.1.12.1</t>
  </si>
  <si>
    <t>DB01 - DB03</t>
  </si>
  <si>
    <t xml:space="preserve">Sum </t>
  </si>
  <si>
    <t>4.1.13</t>
  </si>
  <si>
    <t>Power circuit wiring in conduit</t>
  </si>
  <si>
    <t>4.1.13.1</t>
  </si>
  <si>
    <t>4.1.14</t>
  </si>
  <si>
    <t>Light switches</t>
  </si>
  <si>
    <t>4.1.14.1</t>
  </si>
  <si>
    <t>Type S1 - IP65, 1way</t>
  </si>
  <si>
    <t xml:space="preserve">No </t>
  </si>
  <si>
    <t>Type S2 - IP65, 2way</t>
  </si>
  <si>
    <t>Type S3 - Indoor, 1way</t>
  </si>
  <si>
    <t>Photocell</t>
  </si>
  <si>
    <t>4.1.15</t>
  </si>
  <si>
    <t>Luminaires</t>
  </si>
  <si>
    <t>4.1.15.1</t>
  </si>
  <si>
    <t>Type F01 - Beka VLN LED 30N</t>
  </si>
  <si>
    <t>4.1.15.2</t>
  </si>
  <si>
    <t>Type B01 - Beka LEDnova-mi16/37N5068A1Gp (pole mounted)</t>
  </si>
  <si>
    <t>4.1.15.3</t>
  </si>
  <si>
    <t>Type B01 - Beka LEDnova-mi16/37N5068A1Gmv</t>
  </si>
  <si>
    <t>4.1.15.4</t>
  </si>
  <si>
    <t>Type B01 - Beka LEDnova-mi16/37N5068A1Gsh</t>
  </si>
  <si>
    <t>4m mounting pole</t>
  </si>
  <si>
    <t>4.1.16</t>
  </si>
  <si>
    <t>Switch socket outlets and isolators</t>
  </si>
  <si>
    <t>4.1.16.1</t>
  </si>
  <si>
    <t>Type P1 - single phase - IP65</t>
  </si>
  <si>
    <t>4.1.16.2</t>
  </si>
  <si>
    <t>Type P2 - three phase - IP65</t>
  </si>
  <si>
    <t>4.1.16.3</t>
  </si>
  <si>
    <t>Type P3 - single phase - Indoor</t>
  </si>
  <si>
    <t>4.1.16.4</t>
  </si>
  <si>
    <t>Type P4 - single phase red essential indoor</t>
  </si>
  <si>
    <t>4.1.16.5</t>
  </si>
  <si>
    <t>Type I1 isolators - three phase, IP65, wall mounted</t>
  </si>
  <si>
    <t>Type I2 isolators - single phase, indoor, wall mounted</t>
  </si>
  <si>
    <t>4.1.17</t>
  </si>
  <si>
    <t>E/Stop and LCS on 1.2 pedestal</t>
  </si>
  <si>
    <t>4.1.17.1</t>
  </si>
  <si>
    <t>Emergency stop pushbuttons</t>
  </si>
  <si>
    <t>4.1.17.2</t>
  </si>
  <si>
    <t>Local control stations (start/stop)</t>
  </si>
  <si>
    <t>4.1.17.3</t>
  </si>
  <si>
    <t xml:space="preserve">Belt Press Local control stations </t>
  </si>
  <si>
    <t>4.1.17.4</t>
  </si>
  <si>
    <t>Conveyor local isolator and control stations (start/stop)</t>
  </si>
  <si>
    <t>4.1.17.5</t>
  </si>
  <si>
    <t>Actuator valve local isolator</t>
  </si>
  <si>
    <t>4.1.17.6</t>
  </si>
  <si>
    <t>Actuator valve local control station</t>
  </si>
  <si>
    <t>4.1.18</t>
  </si>
  <si>
    <t>4.1.18.1</t>
  </si>
  <si>
    <t>500 mm deep x 300 mm wide trench in soft material</t>
  </si>
  <si>
    <t>4.1.18.2</t>
  </si>
  <si>
    <t>500 mm deep x 300 mm wide trench in hard material</t>
  </si>
  <si>
    <t>4.1.18.3</t>
  </si>
  <si>
    <t>70 mm2 Green PVC Insulated Cu conductor</t>
  </si>
  <si>
    <t>4.1.18.4</t>
  </si>
  <si>
    <t>Copper earth bars complete with stand-off insulators</t>
  </si>
  <si>
    <t>4.1.18.5</t>
  </si>
  <si>
    <t>4.1.18.6</t>
  </si>
  <si>
    <t>Earth well test point complete with concrete inspection  lid</t>
  </si>
  <si>
    <t>Exothermic weld</t>
  </si>
  <si>
    <t>Down conductor from steel roof</t>
  </si>
  <si>
    <t>4.1.19</t>
  </si>
  <si>
    <t>4.1.19.1</t>
  </si>
  <si>
    <t>600 mm wide</t>
  </si>
  <si>
    <t>4.1.19.2</t>
  </si>
  <si>
    <t>300 mm wide</t>
  </si>
  <si>
    <t>4.1.19.3</t>
  </si>
  <si>
    <t>150 mm wide</t>
  </si>
  <si>
    <t>4.1.20</t>
  </si>
  <si>
    <t>4.1.20.1</t>
  </si>
  <si>
    <t>4.1.20.2</t>
  </si>
  <si>
    <t>4.1.20.3</t>
  </si>
  <si>
    <t>4.1.21</t>
  </si>
  <si>
    <t>4.1.21.1</t>
  </si>
  <si>
    <t>4.1.21.2</t>
  </si>
  <si>
    <t>4.1.21.3</t>
  </si>
  <si>
    <t>4.1.22</t>
  </si>
  <si>
    <t>4.1.22.1</t>
  </si>
  <si>
    <t>4.1.22.2</t>
  </si>
  <si>
    <t>4.1.22.3</t>
  </si>
  <si>
    <t>4.1.23</t>
  </si>
  <si>
    <t>Conduit and support steel</t>
  </si>
  <si>
    <t>4.1.23.1</t>
  </si>
  <si>
    <t>20 mm diameter steel conduit</t>
  </si>
  <si>
    <t>4.1.23.2</t>
  </si>
  <si>
    <t>25 mm diameter steel conduit</t>
  </si>
  <si>
    <t>4.1.23.3</t>
  </si>
  <si>
    <t>50 mm diameter steel conduit</t>
  </si>
  <si>
    <t>Unistrut</t>
  </si>
  <si>
    <t>Angle iron</t>
  </si>
  <si>
    <t>4.1.24</t>
  </si>
  <si>
    <t>4.1.24.1</t>
  </si>
  <si>
    <t>4.1.24.2</t>
  </si>
  <si>
    <t>4.1.24.3</t>
  </si>
  <si>
    <t>4.1.25</t>
  </si>
  <si>
    <t>Miscellaneous</t>
  </si>
  <si>
    <t>4.1.25.1</t>
  </si>
  <si>
    <t>Safety equipment and notice boards</t>
  </si>
  <si>
    <t xml:space="preserve">
PART 2: INSTALLATION</t>
  </si>
  <si>
    <t>4.2.1</t>
  </si>
  <si>
    <t>4.2.2</t>
  </si>
  <si>
    <t>Motor Control Centres and switchboards</t>
  </si>
  <si>
    <t>4.2.2.1</t>
  </si>
  <si>
    <t>4.2.2.2</t>
  </si>
  <si>
    <t>4.2.2.3</t>
  </si>
  <si>
    <t>4.2.2.4</t>
  </si>
  <si>
    <t>4.2.3</t>
  </si>
  <si>
    <t>4.2.3.1</t>
  </si>
  <si>
    <t>4.2.3.2</t>
  </si>
  <si>
    <t>4.2.3.3</t>
  </si>
  <si>
    <t>4.2.3.4</t>
  </si>
  <si>
    <t>4.2.3.5</t>
  </si>
  <si>
    <t>4.2.3.6</t>
  </si>
  <si>
    <t>4.2.4</t>
  </si>
  <si>
    <t>4.2.4.1</t>
  </si>
  <si>
    <t>4.2.4.2</t>
  </si>
  <si>
    <t>4.2.5</t>
  </si>
  <si>
    <t>4.2.5.1</t>
  </si>
  <si>
    <t>4.2.6</t>
  </si>
  <si>
    <t>4.2.6.1</t>
  </si>
  <si>
    <t>Labour</t>
  </si>
  <si>
    <t>4.2.7</t>
  </si>
  <si>
    <t>4.2.7.1</t>
  </si>
  <si>
    <t>4.2.7.2</t>
  </si>
  <si>
    <t>4.2.7.3</t>
  </si>
  <si>
    <t>4.2.7.4</t>
  </si>
  <si>
    <t>4.2.7.5</t>
  </si>
  <si>
    <t>4.2.7.6</t>
  </si>
  <si>
    <t>4.2.7.7</t>
  </si>
  <si>
    <t>4.2.7.8</t>
  </si>
  <si>
    <t>4.2.7.9</t>
  </si>
  <si>
    <t>4.2.8</t>
  </si>
  <si>
    <t>4.2.8.1</t>
  </si>
  <si>
    <t>4.2.8.2</t>
  </si>
  <si>
    <t>4.2.8.3</t>
  </si>
  <si>
    <t>4.2.8.4</t>
  </si>
  <si>
    <t>4.2.8.5</t>
  </si>
  <si>
    <t>4.2.8.6</t>
  </si>
  <si>
    <t>4.2.8.7</t>
  </si>
  <si>
    <t>4.2.8.8</t>
  </si>
  <si>
    <t>4.2.8.9</t>
  </si>
  <si>
    <t>4.2.9</t>
  </si>
  <si>
    <t>4.2.9.1</t>
  </si>
  <si>
    <t>4.2.9.2</t>
  </si>
  <si>
    <t>4.2.9.3</t>
  </si>
  <si>
    <t>4.2.9.4</t>
  </si>
  <si>
    <t>4.2.10</t>
  </si>
  <si>
    <t>4.2.10.1</t>
  </si>
  <si>
    <t>4.2.10.2</t>
  </si>
  <si>
    <t>4.2.10.3</t>
  </si>
  <si>
    <t>4.2.10.4</t>
  </si>
  <si>
    <t>4.2.11</t>
  </si>
  <si>
    <t>4.2.11.1</t>
  </si>
  <si>
    <t>4.2.11.2</t>
  </si>
  <si>
    <t>4.2.11.3</t>
  </si>
  <si>
    <t>4.2.11.4</t>
  </si>
  <si>
    <t>4.2.12</t>
  </si>
  <si>
    <t>4.2.12.1</t>
  </si>
  <si>
    <t>4.2.13</t>
  </si>
  <si>
    <t>4.2.13.1</t>
  </si>
  <si>
    <t>4.2.14</t>
  </si>
  <si>
    <t>4.2.14.1</t>
  </si>
  <si>
    <t>4.2.14.2</t>
  </si>
  <si>
    <t>4.2.14.3</t>
  </si>
  <si>
    <t>4.2.14.4</t>
  </si>
  <si>
    <t>4.2.15</t>
  </si>
  <si>
    <t>4.2.15.1</t>
  </si>
  <si>
    <t>4.2.15.2</t>
  </si>
  <si>
    <t>4.2.15.3</t>
  </si>
  <si>
    <t>4.2.15.4</t>
  </si>
  <si>
    <t>4.2.15.5</t>
  </si>
  <si>
    <t>4.2.16</t>
  </si>
  <si>
    <t>4.2.16.1</t>
  </si>
  <si>
    <t>4.2.16.2</t>
  </si>
  <si>
    <t>4.2.16.3</t>
  </si>
  <si>
    <t>4.2.16.4</t>
  </si>
  <si>
    <t>4.2.16.5</t>
  </si>
  <si>
    <t>4.2.16.6</t>
  </si>
  <si>
    <t>4.2.17.1</t>
  </si>
  <si>
    <t>4.2.17.2</t>
  </si>
  <si>
    <t>4.2.17.3</t>
  </si>
  <si>
    <t>4.2.17.4</t>
  </si>
  <si>
    <t>4.2.17.5</t>
  </si>
  <si>
    <t>4.2.17.6</t>
  </si>
  <si>
    <t>4.2.18</t>
  </si>
  <si>
    <t>4.2.18.1</t>
  </si>
  <si>
    <t>4.2.18.2</t>
  </si>
  <si>
    <t>4.2.18.3</t>
  </si>
  <si>
    <t>4.2.18.4</t>
  </si>
  <si>
    <t>4.2.18.5</t>
  </si>
  <si>
    <t>4.2.18.6</t>
  </si>
  <si>
    <t>4.2.18.7</t>
  </si>
  <si>
    <t>4.2.18.8</t>
  </si>
  <si>
    <t>4.2.19</t>
  </si>
  <si>
    <t>4.2.19.1</t>
  </si>
  <si>
    <t>4.2.19.2</t>
  </si>
  <si>
    <t>4.2.19.3</t>
  </si>
  <si>
    <t>4.2.20</t>
  </si>
  <si>
    <t>4.2.20.1</t>
  </si>
  <si>
    <t>4.2.20.2</t>
  </si>
  <si>
    <t>4.2.20.3</t>
  </si>
  <si>
    <t>4.2.21</t>
  </si>
  <si>
    <t>4.2.21.1</t>
  </si>
  <si>
    <t>4.2.21.2</t>
  </si>
  <si>
    <t>4.2.21.3</t>
  </si>
  <si>
    <t>4.2.22</t>
  </si>
  <si>
    <t>4.2.22.1</t>
  </si>
  <si>
    <t>4.2.22.2</t>
  </si>
  <si>
    <t>4.2.22.3</t>
  </si>
  <si>
    <t>4.2.23</t>
  </si>
  <si>
    <t>4.2.23.1</t>
  </si>
  <si>
    <t>4.2.23.2</t>
  </si>
  <si>
    <t>4.2.23.3</t>
  </si>
  <si>
    <t>4.2.23.4</t>
  </si>
  <si>
    <t>4.2.23.5</t>
  </si>
  <si>
    <t>4.2.24</t>
  </si>
  <si>
    <t>4.2.24.1</t>
  </si>
  <si>
    <t>Dismantle and removal of old MCCs and electrical field installations</t>
  </si>
  <si>
    <t>4.1.4.3</t>
  </si>
  <si>
    <t>4.1.4.4</t>
  </si>
  <si>
    <t>4.1.4.5</t>
  </si>
  <si>
    <t>4.1.4.6</t>
  </si>
  <si>
    <t>4.1.5.2</t>
  </si>
  <si>
    <t>4.1.9.5</t>
  </si>
  <si>
    <t>4.1.9.6</t>
  </si>
  <si>
    <t>4.1.9.7</t>
  </si>
  <si>
    <t>4.1.9.8</t>
  </si>
  <si>
    <t>4.1.9.9</t>
  </si>
  <si>
    <t>4.1.12.2</t>
  </si>
  <si>
    <t>4.1.12.3</t>
  </si>
  <si>
    <t>4.1.12.4</t>
  </si>
  <si>
    <t>4.1.19.4</t>
  </si>
  <si>
    <t>4.1.19.5</t>
  </si>
  <si>
    <t>4.1.19.6</t>
  </si>
  <si>
    <t>4.1.19.7</t>
  </si>
  <si>
    <t>4.1.19.8</t>
  </si>
  <si>
    <t>4.1.24.4</t>
  </si>
  <si>
    <t>4.1.24.5</t>
  </si>
  <si>
    <t xml:space="preserve">SECTION 5: CONTROL AND INSTRUMENTATION ENGINEERING REQUIREMENTS </t>
  </si>
  <si>
    <t>SECTION 5:  INSTRUMENTATION AND CONTROL  ENGINEERING REQUIREMENTS</t>
  </si>
  <si>
    <t>5.1.1</t>
  </si>
  <si>
    <t>Multicore Dekoron CU/PVC/ALUMINIUM MYLAR/PVC/SWA/PVC cable</t>
  </si>
  <si>
    <t>5.1.1.1</t>
  </si>
  <si>
    <t>5.1.1.2</t>
  </si>
  <si>
    <t>5.1.1.3</t>
  </si>
  <si>
    <t>5.1.1.4</t>
  </si>
  <si>
    <t>5.1.1.5</t>
  </si>
  <si>
    <t>5.1.1.6</t>
  </si>
  <si>
    <t>5.1.2</t>
  </si>
  <si>
    <t>5.1.2.1</t>
  </si>
  <si>
    <t>5.1.2.2</t>
  </si>
  <si>
    <t>5.1.2.3</t>
  </si>
  <si>
    <t>5.1.3</t>
  </si>
  <si>
    <t>Multicore Dekoron CU/PVC/ALUMINIUM MYLAR/PVC/SWA/PVC cable termination</t>
  </si>
  <si>
    <t>5.1.3.1</t>
  </si>
  <si>
    <t>5.1.3.2</t>
  </si>
  <si>
    <t>5.1.3.3</t>
  </si>
  <si>
    <t>5.1.3.4</t>
  </si>
  <si>
    <t>5.1.3.5</t>
  </si>
  <si>
    <t>5.1.3.6</t>
  </si>
  <si>
    <t>5.1.4</t>
  </si>
  <si>
    <t>5.1.4.1</t>
  </si>
  <si>
    <t>5.1.4.2</t>
  </si>
  <si>
    <t>5.1.4.3</t>
  </si>
  <si>
    <t>5.1.5</t>
  </si>
  <si>
    <t>5.1.5.1</t>
  </si>
  <si>
    <t>5.1.5.2</t>
  </si>
  <si>
    <t>5.1.5.3</t>
  </si>
  <si>
    <t>5.1.6</t>
  </si>
  <si>
    <t>5.1.6.1</t>
  </si>
  <si>
    <t>5.1.6.2</t>
  </si>
  <si>
    <t>5.1.6.3</t>
  </si>
  <si>
    <t>5.1.7</t>
  </si>
  <si>
    <t>5.1.7.1</t>
  </si>
  <si>
    <t>5.1.7.2</t>
  </si>
  <si>
    <t>5.1.7.3</t>
  </si>
  <si>
    <t>5.1.8</t>
  </si>
  <si>
    <t>5.1.8.1</t>
  </si>
  <si>
    <t>5.1.8.2</t>
  </si>
  <si>
    <t>5.1.8.3</t>
  </si>
  <si>
    <t>5.1.9</t>
  </si>
  <si>
    <t>PLCs for Belt Press (1 per Belt Press)</t>
  </si>
  <si>
    <t>5.1.9.1</t>
  </si>
  <si>
    <t>Local control cabinet</t>
  </si>
  <si>
    <t>5.1.9.2</t>
  </si>
  <si>
    <t>PLC cabinet with all accessories</t>
  </si>
  <si>
    <t>5.1.9.3</t>
  </si>
  <si>
    <t>Marshalling terminals</t>
  </si>
  <si>
    <t>5.1.9.4</t>
  </si>
  <si>
    <t>Processor (CPU)</t>
  </si>
  <si>
    <t>5.1.9.5</t>
  </si>
  <si>
    <t>16 point digital input module</t>
  </si>
  <si>
    <t>5.1.9.6</t>
  </si>
  <si>
    <t>16 point digital output module</t>
  </si>
  <si>
    <t>5.1.9.7</t>
  </si>
  <si>
    <t>8 channel analogue input module</t>
  </si>
  <si>
    <t>5.1.9.8</t>
  </si>
  <si>
    <t>4 channel analogue output module</t>
  </si>
  <si>
    <t>5.1.9.9</t>
  </si>
  <si>
    <t>All other accessories to complete installation</t>
  </si>
  <si>
    <t>5.1.10</t>
  </si>
  <si>
    <t>PLC's for common services</t>
  </si>
  <si>
    <t>5.1.10.1</t>
  </si>
  <si>
    <t>5.1.10.2</t>
  </si>
  <si>
    <t>5.1.10.3</t>
  </si>
  <si>
    <t>5.1.10.4</t>
  </si>
  <si>
    <t>5.1.10.5</t>
  </si>
  <si>
    <t>5.1.10.6</t>
  </si>
  <si>
    <t>5.1.10.7</t>
  </si>
  <si>
    <t>5.1.10.8</t>
  </si>
  <si>
    <t>5.1.11</t>
  </si>
  <si>
    <t>SCADA hardware and network switches</t>
  </si>
  <si>
    <t>5.1.12</t>
  </si>
  <si>
    <t>PLC and SCADA software</t>
  </si>
  <si>
    <t>5.1.12.1</t>
  </si>
  <si>
    <t>PLC software and programming</t>
  </si>
  <si>
    <t>5.1.12.2</t>
  </si>
  <si>
    <t>SCADA software and programming</t>
  </si>
  <si>
    <t>5.1.13</t>
  </si>
  <si>
    <t>Flow measurement</t>
  </si>
  <si>
    <t>5.1.13.1</t>
  </si>
  <si>
    <t>5.1.13.2</t>
  </si>
  <si>
    <t>5.1.13.3</t>
  </si>
  <si>
    <t>5.1.13.4</t>
  </si>
  <si>
    <t>5.1.13.5</t>
  </si>
  <si>
    <t>5.1.13.6</t>
  </si>
  <si>
    <t>5.1.14</t>
  </si>
  <si>
    <t>Pressure measurement</t>
  </si>
  <si>
    <t>5.1.14.1</t>
  </si>
  <si>
    <t>Return sludge flow pressure</t>
  </si>
  <si>
    <t>5.1.14.2</t>
  </si>
  <si>
    <t>Wash water pressure</t>
  </si>
  <si>
    <t>5.1.15</t>
  </si>
  <si>
    <t>Level measurement</t>
  </si>
  <si>
    <t>5.1.15.1</t>
  </si>
  <si>
    <t>WAS sludge sump level</t>
  </si>
  <si>
    <t>5.1.15.2</t>
  </si>
  <si>
    <t>Digested sludge sump level</t>
  </si>
  <si>
    <t>5.1.15.3</t>
  </si>
  <si>
    <t>Poly dosing tank level</t>
  </si>
  <si>
    <t>5.1.15.4</t>
  </si>
  <si>
    <t>Poly make-up tank level</t>
  </si>
  <si>
    <t>5.1.16</t>
  </si>
  <si>
    <t>Position indication</t>
  </si>
  <si>
    <t>5.1.16.1</t>
  </si>
  <si>
    <t>Limit switches</t>
  </si>
  <si>
    <t>5.1.17</t>
  </si>
  <si>
    <t>Junction boxes</t>
  </si>
  <si>
    <t>5.1.17.1</t>
  </si>
  <si>
    <t>Poly dosing hand valves junction box</t>
  </si>
  <si>
    <t>5.1.17.2</t>
  </si>
  <si>
    <t>Belt Press junction box</t>
  </si>
  <si>
    <t>5.1.17.3</t>
  </si>
  <si>
    <t>Poly make-up tank junction box</t>
  </si>
  <si>
    <t>5.1.17.4</t>
  </si>
  <si>
    <t>Pratley type, size 0, 3 way junction box</t>
  </si>
  <si>
    <t>5.1.18</t>
  </si>
  <si>
    <t>Access Control</t>
  </si>
  <si>
    <t>5.1.18.1</t>
  </si>
  <si>
    <t>MCC rooms + battery room</t>
  </si>
  <si>
    <t>5.1.19</t>
  </si>
  <si>
    <t>5.1.19.1</t>
  </si>
  <si>
    <t>Fire Detection</t>
  </si>
  <si>
    <t>5.2.1</t>
  </si>
  <si>
    <t>5.2.1.1</t>
  </si>
  <si>
    <t>5.2.1.2</t>
  </si>
  <si>
    <t>5.2.1.3</t>
  </si>
  <si>
    <t>5.2.1.4</t>
  </si>
  <si>
    <t>5.2.1.5</t>
  </si>
  <si>
    <t>5.2.1.6</t>
  </si>
  <si>
    <t>5.2.2</t>
  </si>
  <si>
    <t>5.2.2.1</t>
  </si>
  <si>
    <t>5.2.2.2</t>
  </si>
  <si>
    <t>5.2.2.3</t>
  </si>
  <si>
    <t>5.2.3</t>
  </si>
  <si>
    <t>5.2.3.1</t>
  </si>
  <si>
    <t>5.2.3.2</t>
  </si>
  <si>
    <t>5.2.3.3</t>
  </si>
  <si>
    <t>5.2.3.4</t>
  </si>
  <si>
    <t>5.2.3.5</t>
  </si>
  <si>
    <t>5.2.3.6</t>
  </si>
  <si>
    <t>5.2.4</t>
  </si>
  <si>
    <t>5.2.4.1</t>
  </si>
  <si>
    <t>5.2.4.2</t>
  </si>
  <si>
    <t>5.2.4.3</t>
  </si>
  <si>
    <t>5.2.5</t>
  </si>
  <si>
    <t>5.2.5.1</t>
  </si>
  <si>
    <t>5.2.5.2</t>
  </si>
  <si>
    <t>5.2.5.3</t>
  </si>
  <si>
    <t>5.2.6</t>
  </si>
  <si>
    <t>5.2.6.1</t>
  </si>
  <si>
    <t>5.2.6.2</t>
  </si>
  <si>
    <t>5.2.6.3</t>
  </si>
  <si>
    <t>5.2.7</t>
  </si>
  <si>
    <t>5.2.7.1</t>
  </si>
  <si>
    <t>5.2.7.2</t>
  </si>
  <si>
    <t>5.2.7.3</t>
  </si>
  <si>
    <t>5.2.8</t>
  </si>
  <si>
    <t>5.2.8.1</t>
  </si>
  <si>
    <t>5.2.8.2</t>
  </si>
  <si>
    <t>5.2.8.3</t>
  </si>
  <si>
    <t>5.2.9</t>
  </si>
  <si>
    <t>5.2.9.1</t>
  </si>
  <si>
    <t>5.2.9.2</t>
  </si>
  <si>
    <t>5.2.9.3</t>
  </si>
  <si>
    <t>5.2.9.4</t>
  </si>
  <si>
    <t>5.2.9.5</t>
  </si>
  <si>
    <t>5.2.9.6</t>
  </si>
  <si>
    <t>5.2.9.7</t>
  </si>
  <si>
    <t>5.2.9.8</t>
  </si>
  <si>
    <t>5.2.9.9</t>
  </si>
  <si>
    <t>5.2.10</t>
  </si>
  <si>
    <t>5.2.10.1</t>
  </si>
  <si>
    <t>5.2.10.2</t>
  </si>
  <si>
    <t>5.2.10.3</t>
  </si>
  <si>
    <t>5.2.10.4</t>
  </si>
  <si>
    <t>5.2.10.5</t>
  </si>
  <si>
    <t>5.2.10.6</t>
  </si>
  <si>
    <t>5.2.10.7</t>
  </si>
  <si>
    <t>5.2.10.8</t>
  </si>
  <si>
    <t>5.2.11</t>
  </si>
  <si>
    <t>5.2.12</t>
  </si>
  <si>
    <t>5.2.12.1</t>
  </si>
  <si>
    <t>5.2.12.2</t>
  </si>
  <si>
    <t>5.2.13</t>
  </si>
  <si>
    <t>Flow meter</t>
  </si>
  <si>
    <t>5.2.13.1</t>
  </si>
  <si>
    <t>Sludge flow meter</t>
  </si>
  <si>
    <t>5.2.13.2</t>
  </si>
  <si>
    <t>Return sludge flow meter</t>
  </si>
  <si>
    <t>5.2.13.3</t>
  </si>
  <si>
    <t>Belt Press sludge inflow meter</t>
  </si>
  <si>
    <t>5.2.13.4</t>
  </si>
  <si>
    <t>Dilution water flow meter</t>
  </si>
  <si>
    <t>5.2.13.5</t>
  </si>
  <si>
    <t>Poly electrolyte flow meter</t>
  </si>
  <si>
    <t>5.2.13.6</t>
  </si>
  <si>
    <t>5.2.14</t>
  </si>
  <si>
    <t>5.2.14.1</t>
  </si>
  <si>
    <t>5.2.14.2</t>
  </si>
  <si>
    <t>5.2.15</t>
  </si>
  <si>
    <t>5.2.15.1</t>
  </si>
  <si>
    <t>5.2.15.2</t>
  </si>
  <si>
    <t>5.2.15.3</t>
  </si>
  <si>
    <t>5.2.15.4</t>
  </si>
  <si>
    <t>5.2.16</t>
  </si>
  <si>
    <t>5.2.16.1</t>
  </si>
  <si>
    <t>5.2.17</t>
  </si>
  <si>
    <t>5.2.17.1</t>
  </si>
  <si>
    <t>5.2.17.2</t>
  </si>
  <si>
    <t>5.2.17.3</t>
  </si>
  <si>
    <t>5.2.17.4</t>
  </si>
  <si>
    <t>5.2.18</t>
  </si>
  <si>
    <t>5.2.18.1</t>
  </si>
  <si>
    <t>5.2.19</t>
  </si>
  <si>
    <t>5.2.19.1</t>
  </si>
  <si>
    <t>37 core, 1.5mm²</t>
  </si>
  <si>
    <t>24 core, 1.5mm²</t>
  </si>
  <si>
    <t>12 core, 1.5mm²</t>
  </si>
  <si>
    <t>7 core, 1.5mm²</t>
  </si>
  <si>
    <t>4 core, 1.5mm²</t>
  </si>
  <si>
    <t>3 core, 1.5mm²</t>
  </si>
  <si>
    <t>12 pair, 0.5mm²</t>
  </si>
  <si>
    <t>4 pair, 0.5mm²</t>
  </si>
  <si>
    <t>2 pair, 0.5mm²</t>
  </si>
  <si>
    <t xml:space="preserve">SECTION 6: TESTING AND COMMISSIONING REQUIREMENTS </t>
  </si>
  <si>
    <t>Factory Acceptance Tests</t>
  </si>
  <si>
    <t>6.1.1</t>
  </si>
  <si>
    <t>6.1.2</t>
  </si>
  <si>
    <t>Control Equipment and Instrumentation</t>
  </si>
  <si>
    <t>6.1.3</t>
  </si>
  <si>
    <t>Electrical Equipment</t>
  </si>
  <si>
    <t>PSX 6.4 &amp; PSX 6.5</t>
  </si>
  <si>
    <t>6.2.1</t>
  </si>
  <si>
    <t>6.2.2</t>
  </si>
  <si>
    <t>PSY20.1</t>
  </si>
  <si>
    <t>PSY20.15</t>
  </si>
  <si>
    <t>PSY20.9</t>
  </si>
  <si>
    <t>PSY20.13</t>
  </si>
  <si>
    <t>PSY20.16</t>
  </si>
  <si>
    <t>PSY20.4</t>
  </si>
  <si>
    <t>PSY20.5</t>
  </si>
  <si>
    <t>PSY20.10</t>
  </si>
  <si>
    <t>PSY20.8</t>
  </si>
  <si>
    <t>PSY20.12</t>
  </si>
  <si>
    <t>PSY20.6</t>
  </si>
  <si>
    <t>PSY20.2</t>
  </si>
  <si>
    <t>4.2.17</t>
  </si>
  <si>
    <t>PSYC20.1</t>
  </si>
  <si>
    <t>PSYC20.3</t>
  </si>
  <si>
    <t>PSYC20.5</t>
  </si>
  <si>
    <t>PSYC20.4</t>
  </si>
  <si>
    <t>PSYC20.6</t>
  </si>
  <si>
    <t>PSYC20.7</t>
  </si>
  <si>
    <t>PSYC20.8</t>
  </si>
  <si>
    <t>PSYC20.9</t>
  </si>
  <si>
    <t>PSY20.14</t>
  </si>
  <si>
    <t>4.1.3.6</t>
  </si>
  <si>
    <t>4.2.2.5</t>
  </si>
  <si>
    <t>New Washwater transfer by-pass pump starter cubicle</t>
  </si>
  <si>
    <t>Replace Washwater transfer Pump Starter cubicle</t>
  </si>
  <si>
    <t>a) Furnished offices (2 No.)</t>
  </si>
  <si>
    <t>b) Telephone</t>
  </si>
  <si>
    <t>c) Nameboard (1 No.)</t>
  </si>
  <si>
    <t>OTHER FIXED CHARGES</t>
  </si>
  <si>
    <t>PSA 8.9</t>
  </si>
  <si>
    <t>As-Built Survey</t>
  </si>
  <si>
    <t>SANS 1200 AB</t>
  </si>
  <si>
    <t xml:space="preserve"> FACILITIES FOR EMPLOYER'S AGENT</t>
  </si>
  <si>
    <t>PSAB 8.2.5</t>
  </si>
  <si>
    <t xml:space="preserve">Provision of telecommunication services </t>
  </si>
  <si>
    <t>PSAB 8.2.6</t>
  </si>
  <si>
    <t>Protective clothing and testing equipment</t>
  </si>
  <si>
    <t>PSAB 8.2.7</t>
  </si>
  <si>
    <t>Photographic record of work</t>
  </si>
  <si>
    <t>PSAB 8.2.8</t>
  </si>
  <si>
    <t xml:space="preserve">Stationery for the Employer's Agent's staff </t>
  </si>
  <si>
    <t>PSAB 8.2.9</t>
  </si>
  <si>
    <t>PSAB 8.2.10</t>
  </si>
  <si>
    <t>1.1.23</t>
  </si>
  <si>
    <t>1.1.24</t>
  </si>
  <si>
    <t>1.1.26</t>
  </si>
  <si>
    <t>1.2.25</t>
  </si>
  <si>
    <t>1.2.26</t>
  </si>
  <si>
    <t>1.4.6</t>
  </si>
  <si>
    <t>1.4.8</t>
  </si>
  <si>
    <t>1.4.10</t>
  </si>
  <si>
    <t>1.4.11</t>
  </si>
  <si>
    <t>1.4.12</t>
  </si>
  <si>
    <t>1.4.13</t>
  </si>
  <si>
    <t>1.4.15</t>
  </si>
  <si>
    <t>1.5.1</t>
  </si>
  <si>
    <t>1.6.3</t>
  </si>
  <si>
    <t>1.6.4</t>
  </si>
  <si>
    <t>1.6.5</t>
  </si>
  <si>
    <t>1.6.6</t>
  </si>
  <si>
    <t xml:space="preserve">Computer equipment for the Employer's Agent's staff </t>
  </si>
  <si>
    <t>1.7.2</t>
  </si>
  <si>
    <t>1.8.1</t>
  </si>
  <si>
    <t>Belt Press Performance demonstration including the Poly Preparation, sludge feed, wash water and auxiliary systems</t>
  </si>
  <si>
    <t xml:space="preserve"> Individually and overall screened Dekoron CU/PVC/ALUMINIUM MYLAR/PVC/SWA/PVC cable</t>
  </si>
  <si>
    <t xml:space="preserve"> Individually and overall screened Dekoron CU/PVC/ALUMINIUM MYLAR/PVC/SWA/PVC cable termination</t>
  </si>
  <si>
    <t>Earthing and lightning protection</t>
  </si>
  <si>
    <t>1.5 m b1 Metallic Earth rods,  incl. couplings and accessories</t>
  </si>
  <si>
    <t>Guide roller bearing kit</t>
  </si>
  <si>
    <t>Maintenance spares for the existing Dewatering Belt Press per belt press</t>
  </si>
  <si>
    <t>Assets Disposal</t>
  </si>
  <si>
    <t>Sludge testing to identify and verify Site Sludge Loading, condition and Properties (The cost if for sludge testing before procurement but post contract award and during trail operation for performance guarantee)</t>
  </si>
  <si>
    <t>Auxiliary Equipment</t>
  </si>
  <si>
    <t>Strip and Quote for refurbishment (and supply new where required and approved by the Employer's Agent)</t>
  </si>
  <si>
    <t>Strip and Quote for refurbishment (and supply new where required and approved by the Employer's Agent or Representative)</t>
  </si>
  <si>
    <t>SDU Brush seal SCW90 (1m lengths)</t>
  </si>
  <si>
    <t>UHMWPE sludge plough blocks complete assembly</t>
  </si>
  <si>
    <t>Limit switch paddles</t>
  </si>
  <si>
    <t>Glycerine filled Pressure gauges with tell tale installed with each ancillaries as per detail 8 in drawing JW14060-ME-009</t>
  </si>
  <si>
    <t>Wash water Isolation resilient seated non-rising valves DN300</t>
  </si>
  <si>
    <t>Wash water Isolation resilient seated non-rising valves DN200</t>
  </si>
  <si>
    <t>Wash water Isolation resilient seated non-rising valves DN150</t>
  </si>
  <si>
    <t>Glycerine filled Pressure gauges with tell tale</t>
  </si>
  <si>
    <t>Screw feeder and hopper</t>
  </si>
  <si>
    <t>Associated steelwork including discharge feed troughs or chutes and bolting ancillaries</t>
  </si>
  <si>
    <t>Isolation material against galvanic corrosion shall be used where required</t>
  </si>
  <si>
    <t>Scheduled Miscellaneous Items</t>
  </si>
  <si>
    <t>Ventilation Aluminium Panels retrofitted into Building sheeting Louvre panel of size 500 x 300mm</t>
  </si>
  <si>
    <t>Earthworks</t>
  </si>
  <si>
    <t>Break existing concrete and remove material to nominal depth 150mm, stockpile and maintain location</t>
  </si>
  <si>
    <t>Excavate by hand in soft material to expose existing services (e.g. sludge pipe tie-in point and  wash water supply pumps:</t>
  </si>
  <si>
    <t>Restricted Excavation</t>
  </si>
  <si>
    <t>In Foundations - Bund walls, pump and tanks plinths</t>
  </si>
  <si>
    <t>Belt Press bund walls as per JW14060-ME-006 
&amp; JW14060-ME-007</t>
  </si>
  <si>
    <t>Levelling Screed - Class 10MPa</t>
  </si>
  <si>
    <t>c) Excavate by hand in soft material to expose existing services:</t>
  </si>
  <si>
    <t>Special Smooth, Repaired and Rubbed Vertical to</t>
  </si>
  <si>
    <t>Steel-floated finish to Floor Slab</t>
  </si>
  <si>
    <t xml:space="preserve">Miscellaneous Work </t>
  </si>
  <si>
    <t>Slip Joint between brickwork and underside roof slab , 2 layers 3 ply malthoid over 2 mm thick tempered Masonite over smooth mortar bed (Typical see "Detail 2" on dwg JW14060-CE-003 &amp; 4)</t>
  </si>
  <si>
    <t>Supply, place and cast into position angle supports and protection complete with Fish Lugs</t>
  </si>
  <si>
    <t>Lockable Manhole Cover "Akses 800" or similar approved as per SANS 50124</t>
  </si>
  <si>
    <t>Excavate by hand in soft material to expose existing services:</t>
  </si>
  <si>
    <t>Miscellaneous concrete debris smaller than 1m³ in volume</t>
  </si>
  <si>
    <t>Servicing and Maintenance of equipment during Defects Liability Period</t>
  </si>
  <si>
    <t>Belt Press bund walls as per JW14060-ME-006/7</t>
  </si>
  <si>
    <t>Fencing Around the Dewatering Building as per JW14060-STD-003</t>
  </si>
  <si>
    <t>c) Internet Access</t>
  </si>
  <si>
    <t>e) Maintaining Quality Control Plan</t>
  </si>
  <si>
    <t>Provisional sum for materials control testing and Factory Acceptance Tests of additional Equipment ordered by the Employer's Agent except those listed in Schedule 6 of this BoQ</t>
  </si>
  <si>
    <t>Supply of hired specialist equipment for the detection of services, testing and measurement verification by the Employer's Agent or Representative</t>
  </si>
  <si>
    <t>Provision of imminent or special schedule maintanance spares associated with the new equipment supplied under this project as and when identified/requested by the Employer's Agent.</t>
  </si>
  <si>
    <t>1.5.2</t>
  </si>
  <si>
    <t>Removal of redundant Polyelectrolyte Hopper, preparation, delivery and storage associated equipment</t>
  </si>
  <si>
    <t>Polyelectrolyte Transfer  and Dosing pumps</t>
  </si>
  <si>
    <t>Polyelectrolyte mixers or stirrers unit</t>
  </si>
  <si>
    <t>Powder Polyelectrolyte Dosing Equipment (from Silo to Poly make up tanks)
· Discharge Control valve
· Dosing screw surge bin 
· Dosing screw and air eductor with drive motor at 180kg/hr
· Jet fan blower with drive motor at 250m3/hr @ 35kPa
· Associated High and low level protection instrumentation</t>
  </si>
  <si>
    <t>Polyelectrolyte Solution Make-up Tanks (Ref: JW14060-CI-010 &amp; JW14060-ME-001)</t>
  </si>
  <si>
    <t>Polyelectrolyte Discharge Control valves with actuators</t>
  </si>
  <si>
    <t>Polyelectrolyte Manual Loading onto x2 Make-up tanks</t>
  </si>
  <si>
    <t>Polyelectrolyte Hopper and structural support</t>
  </si>
  <si>
    <t>Polyelectrolyte Transfer (positive displacement) Pumps ( 1 Duty/ 1 Standby) at 28.8m3/hr</t>
  </si>
  <si>
    <t>SECTION 3.1 : MECHANICAL ENGINEERING - SUPPLY OF POLYELECTROLYTE, SLUDGE AND WASH WATER MAIN</t>
  </si>
  <si>
    <t>d) Perimeter fencing</t>
  </si>
  <si>
    <t>c) New MCC Building for the Belt Press Set C</t>
  </si>
  <si>
    <t>Fabrication, supply, delivery and Installation of Vehicular Access Gate</t>
  </si>
  <si>
    <t xml:space="preserve">Fabrication, supply, delivery and Installation of Gate for Pedestrian Access </t>
  </si>
  <si>
    <t>Dewatering building floor coating - Specialist coating to be applied by an approved applicator</t>
  </si>
  <si>
    <t xml:space="preserve">Mechanically prepare surface and vacuum clean. Prime and apply "Vuka Crete LC or similar approved)  at a minimal thickness of 2mm in strict accordance with the manufacturer's instructions </t>
  </si>
  <si>
    <t>Bund walls as per drawings JW14060-CE-005,6&amp;7</t>
  </si>
  <si>
    <t>Dewatering building concrete floor walkways and demarcation as per drawing JW14060-ME-001&amp;2</t>
  </si>
  <si>
    <t>2.5.61</t>
  </si>
  <si>
    <t>2.5.62</t>
  </si>
  <si>
    <t>2.5.63</t>
  </si>
  <si>
    <t>2.5.64</t>
  </si>
  <si>
    <t>2.5.65</t>
  </si>
  <si>
    <t>Isolation Knife gate valves DN250</t>
  </si>
  <si>
    <t>3.1.2.44</t>
  </si>
  <si>
    <t>3.1.2.45</t>
  </si>
  <si>
    <t>3.1.2.46</t>
  </si>
  <si>
    <t>3.1.3.41</t>
  </si>
  <si>
    <t>3.1.3.42</t>
  </si>
  <si>
    <t>Removal of redundant the Belt Press associated wash water, Polyelectrolyte &amp; sludge pipework</t>
  </si>
  <si>
    <t>Polyelectrolyte dosing pumps</t>
  </si>
  <si>
    <t>Sludge and Polyelectrolyte Inline Mixing unit per belt</t>
  </si>
  <si>
    <t>Polyelectrolyte Storage/Holding Tank and Dosing (Ref: JW14060-ME-003 to 004 &amp; JW14060-CI-006 to 010)</t>
  </si>
  <si>
    <t>VSD controlled Polyelectrolyte Dosing (positive displacement) Pump including drive motor, units and VSD per Belt Press at 0-1.9 m3/hr</t>
  </si>
  <si>
    <t>New 304L Stainless Steel 49m³ (Dia. 4600mm by 3200mm High) Polyelectrolyte Holding Tank (open tank)</t>
  </si>
  <si>
    <t>VSD controlled Polyelectrolyte Dosing (positive displacement) Pump including drive motor, units and VSD per Belt Press at 0-1.9 m³/hr</t>
  </si>
  <si>
    <t>New 304L Stainless Steel 50m³ (Dia. 5150mm by 2400mm High) Polyelectrolyte Holding Tank (open tank)</t>
  </si>
  <si>
    <t>Polyelectrolyte dosing pump flowmeter/flow switch indicator</t>
  </si>
  <si>
    <t>Manifold isolation gate valve DN200</t>
  </si>
  <si>
    <t>Manifold sludge return control valve DN200</t>
  </si>
  <si>
    <t>Dedicated Sludge feed Isolation valves per feed line to the Belt Press DN150</t>
  </si>
  <si>
    <t xml:space="preserve">Dedicated Sludge feed control valve to Belt Press per belts DN150 with Actuator </t>
  </si>
  <si>
    <t>New Sludge Feed Line to the New Belt Presses (Ref: JW14060-ME-003 &amp; JW14060-ME-004)</t>
  </si>
  <si>
    <t>wash box Brush seal SCW90  (1m lengths)</t>
  </si>
  <si>
    <t>Maintanance spares for the Existing x4 Belt Press (set B)</t>
  </si>
  <si>
    <t>2.5.66</t>
  </si>
  <si>
    <t>2.5.67</t>
  </si>
  <si>
    <t>2.5.68</t>
  </si>
  <si>
    <t>2.5.69</t>
  </si>
  <si>
    <t>Wash Water Distribution Pumps with Associated equipment (Ref: JW14060-ME-008, JW14060-ME-009 &amp; JW14060-CI-011)</t>
  </si>
  <si>
    <t>Wash Water Transfer Pumps with Associated equipment 
Refer drawing JW14060-CI-011 &amp; JW14060-ME-032</t>
  </si>
  <si>
    <t>All crabon streuctural steel mebers and sections including nuts, bolts washers are to be Hot Dip Galvanized (Heavy Duty) as per SANS 121: 2000</t>
  </si>
  <si>
    <t>2.5.35</t>
  </si>
  <si>
    <t>2.5.36</t>
  </si>
  <si>
    <t>2.5.37</t>
  </si>
  <si>
    <t>Open grid floors and Stair case.</t>
  </si>
  <si>
    <t>2.5.38</t>
  </si>
  <si>
    <t>Platform and Staircases steelwork including welding to include;</t>
  </si>
  <si>
    <t>· Universal support beams - 152x152x23</t>
  </si>
  <si>
    <t>· Rolled steel angles - 50X50X6L AND 60X60X6L</t>
  </si>
  <si>
    <t>2.5.39</t>
  </si>
  <si>
    <t>Platform or walkway grating; 40mm Bearer Bars @ 43mm centers,</t>
  </si>
  <si>
    <t>7,6mm Transverse Bars @ 50mm centers</t>
  </si>
  <si>
    <t>Serrated, Banded , Galvanized</t>
  </si>
  <si>
    <t>2.5.40</t>
  </si>
  <si>
    <t xml:space="preserve">Serrated, Banded , Galvanized </t>
  </si>
  <si>
    <t>2.5.41</t>
  </si>
  <si>
    <t>2.5.42</t>
  </si>
  <si>
    <t>Non-slip nosing on all stair threads or landing edges</t>
  </si>
  <si>
    <t>2.5.43</t>
  </si>
  <si>
    <t>kick-flat 130x8mm galvanized</t>
  </si>
  <si>
    <t>2.5.44</t>
  </si>
  <si>
    <t>2.5.45</t>
  </si>
  <si>
    <t>Steel Fasteners (various sizes) for mounting of structural steelwork items including washers and corrosion isolation materials between dissimilar metals e.g. M16 or M20 threaded bolts, fixing clips, nuts and washers</t>
  </si>
  <si>
    <t>2.5.46</t>
  </si>
  <si>
    <t>Shop detailing drawings preparation</t>
  </si>
  <si>
    <t>2.5.47</t>
  </si>
  <si>
    <t>2.5.48</t>
  </si>
  <si>
    <t>Access Doors</t>
  </si>
  <si>
    <t>2.5.49</t>
  </si>
  <si>
    <t>2.5.50</t>
  </si>
  <si>
    <t>Plant room louvers</t>
  </si>
  <si>
    <t>2.5.51</t>
  </si>
  <si>
    <t>2.5.52</t>
  </si>
  <si>
    <t>Structural Steelwork</t>
  </si>
  <si>
    <t>2.5.53</t>
  </si>
  <si>
    <t>2.5.54</t>
  </si>
  <si>
    <t>New Crawl beams and Refurbishment of the old</t>
  </si>
  <si>
    <t>2.5.55</t>
  </si>
  <si>
    <t>2.5.56</t>
  </si>
  <si>
    <t>2.5.57</t>
  </si>
  <si>
    <t>2.5.58</t>
  </si>
  <si>
    <t>Ventilation for the MCC Room</t>
  </si>
  <si>
    <t>2.5.59</t>
  </si>
  <si>
    <t>2.5.60</t>
  </si>
  <si>
    <t>2.5.70</t>
  </si>
  <si>
    <t>2.5.71</t>
  </si>
  <si>
    <t>Glycerine filled Pressure gauges with tell tale installed with each ancillaries as per detail in drawing JW14060-ME-032</t>
  </si>
  <si>
    <t>Pipework as per the schedule listed on drawing JW14060-ME-032 except those items listed between 3.1.2.19 to 3.1.2.25</t>
  </si>
  <si>
    <t>Pipework relating to modifications  mainline flowmeter bypass as schedule in drawings JW14060-ME-010</t>
  </si>
  <si>
    <t>Wash water  Non-return valve with flanges DN250</t>
  </si>
  <si>
    <t>Wash water Isolation resilient seated non-rising valves DN250</t>
  </si>
  <si>
    <t>Sump or drain covers; 30mm Bearer Bars @ 43mm centers</t>
  </si>
  <si>
    <t xml:space="preserve">Stair treadS standard rectagrid with 30 x 4.5 bearer bars &amp; 750 x 245/25mm wide Galvanized </t>
  </si>
  <si>
    <t>Pipework relating to modifications  mainline flowmeter bypass</t>
  </si>
  <si>
    <t>1.3.11</t>
  </si>
  <si>
    <t>1.3.12</t>
  </si>
  <si>
    <t>Contractor's stated commission on the 1.3.7  provisional sum above</t>
  </si>
  <si>
    <t>1.3.13</t>
  </si>
  <si>
    <t>1.3.14</t>
  </si>
  <si>
    <t xml:space="preserve"> Nothern Works CCTV Security System</t>
  </si>
  <si>
    <t>Contractor's stated commission on the 1.3.13 provisional sum above</t>
  </si>
  <si>
    <t>Contractor's stated commission on the 1.3.11 provisional sum above</t>
  </si>
  <si>
    <r>
      <t>b) Min. 6m</t>
    </r>
    <r>
      <rPr>
        <sz val="11"/>
        <rFont val="Calibri"/>
        <family val="2"/>
      </rPr>
      <t>³</t>
    </r>
    <r>
      <rPr>
        <sz val="11"/>
        <rFont val="Arial Narrow"/>
        <family val="2"/>
      </rPr>
      <t xml:space="preserve"> Tip truck:</t>
    </r>
  </si>
  <si>
    <r>
      <t>m</t>
    </r>
    <r>
      <rPr>
        <vertAlign val="superscript"/>
        <sz val="11"/>
        <color theme="1"/>
        <rFont val="Calibri"/>
        <family val="2"/>
        <scheme val="minor"/>
      </rPr>
      <t>3</t>
    </r>
  </si>
  <si>
    <t>SANS1200HC</t>
  </si>
  <si>
    <t>SANS1200 LC</t>
  </si>
  <si>
    <r>
      <t xml:space="preserve">NB: </t>
    </r>
    <r>
      <rPr>
        <i/>
        <sz val="11"/>
        <color theme="1"/>
        <rFont val="Arial Narrow"/>
        <family val="2"/>
      </rPr>
      <t>Rates to include for all steel material the appropriate Corrosion protection i.e. Hot dipped galvanized to SANS 121</t>
    </r>
  </si>
  <si>
    <r>
      <t>·</t>
    </r>
    <r>
      <rPr>
        <sz val="11"/>
        <color theme="1"/>
        <rFont val="Arial Narrow"/>
        <family val="2"/>
      </rPr>
      <t xml:space="preserve"> Parallel flange channels - 180x70PFC</t>
    </r>
  </si>
  <si>
    <r>
      <t>m</t>
    </r>
    <r>
      <rPr>
        <vertAlign val="superscript"/>
        <sz val="11"/>
        <rFont val="Arial Narrow"/>
        <family val="2"/>
      </rPr>
      <t>2</t>
    </r>
  </si>
  <si>
    <r>
      <t>m</t>
    </r>
    <r>
      <rPr>
        <vertAlign val="superscript"/>
        <sz val="11"/>
        <rFont val="Arial Narrow"/>
        <family val="2"/>
      </rPr>
      <t>3</t>
    </r>
  </si>
  <si>
    <r>
      <t>Sludge transfer pump with drive motor @ 396m</t>
    </r>
    <r>
      <rPr>
        <sz val="11"/>
        <rFont val="Calibri"/>
        <family val="2"/>
      </rPr>
      <t>³</t>
    </r>
    <r>
      <rPr>
        <sz val="11"/>
        <rFont val="Arial Narrow"/>
        <family val="2"/>
      </rPr>
      <t>/hr at 20m</t>
    </r>
  </si>
  <si>
    <r>
      <t xml:space="preserve">Polyelectrolyte Preparation and Storage Silo Equipment
· Silo paint rehabilitation
· Filling Pipe Assembly
· Proximity Switch for Filter Start/Stop
· Flanged Pneumatic Conveying blow-line
· Silo Supporting Structure
· Silo Handrailing and Access Cat Ladder
· Silo Inspection Manhole Cover
· Over pressure valve
· Emergency Level Switch
· Vibrating Bin Discharge c/w motor
· Side mount filter housing and reverse jet filter c/w fan motor
· Pulsating sequential controller
· Compressed air regulation station
</t>
    </r>
    <r>
      <rPr>
        <sz val="11"/>
        <rFont val="Calibri"/>
        <family val="2"/>
      </rPr>
      <t>·</t>
    </r>
    <r>
      <rPr>
        <sz val="11"/>
        <rFont val="Arial Narrow"/>
        <family val="2"/>
      </rPr>
      <t xml:space="preserve"> Weather Cover for the Roof Instrumentation</t>
    </r>
  </si>
  <si>
    <t>2.3.46</t>
  </si>
  <si>
    <t>2.3.83</t>
  </si>
  <si>
    <t>2.3.84</t>
  </si>
  <si>
    <t>2.3.85</t>
  </si>
  <si>
    <t>2.3.86</t>
  </si>
  <si>
    <t>2.3.87</t>
  </si>
  <si>
    <t>Wash water  Non-return valve with flanges DN200</t>
  </si>
  <si>
    <t xml:space="preserve"> SECTION 4:  ELECTRICAL ENGINEERING REQUIREMENTS</t>
  </si>
  <si>
    <t>Ref DWG: JW14060R-CE-001 &amp; 002</t>
  </si>
  <si>
    <t>(1) Face brick - Exterior Walls - Makoro Dark Face Bricks in class II cement mortar</t>
  </si>
  <si>
    <t>(2) Interior Walls - Clay Stock Bricks in class II cement mortar</t>
  </si>
  <si>
    <t>(3) Cable Trench Walls - Clay Stock Bricks in class II cement mortar</t>
  </si>
  <si>
    <t>2.2.91</t>
  </si>
  <si>
    <t>Brickwork Sundries</t>
  </si>
  <si>
    <t>2.2.92</t>
  </si>
  <si>
    <t xml:space="preserve">Bagging of 1:6 cement sand mixture </t>
  </si>
  <si>
    <t>2.2.93</t>
  </si>
  <si>
    <t>(1) On outer face of inner skin of brick surfaces</t>
  </si>
  <si>
    <t>2.2.94</t>
  </si>
  <si>
    <t xml:space="preserve">Brickwork reinforcement </t>
  </si>
  <si>
    <t>2.2.95</t>
  </si>
  <si>
    <t>(1) Reinforcement built in horizontally in one brick wall</t>
  </si>
  <si>
    <t>2.2.96</t>
  </si>
  <si>
    <t xml:space="preserve">Pre-stressed fabricated lintels </t>
  </si>
  <si>
    <t>2.2.97</t>
  </si>
  <si>
    <t>(1) 110 x 90mm Lintels in lengths not exceeding 3m</t>
  </si>
  <si>
    <t>2.2.111</t>
  </si>
  <si>
    <t>Plastering</t>
  </si>
  <si>
    <t>2.2.112</t>
  </si>
  <si>
    <t>One coat cement plaster on brickwork walls (internal)</t>
  </si>
  <si>
    <t>2.2.113</t>
  </si>
  <si>
    <t>Paintwork</t>
  </si>
  <si>
    <t>2.2.114</t>
  </si>
  <si>
    <t>On internal walls one coat Plascon UC56 plaster primer (thinned down 20% with mineral turpentine), and two coats Plascon Double Velvet paint</t>
  </si>
  <si>
    <t>2.2.102</t>
  </si>
  <si>
    <t>Building louvres Size 495x1000mm (HxL), painted with vermin proof mesh</t>
  </si>
  <si>
    <t>2.2.107</t>
  </si>
  <si>
    <t xml:space="preserve">a) 4mm Derbigum SP4 fully bonded waterproofing membrane including sealed to the roof deck by torch-on fusion with 75mm side laps and 100mm end laps including priming with bitumen primer and finished with two coats Derbigum Aluminium Paint. laid under a 10 year guarantee by an approved specialist sub-contractor. </t>
  </si>
  <si>
    <t>2.2.108</t>
  </si>
  <si>
    <t xml:space="preserve">b) One layer of 375 micron "Consol Plastics Gunplas USB Green" waterproof sheeting sealed at laps with "Gunplas Pressure Sensitive Tape"  </t>
  </si>
  <si>
    <t>2.2.109</t>
  </si>
  <si>
    <t>(c) One layer of 375 micron Brikgrip DPC embossed damp proof in walls</t>
  </si>
  <si>
    <t>2.2.110</t>
  </si>
  <si>
    <t>(d) Two coats "Brixeal" bitumen emulsion waterproof coating on outer brick walls</t>
  </si>
  <si>
    <t>2.2.98</t>
  </si>
  <si>
    <t>2.2.99</t>
  </si>
  <si>
    <t>2.2.100</t>
  </si>
  <si>
    <t>2.2.101</t>
  </si>
  <si>
    <t>2.2.103</t>
  </si>
  <si>
    <t>2.2.104</t>
  </si>
  <si>
    <t>2.2.105</t>
  </si>
  <si>
    <t>2.2.106</t>
  </si>
  <si>
    <t>2.2.115</t>
  </si>
  <si>
    <t>2.2.116</t>
  </si>
  <si>
    <t>2.2.117</t>
  </si>
  <si>
    <t>2.2.118</t>
  </si>
  <si>
    <t>2.3.89</t>
  </si>
  <si>
    <t>2.3.90</t>
  </si>
  <si>
    <t>2.3.91</t>
  </si>
  <si>
    <t>2.3.92</t>
  </si>
  <si>
    <t>2.3.93</t>
  </si>
  <si>
    <t>2.3.94</t>
  </si>
  <si>
    <t>2.3.95</t>
  </si>
  <si>
    <t>2.3.96</t>
  </si>
  <si>
    <t>2.3.97</t>
  </si>
  <si>
    <t>2.3.98</t>
  </si>
  <si>
    <t>Slip Joint between brickwork and underside roof slab , 2 layers 3 ply malthoid over 2 mm thick tempered Masonite over smooth mortar bed (Typical see "Detail 2" on dwg JW14060R-CE-003 &amp; 4)</t>
  </si>
  <si>
    <t>Slip Joint between brickwork and underside roof slab , 2 layers 3 ply malthoid over 2 mm thick tempered Masonite over smooth mortar bed (Typical see "Detail 2" on dwg JW14060R-CE-001 &amp; 2)</t>
  </si>
  <si>
    <t>1600 mm x 1600 mm x 920 mm (internal dimensions) cable manhole including excavations, backfilling, 170 mm concrete floor slab, 200 mm concrete walls, 200 mm concrete roof slab. Inclusive of single size 30mm crushed stone in 200 mm x 800 mm x 1200 mm in recess slab.</t>
  </si>
  <si>
    <t>2.4.75</t>
  </si>
  <si>
    <t>2.4.82</t>
  </si>
  <si>
    <t>2.4.83</t>
  </si>
  <si>
    <t>2.4.84</t>
  </si>
  <si>
    <t>2.4.85</t>
  </si>
  <si>
    <t>2.4.86</t>
  </si>
  <si>
    <t>2.4.87</t>
  </si>
  <si>
    <t>2.4.88</t>
  </si>
  <si>
    <t>2.4.89</t>
  </si>
  <si>
    <t>2.4.90</t>
  </si>
  <si>
    <t>2.4.91</t>
  </si>
  <si>
    <t>2.4.92</t>
  </si>
  <si>
    <t>2.4.93</t>
  </si>
  <si>
    <t>2.4.94</t>
  </si>
  <si>
    <t>2.4.95</t>
  </si>
  <si>
    <t>2.4.96</t>
  </si>
  <si>
    <t>2.3.99</t>
  </si>
  <si>
    <t>2.3.100</t>
  </si>
  <si>
    <t>2.3.101</t>
  </si>
  <si>
    <t>2.3.102</t>
  </si>
  <si>
    <t>2.5.2</t>
  </si>
  <si>
    <t>2.5.3</t>
  </si>
  <si>
    <t>2.5.4</t>
  </si>
  <si>
    <t>2.5.5</t>
  </si>
  <si>
    <t>2.5.6</t>
  </si>
  <si>
    <t>2.5.7</t>
  </si>
  <si>
    <t>2.5.8</t>
  </si>
  <si>
    <t>2.5.9</t>
  </si>
  <si>
    <t>2.5.10</t>
  </si>
  <si>
    <t>2.5.1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</si>
  <si>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</si>
  <si>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</si>
  <si>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</si>
  <si>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</si>
  <si>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</si>
  <si>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</si>
  <si>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</si>
  <si>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</si>
  <si>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</si>
  <si>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</si>
  <si>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</si>
  <si>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</si>
  <si>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</si>
  <si>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</si>
  <si>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</si>
  <si>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</si>
  <si>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</si>
  <si>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</si>
  <si>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</si>
  <si>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</si>
  <si>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</si>
  <si>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</si>
  <si>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</si>
  <si>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SCHEDULE 2.5 : CIVIL ENGINEERING - BELT PRESS STRUCTURAL SUPPORT AND GENERAL ITEMS</t>
  </si>
  <si>
    <t>Steel bar in stub columns: High tensile-25mm</t>
  </si>
  <si>
    <t>Steel bar in Foundations and Bund walls: High tensile-25mm</t>
  </si>
  <si>
    <t>Bundwall floors Slab - Mesh Ref. 193</t>
  </si>
  <si>
    <t>Ventilation MCC Filters mesh (600x600) Complete Unit Supply</t>
  </si>
  <si>
    <t>Security palisade/ steel fencing complete as per details in drawing JW14060R-STD-003 including all material, resources and labour for fabrication, supply and installation</t>
  </si>
  <si>
    <t>Contractor's stated commission on the 2.5.57 and 2.5.58 provisional sum above</t>
  </si>
  <si>
    <t>Contractor's stated commission on the 3.1.2.1 to 3.1.2.3 provisional sum above</t>
  </si>
  <si>
    <t>Interconnecting galvanised piping, associated fittings and bolting ancillaries</t>
  </si>
  <si>
    <t>DN25 Polyelectrolyte Discharge Control valves with actuators</t>
  </si>
  <si>
    <t>DN25 Pressure relief valves for each valve discharge</t>
  </si>
  <si>
    <t>DN50 Solenoids valve for wash water feed</t>
  </si>
  <si>
    <t>Isolation ball Valves - sizes between DN25 and DN 50</t>
  </si>
  <si>
    <t>Wash water control valves (DN150 pressure reducing and flow control)</t>
  </si>
  <si>
    <t>Drain, clean and refurb where required of the stainless steel 35m³ and 49m³ Polyelectrolyte make-up tanks</t>
  </si>
  <si>
    <t>Interconnecting galvanised piping, associated fittings and  ancillaries</t>
  </si>
  <si>
    <t>Coordination design drawings, project &amp; quality management and selecting the appropriate belt press based on the specification provided.</t>
  </si>
  <si>
    <t>Delivery: Packing, handling and freight to site for items 3.2.3.1 to 3.2.3.5</t>
  </si>
  <si>
    <t>Interconnecting galvanised Pipework and fittings from tanks to Belt Press</t>
  </si>
  <si>
    <t>Dosing pump Non-return valve,DN25 per dosing pump for each Belt Press</t>
  </si>
  <si>
    <t>Dosing pump isolation ball valves, DN25 per Belt Press</t>
  </si>
  <si>
    <t>DN50 Isolation ball valves for the new holding tank on the downstream side</t>
  </si>
  <si>
    <t>DN25 Dosing pump Pressure relief valve per dosing pump for each Belt Press</t>
  </si>
  <si>
    <t>DN50 Wash water feed isolation valves per belt press</t>
  </si>
  <si>
    <t>Contractor's stated commission on 3.2.3.12 provisional sum</t>
  </si>
  <si>
    <t>PSX 6.1 (d)</t>
  </si>
  <si>
    <t>Provisional Sum for PLC upgrade and standardisation</t>
  </si>
  <si>
    <t>Mechanical Equipment</t>
  </si>
  <si>
    <t>3.1.4</t>
  </si>
  <si>
    <t>3.1.4.1</t>
  </si>
  <si>
    <t>3.1.4.2</t>
  </si>
  <si>
    <t>3.1.4.3</t>
  </si>
  <si>
    <t>3.1.4.4</t>
  </si>
  <si>
    <t>SECTION 3.2 : MECHANICAL ENGINEERING - SUPPLY OF NEW and REFURBISHMENT OF BELT PRESS WITH ASSOCIATED EQUIPMENT</t>
  </si>
  <si>
    <t>Interconnecting pipework and fittings</t>
  </si>
  <si>
    <t>Painting and Coating of fence and access gates complete</t>
  </si>
  <si>
    <t>Slab to entrances plus apron slabs</t>
  </si>
  <si>
    <t>MCC A, B, C and Solar system Battery room HVAC 
NB. Capacity of fans and aircon to be recalculated before procurement</t>
  </si>
  <si>
    <t>Split type Air-Conditioning Unit for the PLC and Control room with a capacity of 20000 Btu's/hr with associated ancillaries</t>
  </si>
  <si>
    <t>3.2.4.26</t>
  </si>
  <si>
    <t>3.2.4.27</t>
  </si>
  <si>
    <t>Design, fabrication, and installation of a NEW conveyor belt associated with Set C belt press with an approximate length of 20m.</t>
  </si>
  <si>
    <t>Refurbishment of the conveyor belt associated ancillaries associated with the Set A Belt Presses that is approximately 35m.</t>
  </si>
  <si>
    <t>Refurbishment of the conveyor belt ancillaries associated with the Set B Belt Presses that is approximately 46m.</t>
  </si>
  <si>
    <t>SUMMARY OF SCHEDULE OF QUANTITIES</t>
  </si>
  <si>
    <r>
      <t xml:space="preserve">SCHEDULE 1: </t>
    </r>
    <r>
      <rPr>
        <sz val="11"/>
        <color theme="1"/>
        <rFont val="Arial"/>
        <family val="2"/>
      </rPr>
      <t>PRELIMINARY &amp;</t>
    </r>
    <r>
      <rPr>
        <b/>
        <sz val="11"/>
        <color theme="1"/>
        <rFont val="Arial"/>
        <family val="2"/>
      </rPr>
      <t xml:space="preserve"> </t>
    </r>
    <r>
      <rPr>
        <sz val="11"/>
        <color theme="1"/>
        <rFont val="Arial"/>
        <family val="2"/>
      </rPr>
      <t>GENERAL</t>
    </r>
  </si>
  <si>
    <t>R</t>
  </si>
  <si>
    <r>
      <t xml:space="preserve">SCHEDULE 2: </t>
    </r>
    <r>
      <rPr>
        <sz val="11"/>
        <color theme="1"/>
        <rFont val="Arial"/>
        <family val="2"/>
      </rPr>
      <t>CIVIL ENGINEERING AND BUILDINGS</t>
    </r>
    <r>
      <rPr>
        <b/>
        <sz val="11"/>
        <color theme="1"/>
        <rFont val="Arial"/>
        <family val="2"/>
      </rPr>
      <t xml:space="preserve"> </t>
    </r>
    <r>
      <rPr>
        <sz val="11"/>
        <color theme="1"/>
        <rFont val="Arial"/>
        <family val="2"/>
      </rPr>
      <t>WORKS</t>
    </r>
  </si>
  <si>
    <r>
      <t xml:space="preserve">SCHEDULE 3: </t>
    </r>
    <r>
      <rPr>
        <sz val="11"/>
        <color theme="1"/>
        <rFont val="Arial"/>
        <family val="2"/>
      </rPr>
      <t>MECHANICAL ENGINEERING</t>
    </r>
    <r>
      <rPr>
        <b/>
        <sz val="11"/>
        <color theme="1"/>
        <rFont val="Arial"/>
        <family val="2"/>
      </rPr>
      <t xml:space="preserve"> </t>
    </r>
    <r>
      <rPr>
        <sz val="11"/>
        <color theme="1"/>
        <rFont val="Arial"/>
        <family val="2"/>
      </rPr>
      <t>WORKS</t>
    </r>
  </si>
  <si>
    <r>
      <t xml:space="preserve">SCHEDULE 4: </t>
    </r>
    <r>
      <rPr>
        <sz val="11"/>
        <color theme="1"/>
        <rFont val="Arial"/>
        <family val="2"/>
      </rPr>
      <t>ELECTRICAL</t>
    </r>
    <r>
      <rPr>
        <b/>
        <sz val="11"/>
        <color theme="1"/>
        <rFont val="Arial"/>
        <family val="2"/>
      </rPr>
      <t xml:space="preserve"> </t>
    </r>
    <r>
      <rPr>
        <sz val="11"/>
        <color theme="1"/>
        <rFont val="Arial"/>
        <family val="2"/>
      </rPr>
      <t>ENGINEERING WORKS</t>
    </r>
  </si>
  <si>
    <r>
      <t xml:space="preserve">SCHEDULE 5: </t>
    </r>
    <r>
      <rPr>
        <sz val="11"/>
        <color theme="1"/>
        <rFont val="Arial"/>
        <family val="2"/>
      </rPr>
      <t>CONTROL AND INSTRUMENTATION ENGINEERING WORKS</t>
    </r>
  </si>
  <si>
    <t>SUB TOTAL 1</t>
  </si>
  <si>
    <t>ADD:</t>
  </si>
  <si>
    <t>TOTAL CARRIED TO FORM OF OFFER</t>
  </si>
  <si>
    <r>
      <t xml:space="preserve">SCHEDULE 6: </t>
    </r>
    <r>
      <rPr>
        <sz val="11"/>
        <color theme="1"/>
        <rFont val="Arial"/>
        <family val="2"/>
      </rPr>
      <t>TESTING AND COMMISSIONING</t>
    </r>
  </si>
  <si>
    <t>TOTAL CARRIED FORWARD TO SCHEDULE 2.2</t>
  </si>
  <si>
    <t>TOTAL BROUGHT FORWARD FROM SECTION 2.1</t>
  </si>
  <si>
    <t>TOTAL CARRIED FORWARD TO SCHEDULE 2.3</t>
  </si>
  <si>
    <t>TOTAL BROUGHT FORWARD FROM SECTION 2.2</t>
  </si>
  <si>
    <t>TOTAL CARRIED FORWARD TO SCHEDULE 2.4</t>
  </si>
  <si>
    <t>SCHEDULE 2.4 : CIVIL ENGINEERING - NEW SOLAR BATTERY ROOM</t>
  </si>
  <si>
    <t>TOTAL BROUGHT FORWARD FROM SECTION 2.3</t>
  </si>
  <si>
    <t>TOTAL CARRIED FORWARD TO SCHEDULE 2.5</t>
  </si>
  <si>
    <t>TOTAL BROUGHT FORWARD FROM SCHEDULE 2.4</t>
  </si>
  <si>
    <t>TOTAL CARRIED FORWARD TO SCHEDULE 3.2</t>
  </si>
  <si>
    <t>TOTAL BROUGHT FORWARD FROM SCHEDULE 3.1</t>
  </si>
  <si>
    <t>TOTAL FOR SCHEDULE 2 CARRIED FORWARD TO SUMMARY</t>
  </si>
  <si>
    <t>TOTAL FOR SCHEDULE 3 CARRIED FORWARD TO SUMMARY</t>
  </si>
  <si>
    <t>TOTAL FOR SCHEDULE 4 CARRIED FORWARD TO SUMMARY</t>
  </si>
  <si>
    <t>TOTAL FOR SCHEDULE 6 CARRIED FORWARD TO SUMMARY</t>
  </si>
  <si>
    <t>TOTAL FOR SCHEDULE 5 CARRIED FORWARD TO SUMMARY</t>
  </si>
  <si>
    <t>TOTAL FOR SCHEDULE 1 CARRIED FORWARD TO SUMMARY</t>
  </si>
  <si>
    <t>C2.2 BILL OF QUANTITIES</t>
  </si>
  <si>
    <t>CONTENTS</t>
  </si>
  <si>
    <r>
      <t>SCHEDULE 2:</t>
    </r>
    <r>
      <rPr>
        <sz val="11"/>
        <color theme="1"/>
        <rFont val="Arial"/>
        <family val="2"/>
      </rPr>
      <t xml:space="preserve"> CIVIL ENGINEERING AND BUILDINGS</t>
    </r>
    <r>
      <rPr>
        <b/>
        <sz val="11"/>
        <color theme="1"/>
        <rFont val="Arial"/>
        <family val="2"/>
      </rPr>
      <t xml:space="preserve"> </t>
    </r>
    <r>
      <rPr>
        <sz val="11"/>
        <color theme="1"/>
        <rFont val="Arial"/>
        <family val="2"/>
      </rPr>
      <t>WORKS</t>
    </r>
  </si>
  <si>
    <r>
      <t>SCHEDULE 3:</t>
    </r>
    <r>
      <rPr>
        <sz val="11"/>
        <color theme="1"/>
        <rFont val="Arial"/>
        <family val="2"/>
      </rPr>
      <t xml:space="preserve"> MECHANICAL</t>
    </r>
    <r>
      <rPr>
        <b/>
        <sz val="11"/>
        <color theme="1"/>
        <rFont val="Arial"/>
        <family val="2"/>
      </rPr>
      <t xml:space="preserve"> </t>
    </r>
    <r>
      <rPr>
        <sz val="11"/>
        <color theme="1"/>
        <rFont val="Arial"/>
        <family val="2"/>
      </rPr>
      <t>ENGINEERING WORKS</t>
    </r>
  </si>
  <si>
    <r>
      <t>SCHEDULE 4:</t>
    </r>
    <r>
      <rPr>
        <sz val="11"/>
        <color theme="1"/>
        <rFont val="Arial"/>
        <family val="2"/>
      </rPr>
      <t xml:space="preserve"> ELECTRICAL ENGINEERING WORKS</t>
    </r>
  </si>
  <si>
    <r>
      <t>SCHEDULE 5:</t>
    </r>
    <r>
      <rPr>
        <sz val="11"/>
        <color theme="1"/>
        <rFont val="Arial"/>
        <family val="2"/>
      </rPr>
      <t xml:space="preserve"> INSTRUMENTATION AND CONTROL ENGINEERING WORKS</t>
    </r>
  </si>
  <si>
    <r>
      <t>SCHEDULE 6:</t>
    </r>
    <r>
      <rPr>
        <sz val="11"/>
        <color theme="1"/>
        <rFont val="Arial"/>
        <family val="2"/>
      </rPr>
      <t xml:space="preserve"> TESTING AND COMMISSIONING WORKS</t>
    </r>
  </si>
  <si>
    <t>Clamp on flow meter on belt press filtrate flow</t>
  </si>
  <si>
    <r>
      <t>Wash water transfer pumps (End-suction Centrifugal type) with drive units @ 540m</t>
    </r>
    <r>
      <rPr>
        <sz val="11"/>
        <rFont val="Calibri"/>
        <family val="2"/>
      </rPr>
      <t>³</t>
    </r>
    <r>
      <rPr>
        <sz val="11"/>
        <rFont val="Arial Narrow"/>
        <family val="2"/>
      </rPr>
      <t>/hr at 15m</t>
    </r>
  </si>
  <si>
    <t>Washwater Feed and Transfer pumps with associated drive units</t>
  </si>
  <si>
    <t>Polyelectrolyte pipework and redundant associated equipment</t>
  </si>
  <si>
    <t>Washwater feed and transfer pipework and associated equipment</t>
  </si>
  <si>
    <t>Washwater supply (End-suction centrifugal type) pumps at the Dewatering Building with drive units @ 250m³/hr at 85m</t>
  </si>
  <si>
    <r>
      <t>Sludge transfer (self-priming) pump with drive motor @ 396m</t>
    </r>
    <r>
      <rPr>
        <sz val="11"/>
        <rFont val="Calibri"/>
        <family val="2"/>
      </rPr>
      <t>³</t>
    </r>
    <r>
      <rPr>
        <sz val="11"/>
        <rFont val="Arial Narrow"/>
        <family val="2"/>
      </rPr>
      <t>/hr at 20m</t>
    </r>
  </si>
  <si>
    <t>PSX 6.3 &amp; 6.4</t>
  </si>
  <si>
    <t>1.1kW 400V/50hz/3ph IP65 rated axial forced ventilation fan, with a capacity of 1.6m3/hr, wall mounted with a pocket filter and a 1.2mm THK 3CR12 expocy coated 500X500mm louvre and  cover/casing sheet with support ancillaries and complete with magnahelic gauge</t>
  </si>
  <si>
    <t>1.1kW 400V/50hz/3ph IP65 rated axial forced ventilation fan, with a capacity of 1m3/hr, wall mounted with a pocket filter and a 1.2mm THK 3CR12 expocy coated 500X500mm louvre and  cover/casing sheet with support ancillaries and complete with magnahelic gauge</t>
  </si>
  <si>
    <t>Wash water transfer by-pump (self-priming Centrifugal type) with drive units for the Unit 3 Chlorine contact chamber @ 540m³/hr at 15m</t>
  </si>
  <si>
    <t>Wash water transfer by-pump (self-primming Centrifugal type) with drive units for the Unit 3 Chlorine contact chamber @ 540m³/hr at 15m</t>
  </si>
  <si>
    <t>1.3.15</t>
  </si>
  <si>
    <t>1.3.16</t>
  </si>
  <si>
    <t>Contract dispute resolution - Arbitration appointment</t>
  </si>
  <si>
    <r>
      <t xml:space="preserve">15% of above sub-total (2) for </t>
    </r>
    <r>
      <rPr>
        <b/>
        <sz val="9"/>
        <color theme="1"/>
        <rFont val="Arial"/>
        <family val="2"/>
      </rPr>
      <t>VALUE ADDED TAX (VAT)</t>
    </r>
  </si>
  <si>
    <t>SUB TOTAL 2</t>
  </si>
  <si>
    <t>Specialised Plant Operator training on all installed equipment and as a system</t>
  </si>
  <si>
    <t>1.3.20</t>
  </si>
  <si>
    <t>1.3.21</t>
  </si>
  <si>
    <t>Contractor's stated commission on the 1.3.15 provisional sum above</t>
  </si>
  <si>
    <t>1.3.17</t>
  </si>
  <si>
    <t>Provisional Sum for Repair Work on existing Dewatering Infrastructure</t>
  </si>
  <si>
    <t>1.3.18</t>
  </si>
  <si>
    <t>Contractor's stated commission on the 1.3.17 provisional sum above</t>
  </si>
  <si>
    <t>Formal Skills Development Training of all Local Lobour</t>
  </si>
  <si>
    <t>Provisional Sum for Forward Cover and Exchange Rate Fluctuations on Imported Equipment</t>
  </si>
  <si>
    <t>Site Acceptance Tests or Commissioning/Trial Operation</t>
  </si>
  <si>
    <t>Appointment of Project Communit Liason and Labour Desk Officers (CLO / LDO) for the duration of Contract Period</t>
  </si>
  <si>
    <t>PS12.7.1a</t>
  </si>
  <si>
    <t>1.1.27</t>
  </si>
  <si>
    <t>PSAB 8.2.11</t>
  </si>
  <si>
    <t>1.6.7</t>
  </si>
  <si>
    <t>Providing augment reality 3D modelling or BIM in order to produce a 3D model of the Upgraded Belt Press Building</t>
  </si>
  <si>
    <t>Contractor's stated commission on the item 1.6.1 to 1.6.6  provisional sum above</t>
  </si>
  <si>
    <t>Handrails fabrication, supply and installation complete from Yellow and Black painted Hot dipped galvanized steel - Twin Rails of 34mm OD</t>
  </si>
  <si>
    <t>3.1.1.11</t>
  </si>
  <si>
    <t>Decommissioning, dismantling and NDT inspection of existing Poly Silo</t>
  </si>
  <si>
    <t>Complete Polyelectrolyte Transfer (positive displacement) Pumps incl. motor, coupling, baseplate etc. (1 Duty/ 1 Standby) at 28.8m³/hr</t>
  </si>
  <si>
    <t>Supporting and Mounting Steelwork for solar panels and batteries</t>
  </si>
  <si>
    <t>4.1.7.5</t>
  </si>
  <si>
    <t>Engineering (including radiation study, selection and design of solar panels and review/assessment of the roof structure to accommodate the installation of the solar panels</t>
  </si>
  <si>
    <t>6.1.1.1</t>
  </si>
  <si>
    <t>6.1.1.2</t>
  </si>
  <si>
    <t>Phase 1  - The associated equipment listed to be Factory tested as per the Project and technical specification</t>
  </si>
  <si>
    <t>Phase 2  - The associated equipment listed to be Factory tested as per the Project and technical specification</t>
  </si>
  <si>
    <t xml:space="preserve">Phase 2 - The cost shall include for the provision of FAT for Instrument calibration with valid issue of certificates </t>
  </si>
  <si>
    <t>6.1.2.1</t>
  </si>
  <si>
    <t>6.1.2.2</t>
  </si>
  <si>
    <t>Phase 2 - The cost shall include for the provision of FAT tests conducted on MCC panels and cables with associated as Requested by the Employer's Agent certificates</t>
  </si>
  <si>
    <t xml:space="preserve">Phase 1 - The cost shall include for the provision of FAT for Instrument calibration with valid issue of certificates </t>
  </si>
  <si>
    <t>6.1.3.1</t>
  </si>
  <si>
    <t>6.1.3.2</t>
  </si>
  <si>
    <t>Phase 1 :</t>
  </si>
  <si>
    <t>6.2.1.1</t>
  </si>
  <si>
    <t>6.2.1.2</t>
  </si>
  <si>
    <t>6.2.1.3</t>
  </si>
  <si>
    <t>Phase 2 :</t>
  </si>
  <si>
    <t>6.2.2.1</t>
  </si>
  <si>
    <t>6.2.2.2</t>
  </si>
  <si>
    <t>6.2.2.3</t>
  </si>
  <si>
    <t>Sludge flow (250NB)</t>
  </si>
  <si>
    <t>Return sludge flow (200NB)</t>
  </si>
  <si>
    <t>Belt Press sludge inflow (150NB)</t>
  </si>
  <si>
    <t>Dilution water flow (25NB)</t>
  </si>
  <si>
    <t>Poly electrolyte flow (25NB)</t>
  </si>
  <si>
    <t>PCP Sludge flow (110NB)</t>
  </si>
  <si>
    <t>i) Access</t>
  </si>
  <si>
    <t>1.1.28</t>
  </si>
  <si>
    <t>1.1.29</t>
  </si>
  <si>
    <t>f)  Provision and Maintaining of Site Security</t>
  </si>
  <si>
    <t>g)………………………………………………………..</t>
  </si>
  <si>
    <t>1.2.27</t>
  </si>
  <si>
    <t>Heavy duty powder coated 3CR12 color coded covered cable ladder - straight section including covers</t>
  </si>
  <si>
    <t>Heavy duty powder coated 3CR12 color coded cable ladder - 90 degree covered flat bend</t>
  </si>
  <si>
    <t>Heavy duty powder coated 3CR12 color coded cable ladder- internal/external covered 90 degree bend</t>
  </si>
  <si>
    <t>Heavy duty powder coated 3CR12 color coded covered cable ladder - T-piece</t>
  </si>
  <si>
    <t>PD.10-PD12</t>
  </si>
  <si>
    <t>PD.13-PD.29</t>
  </si>
  <si>
    <t>Odour Hood</t>
  </si>
  <si>
    <t>Contractor's stated commission on the 1.3.20 provisional sum</t>
  </si>
  <si>
    <t>b) Contractor's stated commission on the 1.4.14 provisional sum above</t>
  </si>
  <si>
    <t>(1) Vertical to Strip Footing Foundations</t>
  </si>
  <si>
    <t>(2) Vertical to cable trench floor slab</t>
  </si>
  <si>
    <t xml:space="preserve">   (2) Vertical to cable trench floor slab</t>
  </si>
  <si>
    <t>e) Demolishing of existing concrete floor to construct Belt Press plinths, Bund walls, etc</t>
  </si>
  <si>
    <t>Smooth</t>
  </si>
  <si>
    <t>Polyelectrolyte Preparation and Storage Silo Equipment
· Silo paint rehabilitation
· Filling Pipe Assembly
· Proximity Switch for Filter Start/Stop
· Flanged Pneumatic Conveying blow-line
· Silo Supporting Structure
· Silo Handrailing and Access Cat Ladder
· Silo Inspection Manhole Cover
· Over pressure valve
· Load Cells
· Dehumidifier
· Silo Overfilling Safety System
· Emergency Level Switch
· Vibrating Bin Discharge c/w motor
· Side mount filter housing and reverse jet filter c/w fan motor
· Pulsating sequential controller
· Compressed air regulation station
  Weather Cover for the Roof Instrumentation</t>
  </si>
  <si>
    <r>
      <rPr>
        <i/>
        <u/>
        <sz val="11"/>
        <rFont val="Arial Narrow"/>
        <family val="2"/>
      </rPr>
      <t>New Belt Press with 14 roller type including:</t>
    </r>
    <r>
      <rPr>
        <sz val="11"/>
        <rFont val="Arial Narrow"/>
        <family val="2"/>
      </rPr>
      <t xml:space="preserve">
</t>
    </r>
    <r>
      <rPr>
        <i/>
        <sz val="11"/>
        <rFont val="Arial Narrow"/>
        <family val="2"/>
      </rPr>
      <t>· Pre-dewatering section
· High pressure dewatering section
· Drive units for operation
· Set of Dewatering belts
· Hydraulic Units
. Mixing Unit
· Emergency trip wires</t>
    </r>
    <r>
      <rPr>
        <sz val="11"/>
        <rFont val="Arial Narrow"/>
        <family val="2"/>
      </rPr>
      <t xml:space="preserve">
. Set of electrical actuators for automatic spray pipe cleaning
. Framing in 304 SS, glass bead blasted
. Chicanes additionally epoxy coated</t>
    </r>
  </si>
  <si>
    <t>PD.30-PD.39</t>
  </si>
  <si>
    <t>PD.40-PD.46</t>
  </si>
  <si>
    <t>PD.47.-PD.52</t>
  </si>
  <si>
    <t>PD.53</t>
  </si>
  <si>
    <t>PD.54</t>
  </si>
  <si>
    <t>Escalation at 15% on subtotal 1</t>
  </si>
  <si>
    <t>Contigency at 15% on subtotal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</si>
</sst>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R-1C09]* #,##0.00_-;\-[$R-1C09]* #,##0.00_-;_-[$R-1C09]* &quot;-&quot;??_-;_-@_-"/>
    <numFmt numFmtId="165" formatCode="_ * #,##0.00_ ;_ * \-#,##0.00_ ;_ * &quot;-&quot;??_ ;_ @_ "/>
    <numFmt numFmtId="166" formatCode="&quot;R&quot;\ #,##0.00"/>
    <numFmt numFmtId="167" formatCode="[$R-1C09]#,##0.00"/>
    <numFmt numFmtId="168" formatCode="_ &quot;R&quot;\ * #,##0.00_ ;_ &quot;R&quot;\ * \-#,##0.00_ ;_ &quot;R&quot;\ * &quot;-&quot;??_ ;_ @_ "/>
    <numFmt numFmtId="169" formatCode="0.00;;;@\,"/>
    <numFmt numFmtId="170" formatCode="0.0"/>
    <numFmt numFmtId="171" formatCode="_-[$R-1C09]* #,##0.0_-;\-[$R-1C09]* #,##0.0_-;_-[$R-1C09]* &quot;-&quot;??_-;_-@_-"/>
    <numFmt numFmtId="172" formatCode="\R\ \ \ \ \ \ \ \ \ \ \ \ \ \ \ 0.00;;;@\,"/>
    <numFmt numFmtId="173" formatCode="0.000"/>
    <numFmt numFmtId="174" formatCode="[$R-1C09]\ #,##0.00"/>
    <numFmt numFmtId="175" formatCode="_ [$R-1C09]\ * #,##0.00_ ;_ [$R-1C09]\ * \-#,##0.00_ ;_ [$R-1C09]\ * &quot;-&quot;??_ ;_ @_ "/>
    <numFmt numFmtId="176" formatCode="[$R-430]#,##0.00"/>
    <numFmt numFmtId="177" formatCode="[$R-433]#,##0.00"/>
    <numFmt numFmtId="178" formatCode="&quot;R&quot;\ #,##0;&quot;R&quot;\ \-#,##0"/>
  </numFmts>
  <fonts count="68">
    <font>
      <sz val="11"/>
      <color theme="1"/>
      <name val="Calibri"/>
      <family val="2"/>
      <scheme val="minor"/>
    </font>
    <font>
      <sz val="11"/>
      <color theme="1"/>
      <name val="Calibri"/>
      <family val="2"/>
      <scheme val="minor"/>
    </font>
    <font>
      <sz val="11"/>
      <color theme="1"/>
      <name val="Arial Narrow"/>
      <family val="2"/>
    </font>
    <font>
      <sz val="10"/>
      <color theme="1"/>
      <name val="Arial Narrow"/>
      <family val="2"/>
    </font>
    <font>
      <sz val="10"/>
      <name val="Arial"/>
      <family val="2"/>
    </font>
    <font>
      <b/>
      <sz val="10"/>
      <name val="Arial"/>
      <family val="2"/>
    </font>
    <font>
      <i/>
      <sz val="10"/>
      <name val="Arial"/>
      <family val="2"/>
    </font>
    <font>
      <b/>
      <sz val="11"/>
      <name val="Arial"/>
      <family val="2"/>
    </font>
    <font>
      <b/>
      <sz val="10"/>
      <name val="Arial Narrow"/>
      <family val="2"/>
    </font>
    <font>
      <sz val="10"/>
      <name val="Arial Narrow"/>
      <family val="2"/>
    </font>
    <font>
      <sz val="10"/>
      <name val="MS Sans Serif"/>
      <family val="2"/>
    </font>
    <font>
      <sz val="8"/>
      <name val="Calibri"/>
      <family val="2"/>
      <scheme val="minor"/>
    </font>
    <font>
      <sz val="12"/>
      <name val="Courier"/>
      <family val="3"/>
    </font>
    <font>
      <sz val="10"/>
      <color indexed="8"/>
      <name val="Arial Narrow"/>
      <family val="2"/>
    </font>
    <font>
      <sz val="11"/>
      <name val="Arial Narrow"/>
      <family val="2"/>
    </font>
    <font>
      <sz val="1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family val="2"/>
    </font>
    <font>
      <b/>
      <u/>
      <sz val="10"/>
      <name val="Times New Roman"/>
      <family val="1"/>
    </font>
    <font>
      <b/>
      <sz val="11"/>
      <color indexed="63"/>
      <name val="Calibri"/>
      <family val="2"/>
    </font>
    <font>
      <sz val="8"/>
      <name val="Arial"/>
      <family val="2"/>
    </font>
    <font>
      <b/>
      <sz val="18"/>
      <color indexed="56"/>
      <name val="Cambria"/>
      <family val="2"/>
    </font>
    <font>
      <b/>
      <sz val="11"/>
      <color indexed="8"/>
      <name val="Calibri"/>
      <family val="2"/>
    </font>
    <font>
      <sz val="11"/>
      <color indexed="10"/>
      <name val="Calibri"/>
      <family val="2"/>
    </font>
    <font>
      <i/>
      <sz val="8"/>
      <name val="Penguin-Light-Normal"/>
    </font>
    <font>
      <b/>
      <sz val="8"/>
      <name val="Arial Narrow"/>
      <family val="2"/>
    </font>
    <font>
      <sz val="8"/>
      <name val="Arial Narrow"/>
      <family val="2"/>
    </font>
    <font>
      <sz val="8"/>
      <color theme="1"/>
      <name val="Arial Narrow"/>
      <family val="2"/>
    </font>
    <font>
      <sz val="8"/>
      <color theme="1"/>
      <name val="Calibri"/>
      <family val="2"/>
      <scheme val="minor"/>
    </font>
    <font>
      <b/>
      <sz val="11"/>
      <name val="Arial Narrow"/>
      <family val="2"/>
    </font>
    <font>
      <u/>
      <sz val="11"/>
      <name val="Arial Narrow"/>
      <family val="2"/>
    </font>
    <font>
      <sz val="11"/>
      <name val="Calibri"/>
      <family val="2"/>
    </font>
    <font>
      <i/>
      <sz val="11"/>
      <color theme="1"/>
      <name val="Arial Narrow"/>
      <family val="2"/>
    </font>
    <font>
      <vertAlign val="superscript"/>
      <sz val="11"/>
      <color theme="1"/>
      <name val="Calibri"/>
      <family val="2"/>
      <scheme val="minor"/>
    </font>
    <font>
      <u/>
      <sz val="11"/>
      <color theme="1"/>
      <name val="Arial Narrow"/>
      <family val="2"/>
    </font>
    <font>
      <b/>
      <u/>
      <sz val="11"/>
      <name val="Arial Narrow"/>
      <family val="2"/>
    </font>
    <font>
      <u/>
      <sz val="11"/>
      <color indexed="8"/>
      <name val="Arial Narrow"/>
      <family val="2"/>
    </font>
    <font>
      <sz val="11"/>
      <color indexed="8"/>
      <name val="Arial Narrow"/>
      <family val="2"/>
    </font>
    <font>
      <i/>
      <sz val="11"/>
      <name val="Arial Narrow"/>
      <family val="2"/>
    </font>
    <font>
      <sz val="11"/>
      <color theme="1"/>
      <name val="Calibri"/>
      <family val="2"/>
    </font>
    <font>
      <sz val="11"/>
      <color rgb="FF000000"/>
      <name val="Arial Narrow"/>
      <family val="2"/>
    </font>
    <font>
      <vertAlign val="superscript"/>
      <sz val="11"/>
      <name val="Arial Narrow"/>
      <family val="2"/>
    </font>
    <font>
      <i/>
      <u/>
      <sz val="11"/>
      <name val="Arial Narrow"/>
      <family val="2"/>
    </font>
    <font>
      <b/>
      <sz val="10"/>
      <color theme="1"/>
      <name val="Arial"/>
      <family val="2"/>
    </font>
    <font>
      <b/>
      <u/>
      <sz val="10"/>
      <name val="Arial"/>
      <family val="2"/>
    </font>
    <font>
      <sz val="11"/>
      <color theme="1"/>
      <name val="Arial"/>
      <family val="2"/>
    </font>
    <font>
      <b/>
      <sz val="11"/>
      <color theme="1"/>
      <name val="Arial"/>
      <family val="2"/>
    </font>
    <font>
      <sz val="3"/>
      <color theme="1"/>
      <name val="Arial"/>
      <family val="2"/>
    </font>
    <font>
      <b/>
      <sz val="9"/>
      <color theme="1"/>
      <name val="Arial"/>
      <family val="2"/>
    </font>
    <font>
      <sz val="10"/>
      <color theme="1"/>
      <name val="Arial"/>
      <family val="2"/>
    </font>
    <font>
      <sz val="9"/>
      <color theme="1"/>
      <name val="Arial"/>
      <family val="2"/>
    </font>
    <font>
      <b/>
      <i/>
      <sz val="9"/>
      <color theme="1"/>
      <name val="Arial"/>
      <family val="2"/>
    </font>
    <font>
      <b/>
      <sz val="18"/>
      <name val="Arial"/>
      <family val="2"/>
    </font>
    <font>
      <u/>
      <sz val="10"/>
      <name val="Arial"/>
      <family val="2"/>
    </font>
    <font>
      <b/>
      <u/>
      <sz val="11"/>
      <color theme="1"/>
      <name val="Arial"/>
      <family val="2"/>
    </font>
  </fonts>
  <fills count="42">
    <fill>
      <patternFill patternType="none"/>
    </fill>
    <fill>
      <patternFill patternType="gray125"/>
    </fill>
    <fill>
      <patternFill patternType="solid">
        <fgColor rgb="FFFFFF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663">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0" fontId="10" fillId="0" borderId="0"/>
    <xf numFmtId="168" fontId="10" fillId="0" borderId="0" applyFont="0" applyFill="0" applyBorder="0" applyAlignment="0" applyProtection="0"/>
    <xf numFmtId="44" fontId="1" fillId="0" borderId="0" applyFont="0" applyFill="0" applyBorder="0" applyAlignment="0" applyProtection="0"/>
    <xf numFmtId="0" fontId="12" fillId="0" borderId="0"/>
    <xf numFmtId="0" fontId="10" fillId="0" borderId="0"/>
    <xf numFmtId="165" fontId="1" fillId="0" borderId="0" applyFont="0" applyFill="0" applyBorder="0" applyAlignment="0" applyProtection="0"/>
    <xf numFmtId="0" fontId="4" fillId="0" borderId="0"/>
    <xf numFmtId="168" fontId="1" fillId="0" borderId="0" applyFont="0" applyFill="0" applyBorder="0" applyAlignment="0" applyProtection="0"/>
    <xf numFmtId="0" fontId="1" fillId="0" borderId="0"/>
    <xf numFmtId="0" fontId="1" fillId="0" borderId="0"/>
    <xf numFmtId="0" fontId="17" fillId="1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7" fillId="2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7" fillId="2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7"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7"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7"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7" fillId="2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7" fillId="2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7" fillId="2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7"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7"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7" fillId="28"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8" fillId="29"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6" fillId="10" borderId="0" applyNumberFormat="0" applyBorder="0" applyAlignment="0" applyProtection="0"/>
    <xf numFmtId="0" fontId="18" fillId="30" borderId="0" applyNumberFormat="0" applyBorder="0" applyAlignment="0" applyProtection="0"/>
    <xf numFmtId="0" fontId="16" fillId="13" borderId="0" applyNumberFormat="0" applyBorder="0" applyAlignment="0" applyProtection="0"/>
    <xf numFmtId="0" fontId="18" fillId="31" borderId="0" applyNumberFormat="0" applyBorder="0" applyAlignment="0" applyProtection="0"/>
    <xf numFmtId="0" fontId="18" fillId="32" borderId="0" applyNumberFormat="0" applyBorder="0" applyAlignment="0" applyProtection="0"/>
    <xf numFmtId="0" fontId="16" fillId="18"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36" borderId="0" applyNumberFormat="0" applyBorder="0" applyAlignment="0" applyProtection="0"/>
    <xf numFmtId="0" fontId="19" fillId="20" borderId="0" applyNumberFormat="0" applyBorder="0" applyAlignment="0" applyProtection="0"/>
    <xf numFmtId="0" fontId="20" fillId="37" borderId="13" applyNumberFormat="0" applyAlignment="0" applyProtection="0"/>
    <xf numFmtId="0" fontId="21" fillId="38" borderId="14" applyNumberFormat="0" applyAlignment="0" applyProtection="0"/>
    <xf numFmtId="165" fontId="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68" fontId="10"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0" fontId="22"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3" fillId="21" borderId="0" applyNumberFormat="0" applyBorder="0" applyAlignment="0" applyProtection="0"/>
    <xf numFmtId="0" fontId="24" fillId="0" borderId="15" applyNumberFormat="0" applyFill="0" applyAlignment="0" applyProtection="0"/>
    <xf numFmtId="0" fontId="25" fillId="0" borderId="16" applyNumberFormat="0" applyFill="0" applyAlignment="0" applyProtection="0"/>
    <xf numFmtId="0" fontId="26" fillId="0" borderId="17" applyNumberFormat="0" applyFill="0" applyAlignment="0" applyProtection="0"/>
    <xf numFmtId="0" fontId="26" fillId="0" borderId="0" applyNumberFormat="0" applyFill="0" applyBorder="0" applyAlignment="0" applyProtection="0"/>
    <xf numFmtId="0" fontId="27" fillId="24" borderId="13" applyNumberFormat="0" applyAlignment="0" applyProtection="0"/>
    <xf numFmtId="0" fontId="28" fillId="0" borderId="18" applyNumberFormat="0" applyFill="0" applyAlignment="0" applyProtection="0"/>
    <xf numFmtId="0" fontId="29"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40" borderId="19" applyNumberFormat="0" applyFont="0" applyAlignment="0" applyProtection="0"/>
    <xf numFmtId="0" fontId="17" fillId="3" borderId="12" applyNumberFormat="0" applyFont="0" applyAlignment="0" applyProtection="0"/>
    <xf numFmtId="0" fontId="17"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31" fillId="0" borderId="0"/>
    <xf numFmtId="0" fontId="32" fillId="37" borderId="20" applyNumberFormat="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49" fontId="33" fillId="0" borderId="0">
      <alignment horizontal="justify" vertical="top" wrapText="1"/>
    </xf>
    <xf numFmtId="0" fontId="34" fillId="0" borderId="0" applyNumberFormat="0" applyFill="0" applyBorder="0" applyAlignment="0" applyProtection="0"/>
    <xf numFmtId="0" fontId="35" fillId="0" borderId="21" applyNumberFormat="0" applyFill="0" applyAlignment="0" applyProtection="0"/>
    <xf numFmtId="0" fontId="36" fillId="0" borderId="0" applyNumberFormat="0" applyFill="0" applyBorder="0" applyAlignment="0" applyProtection="0"/>
    <xf numFmtId="0" fontId="4" fillId="0" borderId="0" applyFont="0" applyFill="0" applyBorder="0" applyAlignment="0" applyProtection="0"/>
    <xf numFmtId="0" fontId="37" fillId="0" borderId="22" applyNumberFormat="0" applyFill="0" applyBorder="0" applyAlignment="0">
      <alignment horizontal="centerContinuous"/>
    </xf>
    <xf numFmtId="0" fontId="4" fillId="0" borderId="0"/>
    <xf numFmtId="9" fontId="1" fillId="0" borderId="0" applyFont="0" applyFill="0" applyBorder="0" applyAlignment="0" applyProtection="0"/>
  </cellStyleXfs>
  <cellXfs count="666">
    <xf numFmtId="0" fontId="0" fillId="0" borderId="0" xfId="0"/>
    <xf numFmtId="166" fontId="9" fillId="0" borderId="2" xfId="8" applyNumberFormat="1" applyFont="1" applyBorder="1" applyAlignment="1" applyProtection="1">
      <alignment horizontal="center" vertical="center" wrapText="1"/>
      <protection locked="0"/>
    </xf>
    <xf numFmtId="164" fontId="9" fillId="0" borderId="2" xfId="8" applyNumberFormat="1" applyFont="1" applyBorder="1" applyAlignment="1" applyProtection="1">
      <alignment horizontal="center" vertical="center" wrapText="1"/>
      <protection locked="0"/>
    </xf>
    <xf numFmtId="166" fontId="9" fillId="0" borderId="2" xfId="8" applyNumberFormat="1" applyFont="1" applyBorder="1" applyAlignment="1" applyProtection="1">
      <alignment horizontal="center" vertical="top" wrapText="1"/>
      <protection locked="0"/>
    </xf>
    <xf numFmtId="166" fontId="9" fillId="0" borderId="2" xfId="8" applyNumberFormat="1" applyFont="1" applyBorder="1" applyAlignment="1" applyProtection="1">
      <alignment horizontal="right" vertical="top" wrapText="1"/>
      <protection locked="0"/>
    </xf>
    <xf numFmtId="164" fontId="9" fillId="0" borderId="2" xfId="8" applyNumberFormat="1" applyFont="1" applyBorder="1" applyAlignment="1" applyProtection="1">
      <alignment horizontal="right" vertical="top" wrapText="1"/>
      <protection locked="0"/>
    </xf>
    <xf numFmtId="164" fontId="9" fillId="0" borderId="2" xfId="8" applyNumberFormat="1" applyFont="1" applyBorder="1" applyAlignment="1" applyProtection="1">
      <alignment horizontal="center" vertical="top" wrapText="1"/>
      <protection locked="0"/>
    </xf>
    <xf numFmtId="165" fontId="13" fillId="0" borderId="0" xfId="4" applyNumberFormat="1" applyFont="1" applyAlignment="1" applyProtection="1">
      <alignment horizontal="center" vertical="top"/>
      <protection locked="0"/>
    </xf>
    <xf numFmtId="165" fontId="9" fillId="0" borderId="0" xfId="4" applyNumberFormat="1" applyFont="1" applyAlignment="1" applyProtection="1">
      <alignment horizontal="center" vertical="top"/>
      <protection locked="0"/>
    </xf>
    <xf numFmtId="165" fontId="9" fillId="0" borderId="2" xfId="4" applyNumberFormat="1" applyFont="1" applyBorder="1" applyAlignment="1" applyProtection="1">
      <alignment horizontal="center" vertical="top"/>
      <protection locked="0"/>
    </xf>
    <xf numFmtId="169" fontId="14" fillId="0" borderId="2" xfId="0" applyNumberFormat="1" applyFont="1" applyBorder="1" applyAlignment="1" applyProtection="1">
      <alignment horizontal="center" vertical="center" wrapText="1"/>
      <protection locked="0"/>
    </xf>
    <xf numFmtId="0" fontId="14" fillId="0" borderId="2" xfId="0" applyFont="1" applyBorder="1" applyAlignment="1" applyProtection="1">
      <alignment horizontal="left" vertical="center"/>
      <protection locked="0"/>
    </xf>
    <xf numFmtId="2" fontId="14" fillId="0" borderId="2" xfId="0" applyNumberFormat="1"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2" xfId="0" applyFont="1" applyBorder="1" applyAlignment="1" applyProtection="1">
      <alignment horizontal="right" vertical="top" wrapText="1"/>
      <protection locked="0"/>
    </xf>
    <xf numFmtId="169" fontId="14" fillId="0" borderId="11" xfId="0" applyNumberFormat="1" applyFont="1" applyBorder="1" applyAlignment="1" applyProtection="1">
      <alignment horizontal="center" vertical="center" wrapText="1"/>
      <protection locked="0"/>
    </xf>
    <xf numFmtId="0" fontId="8" fillId="41" borderId="25" xfId="3" applyFont="1" applyFill="1" applyBorder="1" applyAlignment="1">
      <alignment vertical="top" wrapText="1"/>
    </xf>
    <xf numFmtId="0" fontId="8" fillId="41" borderId="26" xfId="3" applyFont="1" applyFill="1" applyBorder="1" applyAlignment="1">
      <alignment vertical="top" wrapText="1"/>
    </xf>
    <xf numFmtId="0" fontId="8" fillId="41" borderId="27" xfId="3" applyFont="1" applyFill="1" applyBorder="1" applyAlignment="1">
      <alignment vertical="top" wrapText="1"/>
    </xf>
    <xf numFmtId="0" fontId="4" fillId="0" borderId="0" xfId="3" applyAlignment="1">
      <alignment vertical="top" wrapText="1"/>
    </xf>
    <xf numFmtId="0" fontId="56" fillId="41" borderId="25" xfId="0" applyFont="1" applyFill="1" applyBorder="1" applyAlignment="1">
      <alignment horizontal="center" vertical="center"/>
    </xf>
    <xf numFmtId="0" fontId="59" fillId="41" borderId="26" xfId="0" applyFont="1" applyFill="1" applyBorder="1" applyAlignment="1">
      <alignment vertical="center"/>
    </xf>
    <xf numFmtId="0" fontId="59" fillId="41" borderId="27" xfId="0" applyFont="1" applyFill="1" applyBorder="1" applyAlignment="1">
      <alignment vertical="center"/>
    </xf>
    <xf numFmtId="168" fontId="56" fillId="41" borderId="23" xfId="14" applyFont="1" applyFill="1" applyBorder="1" applyAlignment="1">
      <alignment horizontal="center" vertical="center"/>
    </xf>
    <xf numFmtId="0" fontId="60" fillId="41" borderId="28" xfId="0" applyFont="1" applyFill="1" applyBorder="1" applyAlignment="1">
      <alignment horizontal="left" vertical="top" wrapText="1"/>
    </xf>
    <xf numFmtId="0" fontId="58" fillId="41" borderId="0" xfId="0" applyFont="1" applyFill="1"/>
    <xf numFmtId="168" fontId="60" fillId="41" borderId="24" xfId="14" applyFont="1" applyFill="1" applyBorder="1" applyAlignment="1">
      <alignment horizontal="right" vertical="top" wrapText="1"/>
    </xf>
    <xf numFmtId="0" fontId="62" fillId="41" borderId="9" xfId="0" applyFont="1" applyFill="1" applyBorder="1" applyAlignment="1">
      <alignment horizontal="left" vertical="top" wrapText="1"/>
    </xf>
    <xf numFmtId="0" fontId="62" fillId="41" borderId="0" xfId="0" applyFont="1" applyFill="1" applyAlignment="1">
      <alignment horizontal="left" vertical="top" wrapText="1"/>
    </xf>
    <xf numFmtId="0" fontId="61" fillId="41" borderId="9" xfId="0" applyFont="1" applyFill="1" applyBorder="1" applyAlignment="1">
      <alignment vertical="center" wrapText="1"/>
    </xf>
    <xf numFmtId="0" fontId="61" fillId="41" borderId="31" xfId="0" applyFont="1" applyFill="1" applyBorder="1" applyAlignment="1">
      <alignment vertical="center" wrapText="1"/>
    </xf>
    <xf numFmtId="0" fontId="63" fillId="41" borderId="30" xfId="0" applyFont="1" applyFill="1" applyBorder="1" applyAlignment="1">
      <alignment vertical="center" wrapText="1"/>
    </xf>
    <xf numFmtId="0" fontId="62" fillId="0" borderId="0" xfId="0" applyFont="1" applyAlignment="1">
      <alignment horizontal="left" vertical="top" wrapText="1"/>
    </xf>
    <xf numFmtId="0" fontId="58" fillId="0" borderId="0" xfId="0" applyFont="1"/>
    <xf numFmtId="168" fontId="62" fillId="0" borderId="0" xfId="14" applyFont="1" applyFill="1" applyBorder="1" applyAlignment="1">
      <alignment horizontal="right" vertical="top" wrapText="1"/>
    </xf>
    <xf numFmtId="168" fontId="58" fillId="0" borderId="0" xfId="14" applyFont="1" applyFill="1" applyBorder="1" applyAlignment="1">
      <alignment horizontal="center"/>
    </xf>
    <xf numFmtId="168" fontId="0" fillId="0" borderId="0" xfId="14" applyFont="1" applyFill="1" applyBorder="1" applyAlignment="1">
      <alignment horizontal="center"/>
    </xf>
    <xf numFmtId="168" fontId="0" fillId="0" borderId="0" xfId="14" applyFont="1" applyBorder="1" applyAlignment="1">
      <alignment horizontal="center"/>
    </xf>
    <xf numFmtId="168" fontId="0" fillId="0" borderId="0" xfId="14" applyFont="1" applyAlignment="1">
      <alignment horizontal="center"/>
    </xf>
    <xf numFmtId="0" fontId="61" fillId="0" borderId="0" xfId="0" applyFont="1" applyAlignment="1">
      <alignment vertical="center" wrapText="1"/>
    </xf>
    <xf numFmtId="168" fontId="62" fillId="41" borderId="29" xfId="14" applyFont="1" applyFill="1" applyBorder="1" applyAlignment="1" applyProtection="1">
      <alignment horizontal="right" vertical="top" wrapText="1"/>
      <protection locked="0"/>
    </xf>
    <xf numFmtId="0" fontId="61" fillId="41" borderId="27" xfId="0" applyFont="1" applyFill="1" applyBorder="1" applyAlignment="1" applyProtection="1">
      <alignment vertical="center" wrapText="1"/>
      <protection locked="0"/>
    </xf>
    <xf numFmtId="0" fontId="61" fillId="41" borderId="10" xfId="0" applyFont="1" applyFill="1" applyBorder="1" applyAlignment="1" applyProtection="1">
      <alignment vertical="center" wrapText="1"/>
      <protection locked="0"/>
    </xf>
    <xf numFmtId="0" fontId="61" fillId="41" borderId="29" xfId="0" applyFont="1" applyFill="1" applyBorder="1" applyAlignment="1" applyProtection="1">
      <alignment vertical="center" wrapText="1"/>
      <protection locked="0"/>
    </xf>
    <xf numFmtId="0" fontId="9" fillId="0" borderId="0" xfId="0" applyFont="1" applyAlignment="1">
      <alignment vertical="top"/>
    </xf>
    <xf numFmtId="0" fontId="42"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2" fillId="0" borderId="1" xfId="0" applyFont="1" applyBorder="1" applyAlignment="1">
      <alignment horizontal="center" vertical="center"/>
    </xf>
    <xf numFmtId="1" fontId="42"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vertical="top"/>
    </xf>
    <xf numFmtId="0" fontId="14" fillId="0" borderId="8" xfId="0" applyFont="1" applyBorder="1" applyAlignment="1">
      <alignment horizontal="center" vertical="top" wrapText="1"/>
    </xf>
    <xf numFmtId="0" fontId="39" fillId="0" borderId="8" xfId="0" applyFont="1" applyBorder="1" applyAlignment="1">
      <alignment horizontal="center" vertical="top" wrapText="1"/>
    </xf>
    <xf numFmtId="0" fontId="42" fillId="0" borderId="8" xfId="0" applyFont="1" applyBorder="1" applyAlignment="1">
      <alignment horizontal="left" vertical="top" wrapText="1"/>
    </xf>
    <xf numFmtId="1" fontId="14" fillId="0" borderId="8" xfId="0" applyNumberFormat="1" applyFont="1" applyBorder="1" applyAlignment="1">
      <alignment horizontal="left" vertical="top" wrapText="1"/>
    </xf>
    <xf numFmtId="0" fontId="9" fillId="0" borderId="8" xfId="0" applyFont="1" applyBorder="1" applyAlignment="1">
      <alignment horizontal="left" vertical="top" wrapText="1"/>
    </xf>
    <xf numFmtId="0" fontId="42" fillId="0" borderId="2" xfId="0" applyFont="1" applyBorder="1" applyAlignment="1">
      <alignment horizontal="center" vertical="center" wrapText="1"/>
    </xf>
    <xf numFmtId="0" fontId="39" fillId="0" borderId="2" xfId="0" applyFont="1" applyBorder="1" applyAlignment="1">
      <alignment horizontal="center" vertical="top" wrapText="1"/>
    </xf>
    <xf numFmtId="0" fontId="42" fillId="0" borderId="2" xfId="0" applyFont="1" applyBorder="1" applyAlignment="1">
      <alignment horizontal="left" vertical="top" wrapText="1"/>
    </xf>
    <xf numFmtId="0" fontId="14" fillId="0" borderId="2" xfId="0" applyFont="1" applyBorder="1" applyAlignment="1">
      <alignment horizontal="center" vertical="top" wrapText="1"/>
    </xf>
    <xf numFmtId="1" fontId="14"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0" fontId="42" fillId="0" borderId="2" xfId="0" applyFont="1" applyBorder="1" applyAlignment="1">
      <alignment horizontal="left" vertical="top"/>
    </xf>
    <xf numFmtId="44" fontId="9" fillId="0" borderId="2" xfId="2" applyFont="1" applyBorder="1" applyAlignment="1" applyProtection="1">
      <alignment horizontal="left" vertical="center" wrapText="1"/>
    </xf>
    <xf numFmtId="0" fontId="14" fillId="0" borderId="2" xfId="0" applyFont="1" applyBorder="1" applyAlignment="1">
      <alignment horizontal="center" vertical="center" wrapText="1"/>
    </xf>
    <xf numFmtId="0" fontId="55" fillId="0" borderId="2" xfId="0" applyFont="1" applyBorder="1" applyAlignment="1">
      <alignment vertical="center" wrapText="1"/>
    </xf>
    <xf numFmtId="2" fontId="14" fillId="0" borderId="2" xfId="0" applyNumberFormat="1" applyFont="1" applyBorder="1" applyAlignment="1">
      <alignment horizontal="center" vertical="center" wrapText="1"/>
    </xf>
    <xf numFmtId="164" fontId="9" fillId="0" borderId="2" xfId="6" applyNumberFormat="1" applyFont="1" applyBorder="1" applyAlignment="1" applyProtection="1">
      <alignment horizontal="center" vertical="center"/>
    </xf>
    <xf numFmtId="0" fontId="51" fillId="0" borderId="2" xfId="0" applyFont="1" applyBorder="1" applyAlignment="1">
      <alignment vertical="center" wrapText="1"/>
    </xf>
    <xf numFmtId="0" fontId="43" fillId="0" borderId="2" xfId="0" applyFont="1" applyBorder="1" applyAlignment="1">
      <alignment vertical="center" wrapText="1"/>
    </xf>
    <xf numFmtId="2" fontId="14" fillId="0" borderId="10" xfId="0" applyNumberFormat="1" applyFont="1" applyBorder="1" applyAlignment="1">
      <alignment horizontal="center" vertical="center" wrapText="1"/>
    </xf>
    <xf numFmtId="0" fontId="38" fillId="0" borderId="2" xfId="0" applyFont="1" applyBorder="1" applyAlignment="1">
      <alignment horizontal="center" vertical="top" wrapText="1"/>
    </xf>
    <xf numFmtId="0" fontId="42" fillId="0" borderId="2" xfId="0" applyFont="1" applyBorder="1" applyAlignment="1">
      <alignment horizontal="center" vertical="top" wrapText="1"/>
    </xf>
    <xf numFmtId="0" fontId="42" fillId="0" borderId="2" xfId="0" applyFont="1" applyBorder="1" applyAlignment="1">
      <alignment vertical="center" wrapText="1"/>
    </xf>
    <xf numFmtId="0" fontId="14" fillId="0" borderId="2" xfId="0" applyFont="1" applyBorder="1" applyAlignment="1">
      <alignment vertical="center" wrapText="1"/>
    </xf>
    <xf numFmtId="0" fontId="9" fillId="0" borderId="0" xfId="0" applyFont="1"/>
    <xf numFmtId="0" fontId="38" fillId="0" borderId="2" xfId="5" applyFont="1" applyBorder="1" applyAlignment="1">
      <alignment horizontal="center" vertical="top" wrapText="1"/>
    </xf>
    <xf numFmtId="0" fontId="39" fillId="0" borderId="2" xfId="5" applyFont="1" applyBorder="1" applyAlignment="1">
      <alignment horizontal="center" vertical="top"/>
    </xf>
    <xf numFmtId="0" fontId="14" fillId="0" borderId="2" xfId="5" applyFont="1" applyBorder="1" applyAlignment="1">
      <alignment horizontal="left" vertical="top" wrapText="1"/>
    </xf>
    <xf numFmtId="0" fontId="14" fillId="0" borderId="2" xfId="0" applyFont="1" applyBorder="1" applyAlignment="1">
      <alignment horizontal="left" vertical="top" wrapText="1"/>
    </xf>
    <xf numFmtId="0" fontId="14" fillId="0" borderId="2" xfId="5" applyFont="1" applyBorder="1" applyAlignment="1">
      <alignment horizontal="center" vertical="top"/>
    </xf>
    <xf numFmtId="0" fontId="51" fillId="0" borderId="2" xfId="5" applyFont="1" applyBorder="1" applyAlignment="1">
      <alignment horizontal="left" vertical="top" wrapText="1" indent="1"/>
    </xf>
    <xf numFmtId="0" fontId="14" fillId="0" borderId="2" xfId="5" applyFont="1" applyBorder="1" applyAlignment="1">
      <alignment horizontal="center" vertical="center"/>
    </xf>
    <xf numFmtId="2" fontId="14" fillId="0" borderId="10" xfId="1" quotePrefix="1" applyNumberFormat="1" applyFont="1" applyBorder="1" applyAlignment="1" applyProtection="1">
      <alignment horizontal="center" vertical="center"/>
    </xf>
    <xf numFmtId="0" fontId="14" fillId="0" borderId="2" xfId="0" applyFont="1" applyBorder="1" applyAlignment="1">
      <alignment horizontal="center" vertical="top"/>
    </xf>
    <xf numFmtId="0" fontId="14" fillId="0" borderId="2" xfId="0" applyFont="1" applyBorder="1" applyAlignment="1">
      <alignment vertical="top"/>
    </xf>
    <xf numFmtId="2" fontId="14" fillId="0" borderId="10" xfId="0" applyNumberFormat="1" applyFont="1" applyBorder="1" applyAlignment="1">
      <alignment horizontal="center" vertical="center"/>
    </xf>
    <xf numFmtId="0" fontId="15" fillId="0" borderId="2" xfId="0" applyFont="1" applyBorder="1" applyAlignment="1">
      <alignment horizontal="center" vertical="center"/>
    </xf>
    <xf numFmtId="0" fontId="14" fillId="0" borderId="0" xfId="0" applyFont="1" applyAlignment="1">
      <alignment vertical="top"/>
    </xf>
    <xf numFmtId="0" fontId="39" fillId="0" borderId="0" xfId="0" applyFont="1" applyAlignment="1">
      <alignment horizontal="center" vertical="top" wrapText="1"/>
    </xf>
    <xf numFmtId="0" fontId="14" fillId="0" borderId="0" xfId="0" applyFont="1" applyAlignment="1">
      <alignment vertical="top" wrapText="1"/>
    </xf>
    <xf numFmtId="0" fontId="14" fillId="0" borderId="0" xfId="0" applyFont="1" applyAlignment="1">
      <alignment horizontal="center" vertical="top"/>
    </xf>
    <xf numFmtId="1" fontId="14" fillId="0" borderId="0" xfId="0" applyNumberFormat="1" applyFont="1" applyAlignment="1">
      <alignment vertical="top"/>
    </xf>
    <xf numFmtId="0" fontId="9" fillId="0" borderId="8"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44" fontId="9" fillId="0" borderId="2" xfId="2" applyFont="1" applyBorder="1" applyAlignment="1" applyProtection="1">
      <alignment horizontal="left" vertical="center" wrapText="1"/>
      <protection locked="0"/>
    </xf>
    <xf numFmtId="164" fontId="9" fillId="0" borderId="2" xfId="2" applyNumberFormat="1" applyFont="1" applyBorder="1" applyAlignment="1" applyProtection="1">
      <alignment horizontal="center" vertical="center" wrapText="1"/>
      <protection locked="0"/>
    </xf>
    <xf numFmtId="164" fontId="9" fillId="0" borderId="2" xfId="6" applyNumberFormat="1" applyFont="1" applyBorder="1" applyAlignment="1" applyProtection="1">
      <alignment horizontal="center" vertical="center"/>
      <protection locked="0"/>
    </xf>
    <xf numFmtId="164" fontId="9" fillId="0" borderId="2" xfId="0" applyNumberFormat="1" applyFont="1" applyBorder="1" applyAlignment="1" applyProtection="1">
      <alignment horizontal="center" vertical="center" wrapText="1"/>
      <protection locked="0"/>
    </xf>
    <xf numFmtId="164" fontId="8" fillId="0" borderId="1" xfId="6" applyNumberFormat="1" applyFont="1" applyBorder="1" applyAlignment="1" applyProtection="1">
      <alignment horizontal="center" vertical="center"/>
      <protection locked="0"/>
    </xf>
    <xf numFmtId="0" fontId="42" fillId="0" borderId="9" xfId="0" applyFont="1" applyBorder="1" applyAlignment="1">
      <alignment horizontal="center" vertical="center" wrapText="1"/>
    </xf>
    <xf numFmtId="0" fontId="48" fillId="0" borderId="0" xfId="0" applyFont="1" applyAlignment="1">
      <alignment vertical="center"/>
    </xf>
    <xf numFmtId="1" fontId="14" fillId="0" borderId="0" xfId="0" applyNumberFormat="1" applyFont="1" applyAlignment="1">
      <alignment horizontal="left" vertical="top" wrapText="1"/>
    </xf>
    <xf numFmtId="0" fontId="14" fillId="0" borderId="9" xfId="0" applyFont="1" applyBorder="1" applyAlignment="1">
      <alignment horizontal="center" vertical="center" wrapText="1"/>
    </xf>
    <xf numFmtId="0" fontId="43" fillId="0" borderId="0" xfId="0" applyFont="1" applyAlignment="1">
      <alignment horizontal="left" vertical="center" wrapText="1"/>
    </xf>
    <xf numFmtId="0" fontId="14" fillId="0" borderId="2" xfId="0" applyFont="1" applyBorder="1" applyAlignment="1">
      <alignment horizontal="center" vertical="center"/>
    </xf>
    <xf numFmtId="2" fontId="14" fillId="0" borderId="0" xfId="0" applyNumberFormat="1" applyFont="1" applyAlignment="1">
      <alignment horizontal="center" vertical="center"/>
    </xf>
    <xf numFmtId="177" fontId="8" fillId="0" borderId="0" xfId="0" applyNumberFormat="1" applyFont="1" applyAlignment="1">
      <alignment vertical="top"/>
    </xf>
    <xf numFmtId="0" fontId="39" fillId="0" borderId="2" xfId="0" applyFont="1" applyBorder="1" applyAlignment="1">
      <alignment horizontal="center" vertical="center" wrapText="1"/>
    </xf>
    <xf numFmtId="0" fontId="14" fillId="0" borderId="2" xfId="0" applyFont="1" applyBorder="1" applyAlignment="1">
      <alignment horizontal="left" wrapText="1"/>
    </xf>
    <xf numFmtId="0" fontId="14" fillId="0" borderId="0" xfId="0" applyFont="1" applyAlignment="1">
      <alignment horizontal="left" vertical="top" wrapText="1"/>
    </xf>
    <xf numFmtId="0" fontId="43" fillId="0" borderId="0" xfId="0" applyFont="1" applyAlignment="1">
      <alignment vertical="center" wrapText="1"/>
    </xf>
    <xf numFmtId="0" fontId="14" fillId="0" borderId="0" xfId="0" applyFont="1" applyAlignment="1">
      <alignment wrapText="1"/>
    </xf>
    <xf numFmtId="166" fontId="42" fillId="0" borderId="1" xfId="6" applyNumberFormat="1" applyFont="1" applyBorder="1" applyAlignment="1" applyProtection="1">
      <alignment horizontal="right" vertical="center"/>
    </xf>
    <xf numFmtId="2" fontId="42" fillId="0" borderId="1" xfId="6" applyNumberFormat="1" applyFont="1" applyBorder="1" applyAlignment="1" applyProtection="1">
      <alignment horizontal="right" vertical="center"/>
    </xf>
    <xf numFmtId="166" fontId="42" fillId="0" borderId="4" xfId="6" applyNumberFormat="1" applyFont="1" applyBorder="1" applyAlignment="1" applyProtection="1">
      <alignment horizontal="right" vertical="center"/>
    </xf>
    <xf numFmtId="2" fontId="42" fillId="0" borderId="5" xfId="6" applyNumberFormat="1" applyFont="1" applyBorder="1" applyAlignment="1" applyProtection="1">
      <alignment horizontal="right" vertical="center"/>
    </xf>
    <xf numFmtId="0" fontId="14" fillId="0" borderId="0" xfId="0" applyFont="1" applyAlignment="1">
      <alignment horizontal="left" wrapText="1"/>
    </xf>
    <xf numFmtId="0" fontId="14" fillId="0" borderId="0" xfId="0" applyFont="1" applyAlignment="1">
      <alignment horizontal="left" vertical="center" wrapText="1"/>
    </xf>
    <xf numFmtId="2" fontId="14" fillId="0" borderId="0" xfId="0" applyNumberFormat="1" applyFont="1" applyAlignment="1">
      <alignment horizontal="center" vertical="center" wrapText="1"/>
    </xf>
    <xf numFmtId="0" fontId="43" fillId="0" borderId="2" xfId="0" applyFont="1" applyBorder="1" applyAlignment="1">
      <alignment horizontal="left" wrapText="1"/>
    </xf>
    <xf numFmtId="0" fontId="43" fillId="0" borderId="0" xfId="0" applyFont="1" applyAlignment="1">
      <alignment horizontal="left" vertical="top" wrapText="1"/>
    </xf>
    <xf numFmtId="2" fontId="14" fillId="0" borderId="9" xfId="0" applyNumberFormat="1" applyFont="1" applyBorder="1" applyAlignment="1">
      <alignment horizontal="center" vertical="center"/>
    </xf>
    <xf numFmtId="0" fontId="14" fillId="0" borderId="0" xfId="0" applyFont="1" applyAlignment="1">
      <alignment horizontal="left" indent="1"/>
    </xf>
    <xf numFmtId="2" fontId="14" fillId="0" borderId="2" xfId="0" applyNumberFormat="1" applyFont="1" applyBorder="1" applyAlignment="1">
      <alignment horizontal="center" vertical="center"/>
    </xf>
    <xf numFmtId="0" fontId="38" fillId="0" borderId="2" xfId="0" applyFont="1" applyBorder="1" applyAlignment="1">
      <alignment horizontal="center" vertical="center" wrapText="1"/>
    </xf>
    <xf numFmtId="166" fontId="8" fillId="0" borderId="1" xfId="6" applyNumberFormat="1" applyFont="1" applyBorder="1" applyAlignment="1" applyProtection="1">
      <alignment horizontal="right" vertical="center"/>
    </xf>
    <xf numFmtId="166" fontId="8" fillId="0" borderId="5" xfId="6" applyNumberFormat="1" applyFont="1" applyBorder="1" applyAlignment="1" applyProtection="1">
      <alignment horizontal="right" vertical="center"/>
    </xf>
    <xf numFmtId="0" fontId="14" fillId="0" borderId="0" xfId="0" applyFont="1" applyAlignment="1">
      <alignment vertical="center" wrapText="1"/>
    </xf>
    <xf numFmtId="0" fontId="9" fillId="0" borderId="2" xfId="0" applyFont="1" applyBorder="1"/>
    <xf numFmtId="0" fontId="43" fillId="0" borderId="2" xfId="0" applyFont="1" applyBorder="1" applyAlignment="1">
      <alignment horizontal="left" vertical="center" wrapText="1"/>
    </xf>
    <xf numFmtId="0" fontId="14" fillId="0" borderId="2" xfId="0" applyFont="1" applyBorder="1" applyAlignment="1">
      <alignment horizontal="left" indent="1"/>
    </xf>
    <xf numFmtId="0" fontId="39" fillId="0" borderId="2" xfId="5" applyFont="1" applyBorder="1" applyAlignment="1">
      <alignment horizontal="center" vertical="center" wrapText="1"/>
    </xf>
    <xf numFmtId="0" fontId="9" fillId="0" borderId="8" xfId="0" applyFont="1" applyBorder="1" applyAlignment="1" applyProtection="1">
      <alignment horizontal="right" vertical="top" wrapText="1"/>
      <protection locked="0"/>
    </xf>
    <xf numFmtId="0" fontId="9" fillId="0" borderId="2" xfId="0" applyFont="1" applyBorder="1" applyAlignment="1" applyProtection="1">
      <alignment horizontal="right" vertical="top" wrapText="1"/>
      <protection locked="0"/>
    </xf>
    <xf numFmtId="0" fontId="4" fillId="0" borderId="2" xfId="0" applyFont="1" applyBorder="1" applyAlignment="1" applyProtection="1">
      <alignment horizontal="right" vertical="top" wrapText="1"/>
      <protection locked="0"/>
    </xf>
    <xf numFmtId="0" fontId="4" fillId="0" borderId="2" xfId="0" applyFont="1" applyBorder="1" applyAlignment="1" applyProtection="1">
      <alignment horizontal="left" vertical="top" wrapText="1"/>
      <protection locked="0"/>
    </xf>
    <xf numFmtId="176" fontId="9" fillId="0" borderId="2" xfId="0" applyNumberFormat="1" applyFont="1" applyBorder="1" applyAlignment="1" applyProtection="1">
      <alignment horizontal="right" vertical="top" wrapText="1"/>
      <protection locked="0"/>
    </xf>
    <xf numFmtId="177" fontId="9" fillId="0" borderId="2" xfId="0" applyNumberFormat="1" applyFont="1" applyBorder="1" applyProtection="1">
      <protection locked="0"/>
    </xf>
    <xf numFmtId="166" fontId="8" fillId="0" borderId="1" xfId="6" applyNumberFormat="1" applyFont="1" applyBorder="1" applyAlignment="1" applyProtection="1">
      <alignment horizontal="center" vertical="center"/>
      <protection locked="0"/>
    </xf>
    <xf numFmtId="166" fontId="8" fillId="0" borderId="5" xfId="6" applyNumberFormat="1"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174" fontId="9" fillId="0" borderId="2" xfId="0" applyNumberFormat="1" applyFont="1" applyBorder="1" applyAlignment="1" applyProtection="1">
      <alignment horizontal="right" vertical="top" wrapText="1"/>
      <protection locked="0"/>
    </xf>
    <xf numFmtId="166" fontId="8" fillId="0" borderId="1" xfId="6" applyNumberFormat="1" applyFont="1" applyBorder="1" applyAlignment="1" applyProtection="1">
      <alignment horizontal="right" vertical="center"/>
      <protection locked="0"/>
    </xf>
    <xf numFmtId="166" fontId="8" fillId="0" borderId="5" xfId="6" applyNumberFormat="1" applyFont="1" applyBorder="1" applyAlignment="1" applyProtection="1">
      <alignment horizontal="right" vertical="center"/>
      <protection locked="0"/>
    </xf>
    <xf numFmtId="0" fontId="9" fillId="0" borderId="2" xfId="0" applyFont="1" applyBorder="1" applyProtection="1">
      <protection locked="0"/>
    </xf>
    <xf numFmtId="0" fontId="14" fillId="0" borderId="8" xfId="0" applyFont="1" applyBorder="1" applyAlignment="1">
      <alignment horizontal="center" vertical="center" wrapText="1"/>
    </xf>
    <xf numFmtId="0" fontId="39" fillId="0" borderId="8" xfId="0" applyFont="1" applyBorder="1" applyAlignment="1">
      <alignment horizontal="center" vertical="center" wrapText="1"/>
    </xf>
    <xf numFmtId="0" fontId="42" fillId="0" borderId="8" xfId="0" applyFont="1" applyBorder="1" applyAlignment="1">
      <alignment horizontal="left" vertical="center" wrapText="1"/>
    </xf>
    <xf numFmtId="1" fontId="14" fillId="0" borderId="8" xfId="0" applyNumberFormat="1" applyFont="1" applyBorder="1" applyAlignment="1">
      <alignment horizontal="left" vertical="center" wrapText="1"/>
    </xf>
    <xf numFmtId="0" fontId="14" fillId="0" borderId="2" xfId="0" applyFont="1" applyBorder="1" applyAlignment="1">
      <alignment horizontal="right" vertical="top" wrapText="1"/>
    </xf>
    <xf numFmtId="164" fontId="14" fillId="0" borderId="2" xfId="6" applyNumberFormat="1" applyFont="1" applyBorder="1" applyAlignment="1" applyProtection="1">
      <alignment horizontal="center" vertical="center"/>
    </xf>
    <xf numFmtId="0" fontId="14" fillId="0" borderId="2" xfId="0" applyFont="1" applyBorder="1" applyAlignment="1">
      <alignment horizontal="left" vertical="center" wrapText="1"/>
    </xf>
    <xf numFmtId="0" fontId="2" fillId="0" borderId="2" xfId="0" applyFont="1" applyBorder="1" applyAlignment="1">
      <alignment horizontal="center" vertical="center" wrapText="1"/>
    </xf>
    <xf numFmtId="169" fontId="14" fillId="0" borderId="2" xfId="0" applyNumberFormat="1" applyFont="1" applyBorder="1" applyAlignment="1">
      <alignment horizontal="center" vertical="center" wrapText="1"/>
    </xf>
    <xf numFmtId="0" fontId="43" fillId="0" borderId="2" xfId="0" applyFont="1" applyBorder="1" applyAlignment="1">
      <alignment horizontal="left" vertical="top" wrapText="1"/>
    </xf>
    <xf numFmtId="0" fontId="14" fillId="0" borderId="2" xfId="0" applyFont="1" applyBorder="1" applyAlignment="1">
      <alignment wrapText="1"/>
    </xf>
    <xf numFmtId="1" fontId="14" fillId="0" borderId="0" xfId="0" applyNumberFormat="1" applyFont="1" applyAlignment="1">
      <alignment horizontal="center" vertical="center" wrapText="1"/>
    </xf>
    <xf numFmtId="0" fontId="39" fillId="0" borderId="2" xfId="0" applyFont="1" applyBorder="1" applyAlignment="1">
      <alignment horizontal="center" vertical="center"/>
    </xf>
    <xf numFmtId="0" fontId="43" fillId="0" borderId="0" xfId="0" applyFont="1" applyAlignment="1">
      <alignment horizontal="left" vertical="center"/>
    </xf>
    <xf numFmtId="0" fontId="14" fillId="0" borderId="9" xfId="0" applyFont="1" applyBorder="1" applyAlignment="1">
      <alignment horizontal="center" vertical="center"/>
    </xf>
    <xf numFmtId="164" fontId="42" fillId="0" borderId="1" xfId="6" applyNumberFormat="1" applyFont="1" applyBorder="1" applyAlignment="1" applyProtection="1">
      <alignment horizontal="center" vertical="center"/>
    </xf>
    <xf numFmtId="0" fontId="14" fillId="0" borderId="0" xfId="0" applyFont="1" applyAlignment="1">
      <alignment horizontal="left" vertical="top" indent="1"/>
    </xf>
    <xf numFmtId="0" fontId="9" fillId="0" borderId="0" xfId="0" applyFont="1" applyAlignment="1">
      <alignment horizontal="left" vertical="top" indent="1"/>
    </xf>
    <xf numFmtId="0" fontId="14" fillId="0" borderId="9" xfId="0" applyFont="1" applyBorder="1" applyAlignment="1">
      <alignment horizontal="center" vertical="top" wrapText="1"/>
    </xf>
    <xf numFmtId="0" fontId="14" fillId="0" borderId="0" xfId="0" applyFont="1"/>
    <xf numFmtId="0" fontId="48" fillId="0" borderId="2" xfId="0" applyFont="1" applyBorder="1" applyAlignment="1">
      <alignment horizontal="left" vertical="top"/>
    </xf>
    <xf numFmtId="166" fontId="14" fillId="0" borderId="2" xfId="6" applyNumberFormat="1" applyFont="1" applyBorder="1" applyAlignment="1" applyProtection="1">
      <alignment horizontal="center" vertical="top"/>
    </xf>
    <xf numFmtId="2" fontId="14" fillId="0" borderId="2" xfId="0" applyNumberFormat="1" applyFont="1" applyBorder="1" applyAlignment="1">
      <alignment horizontal="center" vertical="top" wrapText="1"/>
    </xf>
    <xf numFmtId="0" fontId="14" fillId="0" borderId="2" xfId="0" applyFont="1" applyBorder="1" applyAlignment="1">
      <alignment horizontal="center" wrapText="1"/>
    </xf>
    <xf numFmtId="2" fontId="14" fillId="0" borderId="2" xfId="0" applyNumberFormat="1" applyFont="1" applyBorder="1" applyAlignment="1">
      <alignment horizontal="center" wrapText="1"/>
    </xf>
    <xf numFmtId="0" fontId="42" fillId="0" borderId="0" xfId="5" applyFont="1" applyAlignment="1">
      <alignment horizontal="left" vertical="top"/>
    </xf>
    <xf numFmtId="2" fontId="14" fillId="0" borderId="2" xfId="0" applyNumberFormat="1" applyFont="1" applyBorder="1" applyAlignment="1">
      <alignment horizontal="center"/>
    </xf>
    <xf numFmtId="0" fontId="9" fillId="0" borderId="2" xfId="0" applyFont="1" applyBorder="1" applyAlignment="1">
      <alignment horizontal="center" vertical="center"/>
    </xf>
    <xf numFmtId="175" fontId="14" fillId="0" borderId="0" xfId="0" applyNumberFormat="1" applyFont="1" applyAlignment="1">
      <alignment vertical="top"/>
    </xf>
    <xf numFmtId="164" fontId="42" fillId="0" borderId="1" xfId="6" applyNumberFormat="1" applyFont="1" applyBorder="1" applyAlignment="1" applyProtection="1">
      <alignment horizontal="center" vertical="center"/>
      <protection locked="0"/>
    </xf>
    <xf numFmtId="0" fontId="9" fillId="0" borderId="8"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164" fontId="14" fillId="0" borderId="2" xfId="6" applyNumberFormat="1" applyFont="1" applyBorder="1" applyAlignment="1" applyProtection="1">
      <alignment horizontal="center" vertical="center"/>
      <protection locked="0"/>
    </xf>
    <xf numFmtId="9" fontId="14" fillId="0" borderId="2" xfId="662" applyFont="1" applyBorder="1" applyAlignment="1" applyProtection="1">
      <alignment horizontal="center" vertical="center"/>
      <protection locked="0"/>
    </xf>
    <xf numFmtId="174" fontId="8" fillId="0" borderId="2" xfId="0" applyNumberFormat="1" applyFont="1" applyBorder="1" applyAlignment="1" applyProtection="1">
      <alignment horizontal="right" vertical="top" wrapText="1"/>
      <protection locked="0"/>
    </xf>
    <xf numFmtId="174" fontId="14" fillId="0" borderId="2" xfId="0" applyNumberFormat="1" applyFont="1" applyBorder="1" applyAlignment="1" applyProtection="1">
      <alignment horizontal="right" vertical="top" wrapText="1"/>
      <protection locked="0"/>
    </xf>
    <xf numFmtId="43" fontId="14" fillId="0" borderId="2" xfId="6"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72" fontId="14" fillId="0" borderId="2" xfId="6" applyNumberFormat="1" applyFont="1" applyBorder="1" applyAlignment="1" applyProtection="1">
      <alignment horizontal="center" vertical="center"/>
      <protection locked="0"/>
    </xf>
    <xf numFmtId="174" fontId="9" fillId="0" borderId="2" xfId="5" applyNumberFormat="1" applyFont="1" applyBorder="1" applyAlignment="1" applyProtection="1">
      <alignment horizontal="right" vertical="top"/>
      <protection locked="0"/>
    </xf>
    <xf numFmtId="174" fontId="14" fillId="0" borderId="2" xfId="0" applyNumberFormat="1" applyFont="1" applyBorder="1" applyAlignment="1" applyProtection="1">
      <alignment horizontal="right"/>
      <protection locked="0"/>
    </xf>
    <xf numFmtId="0" fontId="8" fillId="0" borderId="5" xfId="4" applyFont="1" applyBorder="1" applyAlignment="1">
      <alignment vertical="top" wrapText="1"/>
    </xf>
    <xf numFmtId="0" fontId="8" fillId="0" borderId="6" xfId="4" applyFont="1" applyBorder="1" applyAlignment="1">
      <alignment vertical="top" wrapText="1"/>
    </xf>
    <xf numFmtId="1" fontId="8" fillId="0" borderId="1" xfId="0" applyNumberFormat="1" applyFont="1" applyBorder="1" applyAlignment="1">
      <alignment horizontal="center" vertical="top"/>
    </xf>
    <xf numFmtId="0" fontId="8" fillId="0" borderId="1" xfId="0" applyFont="1" applyBorder="1" applyAlignment="1">
      <alignment horizontal="center" vertical="top"/>
    </xf>
    <xf numFmtId="166" fontId="9" fillId="0" borderId="23" xfId="6" applyNumberFormat="1" applyFont="1" applyBorder="1" applyAlignment="1" applyProtection="1">
      <alignment horizontal="center" vertical="top"/>
    </xf>
    <xf numFmtId="166" fontId="9" fillId="0" borderId="23" xfId="6" applyNumberFormat="1" applyFont="1" applyBorder="1" applyAlignment="1" applyProtection="1">
      <alignment vertical="top"/>
    </xf>
    <xf numFmtId="1" fontId="9" fillId="0" borderId="8" xfId="0" applyNumberFormat="1" applyFont="1" applyBorder="1" applyAlignment="1">
      <alignment horizontal="left" vertical="top" wrapText="1"/>
    </xf>
    <xf numFmtId="0" fontId="8" fillId="41" borderId="24" xfId="0" applyFont="1" applyFill="1" applyBorder="1" applyAlignment="1">
      <alignment horizontal="right" vertical="top" wrapText="1"/>
    </xf>
    <xf numFmtId="1" fontId="9" fillId="0" borderId="2" xfId="0" applyNumberFormat="1" applyFont="1" applyBorder="1" applyAlignment="1">
      <alignment horizontal="left" vertical="top" wrapText="1"/>
    </xf>
    <xf numFmtId="1" fontId="14" fillId="0" borderId="2" xfId="0" applyNumberFormat="1" applyFont="1" applyBorder="1" applyAlignment="1">
      <alignment horizontal="left" vertical="center"/>
    </xf>
    <xf numFmtId="0" fontId="14" fillId="0" borderId="2" xfId="0" applyFont="1" applyBorder="1" applyAlignment="1">
      <alignment horizontal="left" vertical="center"/>
    </xf>
    <xf numFmtId="0" fontId="38" fillId="0" borderId="2" xfId="0" applyFont="1" applyBorder="1" applyAlignment="1">
      <alignment vertical="center" wrapText="1"/>
    </xf>
    <xf numFmtId="0" fontId="9" fillId="0" borderId="2" xfId="0" applyFont="1" applyBorder="1" applyAlignment="1">
      <alignment horizontal="center" vertical="center" wrapText="1"/>
    </xf>
    <xf numFmtId="44" fontId="9" fillId="0" borderId="2" xfId="2" applyFont="1" applyBorder="1" applyAlignment="1" applyProtection="1">
      <alignment horizontal="left" vertical="top" wrapText="1"/>
    </xf>
    <xf numFmtId="164" fontId="14" fillId="0" borderId="2" xfId="2" applyNumberFormat="1" applyFont="1" applyBorder="1" applyAlignment="1" applyProtection="1">
      <alignment horizontal="left" vertical="center"/>
    </xf>
    <xf numFmtId="2" fontId="9" fillId="0" borderId="2" xfId="0" applyNumberFormat="1" applyFont="1" applyBorder="1" applyAlignment="1">
      <alignment horizontal="center" vertical="center" wrapText="1"/>
    </xf>
    <xf numFmtId="164" fontId="9" fillId="0" borderId="2" xfId="6" applyNumberFormat="1" applyFont="1" applyBorder="1" applyAlignment="1" applyProtection="1">
      <alignment horizontal="right" vertical="center"/>
    </xf>
    <xf numFmtId="164" fontId="9" fillId="0" borderId="2" xfId="6" applyNumberFormat="1" applyFont="1" applyBorder="1" applyAlignment="1" applyProtection="1">
      <alignment horizontal="right"/>
    </xf>
    <xf numFmtId="0" fontId="39" fillId="0" borderId="2" xfId="0" applyFont="1" applyBorder="1" applyAlignment="1">
      <alignment horizontal="center"/>
    </xf>
    <xf numFmtId="0" fontId="39" fillId="0" borderId="2" xfId="0" applyFont="1" applyBorder="1" applyAlignment="1">
      <alignment horizontal="center" vertical="top"/>
    </xf>
    <xf numFmtId="0" fontId="39" fillId="0" borderId="2" xfId="5" applyFont="1" applyBorder="1" applyAlignment="1">
      <alignment horizontal="center" vertical="top" wrapText="1"/>
    </xf>
    <xf numFmtId="0" fontId="14" fillId="0" borderId="2" xfId="0" applyFont="1" applyBorder="1" applyAlignment="1">
      <alignment vertical="top" wrapText="1"/>
    </xf>
    <xf numFmtId="2" fontId="9" fillId="0" borderId="10" xfId="0" applyNumberFormat="1" applyFont="1" applyBorder="1" applyAlignment="1">
      <alignment horizontal="center" vertical="center" wrapText="1"/>
    </xf>
    <xf numFmtId="0" fontId="39" fillId="0" borderId="2" xfId="0" applyFont="1" applyBorder="1" applyAlignment="1">
      <alignment horizontal="left"/>
    </xf>
    <xf numFmtId="0" fontId="14" fillId="0" borderId="2" xfId="0" applyFont="1" applyBorder="1" applyAlignment="1">
      <alignment vertical="center"/>
    </xf>
    <xf numFmtId="2" fontId="9" fillId="0" borderId="10" xfId="0" applyNumberFormat="1" applyFont="1" applyBorder="1" applyAlignment="1">
      <alignment horizontal="center" vertical="center"/>
    </xf>
    <xf numFmtId="2" fontId="42" fillId="0" borderId="5" xfId="6" applyNumberFormat="1" applyFont="1" applyBorder="1" applyAlignment="1" applyProtection="1">
      <alignment horizontal="center" vertical="center"/>
    </xf>
    <xf numFmtId="2" fontId="9" fillId="0" borderId="2" xfId="0" applyNumberFormat="1" applyFont="1" applyBorder="1" applyAlignment="1">
      <alignment horizontal="center" vertical="center"/>
    </xf>
    <xf numFmtId="0" fontId="2" fillId="0" borderId="2" xfId="0" applyFont="1" applyBorder="1" applyAlignment="1">
      <alignment vertical="top" wrapText="1"/>
    </xf>
    <xf numFmtId="0" fontId="14" fillId="0" borderId="2" xfId="13" applyFont="1" applyBorder="1" applyAlignment="1">
      <alignment horizontal="left" vertical="top" wrapText="1"/>
    </xf>
    <xf numFmtId="0" fontId="39" fillId="0" borderId="2" xfId="0" applyFont="1" applyBorder="1" applyAlignment="1">
      <alignment vertical="top"/>
    </xf>
    <xf numFmtId="2" fontId="14" fillId="0" borderId="2" xfId="5" quotePrefix="1" applyNumberFormat="1" applyFont="1" applyBorder="1" applyAlignment="1">
      <alignment horizontal="center" vertical="center"/>
    </xf>
    <xf numFmtId="2" fontId="9" fillId="0" borderId="2" xfId="5" quotePrefix="1" applyNumberFormat="1" applyFont="1" applyBorder="1" applyAlignment="1">
      <alignment horizontal="center" vertical="center"/>
    </xf>
    <xf numFmtId="2" fontId="9" fillId="0" borderId="10" xfId="5" quotePrefix="1" applyNumberFormat="1" applyFont="1" applyBorder="1" applyAlignment="1">
      <alignment horizontal="center" vertical="center"/>
    </xf>
    <xf numFmtId="0" fontId="14" fillId="0" borderId="2" xfId="5" applyFont="1" applyBorder="1" applyAlignment="1">
      <alignment horizontal="left" vertical="center" wrapText="1"/>
    </xf>
    <xf numFmtId="0" fontId="8" fillId="0" borderId="24" xfId="5" applyFont="1" applyBorder="1" applyAlignment="1">
      <alignment horizontal="right" vertical="center"/>
    </xf>
    <xf numFmtId="0" fontId="9" fillId="0" borderId="24" xfId="0" applyFont="1" applyBorder="1" applyAlignment="1">
      <alignment horizontal="right" vertical="center"/>
    </xf>
    <xf numFmtId="166" fontId="42" fillId="0" borderId="24" xfId="6" applyNumberFormat="1" applyFont="1" applyBorder="1" applyAlignment="1" applyProtection="1">
      <alignment horizontal="right" vertical="center"/>
    </xf>
    <xf numFmtId="2" fontId="42" fillId="0" borderId="24" xfId="6" applyNumberFormat="1" applyFont="1" applyBorder="1" applyAlignment="1" applyProtection="1">
      <alignment horizontal="center" vertical="center"/>
    </xf>
    <xf numFmtId="0" fontId="8" fillId="0" borderId="2" xfId="0" applyFont="1" applyBorder="1" applyAlignment="1">
      <alignment horizontal="center" vertical="center" wrapText="1"/>
    </xf>
    <xf numFmtId="0" fontId="48" fillId="0" borderId="2" xfId="0" applyFont="1" applyBorder="1" applyAlignment="1">
      <alignment horizontal="left" vertical="top" wrapText="1"/>
    </xf>
    <xf numFmtId="0" fontId="51" fillId="0" borderId="2" xfId="5" applyFont="1" applyBorder="1" applyAlignment="1">
      <alignment vertical="top" wrapText="1"/>
    </xf>
    <xf numFmtId="2" fontId="14" fillId="0" borderId="2" xfId="1" quotePrefix="1" applyNumberFormat="1" applyFont="1" applyBorder="1" applyAlignment="1" applyProtection="1">
      <alignment horizontal="center" vertical="center"/>
    </xf>
    <xf numFmtId="2" fontId="9" fillId="0" borderId="2" xfId="1" quotePrefix="1" applyNumberFormat="1" applyFont="1" applyBorder="1" applyAlignment="1" applyProtection="1">
      <alignment horizontal="center" vertical="center"/>
    </xf>
    <xf numFmtId="1" fontId="14" fillId="0" borderId="2" xfId="0" applyNumberFormat="1" applyFont="1" applyBorder="1" applyAlignment="1">
      <alignment horizontal="center" vertical="top"/>
    </xf>
    <xf numFmtId="1" fontId="9" fillId="0" borderId="2" xfId="0" applyNumberFormat="1" applyFont="1" applyBorder="1" applyAlignment="1">
      <alignment vertical="top"/>
    </xf>
    <xf numFmtId="0" fontId="9" fillId="0" borderId="2" xfId="0" applyFont="1" applyBorder="1" applyAlignment="1">
      <alignment vertical="top"/>
    </xf>
    <xf numFmtId="0" fontId="14" fillId="0" borderId="2" xfId="0" applyFont="1" applyBorder="1"/>
    <xf numFmtId="0" fontId="14" fillId="0" borderId="2" xfId="0" applyFont="1" applyBorder="1" applyAlignment="1">
      <alignment horizontal="center"/>
    </xf>
    <xf numFmtId="164" fontId="14" fillId="0" borderId="2" xfId="2" applyNumberFormat="1" applyFont="1" applyBorder="1" applyAlignment="1" applyProtection="1">
      <alignment horizontal="center" vertical="center"/>
    </xf>
    <xf numFmtId="164" fontId="9" fillId="0" borderId="2" xfId="6" applyNumberFormat="1" applyFont="1" applyBorder="1" applyAlignment="1" applyProtection="1">
      <alignment vertical="center"/>
    </xf>
    <xf numFmtId="0" fontId="38" fillId="0" borderId="2" xfId="0" applyFont="1" applyBorder="1" applyAlignment="1">
      <alignment horizontal="center" wrapText="1"/>
    </xf>
    <xf numFmtId="168" fontId="9" fillId="0" borderId="10" xfId="8" applyFont="1" applyBorder="1" applyAlignment="1" applyProtection="1">
      <alignment vertical="center" wrapText="1"/>
    </xf>
    <xf numFmtId="0" fontId="43" fillId="0" borderId="2" xfId="5" applyFont="1" applyBorder="1" applyAlignment="1">
      <alignment horizontal="left" vertical="top" wrapText="1"/>
    </xf>
    <xf numFmtId="0" fontId="42" fillId="0" borderId="2" xfId="5" applyFont="1" applyBorder="1" applyAlignment="1">
      <alignment horizontal="left" vertical="top" wrapText="1"/>
    </xf>
    <xf numFmtId="0" fontId="8" fillId="0" borderId="2" xfId="0" applyFont="1" applyBorder="1" applyAlignment="1">
      <alignment horizontal="left" vertical="center"/>
    </xf>
    <xf numFmtId="2" fontId="9" fillId="0" borderId="0" xfId="0" applyNumberFormat="1" applyFont="1" applyAlignment="1">
      <alignment horizontal="center" vertical="center"/>
    </xf>
    <xf numFmtId="2" fontId="42" fillId="0" borderId="1" xfId="6" applyNumberFormat="1" applyFont="1" applyBorder="1" applyAlignment="1" applyProtection="1">
      <alignment horizontal="center" vertical="center"/>
    </xf>
    <xf numFmtId="0" fontId="48" fillId="0" borderId="2" xfId="0" applyFont="1" applyBorder="1" applyAlignment="1">
      <alignment horizontal="left" vertical="center" wrapText="1"/>
    </xf>
    <xf numFmtId="0" fontId="14" fillId="0" borderId="2" xfId="5" applyFont="1" applyBorder="1" applyAlignment="1">
      <alignment vertical="top"/>
    </xf>
    <xf numFmtId="0" fontId="8" fillId="0" borderId="2" xfId="5" applyFont="1" applyBorder="1" applyAlignment="1">
      <alignment horizontal="center" vertical="top"/>
    </xf>
    <xf numFmtId="0" fontId="14" fillId="0" borderId="2" xfId="5" applyFont="1" applyBorder="1" applyAlignment="1">
      <alignment vertical="center" wrapText="1"/>
    </xf>
    <xf numFmtId="164" fontId="9" fillId="0" borderId="0" xfId="0" applyNumberFormat="1" applyFont="1" applyAlignment="1">
      <alignment vertical="top"/>
    </xf>
    <xf numFmtId="164" fontId="14" fillId="0" borderId="0" xfId="0" applyNumberFormat="1" applyFont="1" applyAlignment="1">
      <alignment vertical="top"/>
    </xf>
    <xf numFmtId="164" fontId="9" fillId="0" borderId="2" xfId="0" applyNumberFormat="1" applyFont="1" applyBorder="1" applyAlignment="1" applyProtection="1">
      <alignment horizontal="center" vertical="top"/>
      <protection locked="0"/>
    </xf>
    <xf numFmtId="164" fontId="14" fillId="0" borderId="2" xfId="0" applyNumberFormat="1" applyFont="1" applyBorder="1" applyAlignment="1" applyProtection="1">
      <alignment horizontal="center" vertical="top"/>
      <protection locked="0"/>
    </xf>
    <xf numFmtId="164" fontId="9" fillId="0" borderId="2" xfId="0" applyNumberFormat="1" applyFont="1" applyBorder="1" applyAlignment="1" applyProtection="1">
      <alignment vertical="top"/>
      <protection locked="0"/>
    </xf>
    <xf numFmtId="164" fontId="14" fillId="0" borderId="2" xfId="0" applyNumberFormat="1" applyFont="1" applyBorder="1" applyAlignment="1" applyProtection="1">
      <alignment vertical="top"/>
      <protection locked="0"/>
    </xf>
    <xf numFmtId="166" fontId="9" fillId="0" borderId="23" xfId="6" applyNumberFormat="1" applyFont="1" applyBorder="1" applyAlignment="1" applyProtection="1">
      <alignment horizontal="center" vertical="top"/>
      <protection locked="0"/>
    </xf>
    <xf numFmtId="166" fontId="9" fillId="0" borderId="23" xfId="6" applyNumberFormat="1" applyFont="1" applyBorder="1" applyAlignment="1" applyProtection="1">
      <alignment vertical="top"/>
      <protection locked="0"/>
    </xf>
    <xf numFmtId="166" fontId="9" fillId="0" borderId="24" xfId="6" applyNumberFormat="1" applyFont="1" applyBorder="1" applyAlignment="1" applyProtection="1">
      <alignment horizontal="center" vertical="top"/>
      <protection locked="0"/>
    </xf>
    <xf numFmtId="166" fontId="9" fillId="0" borderId="24" xfId="6" applyNumberFormat="1" applyFont="1" applyBorder="1" applyAlignment="1" applyProtection="1">
      <alignment vertical="top"/>
      <protection locked="0"/>
    </xf>
    <xf numFmtId="0" fontId="9" fillId="0" borderId="2" xfId="0" applyFont="1" applyBorder="1" applyAlignment="1" applyProtection="1">
      <alignment horizontal="left" vertical="center"/>
      <protection locked="0"/>
    </xf>
    <xf numFmtId="43" fontId="14" fillId="0" borderId="2" xfId="0" applyNumberFormat="1" applyFont="1" applyBorder="1" applyAlignment="1" applyProtection="1">
      <alignment horizontal="left" vertical="center"/>
      <protection locked="0"/>
    </xf>
    <xf numFmtId="44" fontId="9" fillId="0" borderId="2" xfId="2" applyFont="1" applyBorder="1" applyAlignment="1" applyProtection="1">
      <alignment horizontal="left" vertical="center"/>
      <protection locked="0"/>
    </xf>
    <xf numFmtId="44" fontId="14" fillId="0" borderId="2" xfId="2" applyFont="1" applyBorder="1" applyAlignment="1" applyProtection="1">
      <alignment horizontal="left" vertical="center"/>
      <protection locked="0"/>
    </xf>
    <xf numFmtId="164" fontId="9" fillId="0" borderId="2" xfId="2" applyNumberFormat="1" applyFont="1" applyBorder="1" applyAlignment="1" applyProtection="1">
      <alignment horizontal="left" vertical="center"/>
      <protection locked="0"/>
    </xf>
    <xf numFmtId="164" fontId="14" fillId="0" borderId="2" xfId="2" applyNumberFormat="1" applyFont="1" applyBorder="1" applyAlignment="1" applyProtection="1">
      <alignment horizontal="left" vertical="center"/>
      <protection locked="0"/>
    </xf>
    <xf numFmtId="164" fontId="9" fillId="0" borderId="2" xfId="6" applyNumberFormat="1" applyFont="1" applyBorder="1" applyAlignment="1" applyProtection="1">
      <alignment horizontal="right" vertical="center"/>
      <protection locked="0"/>
    </xf>
    <xf numFmtId="164" fontId="14" fillId="0" borderId="2" xfId="6" applyNumberFormat="1" applyFont="1" applyBorder="1" applyAlignment="1" applyProtection="1">
      <alignment horizontal="right" vertical="center"/>
      <protection locked="0"/>
    </xf>
    <xf numFmtId="164" fontId="9" fillId="0" borderId="2" xfId="0" applyNumberFormat="1" applyFont="1" applyBorder="1" applyAlignment="1" applyProtection="1">
      <alignment vertical="center"/>
      <protection locked="0"/>
    </xf>
    <xf numFmtId="164" fontId="14" fillId="0" borderId="2" xfId="0" applyNumberFormat="1" applyFont="1" applyBorder="1" applyAlignment="1" applyProtection="1">
      <alignment vertical="center"/>
      <protection locked="0"/>
    </xf>
    <xf numFmtId="164" fontId="8" fillId="0" borderId="1" xfId="6" applyNumberFormat="1" applyFont="1" applyBorder="1" applyAlignment="1" applyProtection="1">
      <alignment horizontal="right" vertical="center"/>
      <protection locked="0"/>
    </xf>
    <xf numFmtId="164" fontId="42" fillId="0" borderId="1" xfId="6" applyNumberFormat="1" applyFont="1" applyBorder="1" applyAlignment="1" applyProtection="1">
      <alignment horizontal="right" vertical="center"/>
      <protection locked="0"/>
    </xf>
    <xf numFmtId="164" fontId="8" fillId="0" borderId="5" xfId="6" applyNumberFormat="1" applyFont="1" applyBorder="1" applyAlignment="1" applyProtection="1">
      <alignment horizontal="center" vertical="center"/>
      <protection locked="0"/>
    </xf>
    <xf numFmtId="164" fontId="8" fillId="0" borderId="24" xfId="6" applyNumberFormat="1" applyFont="1" applyBorder="1" applyAlignment="1" applyProtection="1">
      <alignment horizontal="center" vertical="center"/>
      <protection locked="0"/>
    </xf>
    <xf numFmtId="164" fontId="42" fillId="0" borderId="24" xfId="6" applyNumberFormat="1" applyFont="1" applyBorder="1" applyAlignment="1" applyProtection="1">
      <alignment horizontal="center" vertical="center"/>
      <protection locked="0"/>
    </xf>
    <xf numFmtId="164" fontId="9" fillId="0" borderId="2" xfId="0" applyNumberFormat="1" applyFont="1" applyBorder="1" applyAlignment="1" applyProtection="1">
      <alignment horizontal="center"/>
      <protection locked="0"/>
    </xf>
    <xf numFmtId="164" fontId="14" fillId="0" borderId="2" xfId="0" applyNumberFormat="1" applyFont="1" applyBorder="1" applyAlignment="1" applyProtection="1">
      <alignment horizontal="center"/>
      <protection locked="0"/>
    </xf>
    <xf numFmtId="164" fontId="14" fillId="0" borderId="2" xfId="2" applyNumberFormat="1" applyFont="1" applyBorder="1" applyAlignment="1" applyProtection="1">
      <alignment horizontal="center" vertical="center"/>
      <protection locked="0"/>
    </xf>
    <xf numFmtId="164" fontId="9" fillId="0" borderId="10" xfId="8" applyNumberFormat="1" applyFont="1" applyBorder="1" applyAlignment="1" applyProtection="1">
      <alignment horizontal="center" vertical="center"/>
      <protection locked="0"/>
    </xf>
    <xf numFmtId="164" fontId="9" fillId="0" borderId="10" xfId="6" applyNumberFormat="1" applyFont="1" applyBorder="1" applyAlignment="1" applyProtection="1">
      <alignment horizontal="center" vertical="center"/>
      <protection locked="0"/>
    </xf>
    <xf numFmtId="164" fontId="8" fillId="0" borderId="5" xfId="6" applyNumberFormat="1" applyFont="1" applyBorder="1" applyAlignment="1" applyProtection="1">
      <alignment horizontal="right" vertical="center"/>
      <protection locked="0"/>
    </xf>
    <xf numFmtId="0" fontId="14" fillId="0" borderId="8" xfId="0" applyFont="1" applyBorder="1" applyAlignment="1">
      <alignment horizontal="center" vertical="center"/>
    </xf>
    <xf numFmtId="1" fontId="14" fillId="0" borderId="8" xfId="0" applyNumberFormat="1" applyFont="1" applyBorder="1" applyAlignment="1">
      <alignment horizontal="left" vertical="center"/>
    </xf>
    <xf numFmtId="0" fontId="14" fillId="0" borderId="8" xfId="0" applyFont="1" applyBorder="1" applyAlignment="1">
      <alignment horizontal="left" vertical="center"/>
    </xf>
    <xf numFmtId="166" fontId="42" fillId="0" borderId="4" xfId="6" applyNumberFormat="1" applyFont="1" applyBorder="1" applyAlignment="1" applyProtection="1">
      <alignment horizontal="center" vertical="center"/>
    </xf>
    <xf numFmtId="0" fontId="8" fillId="0" borderId="9" xfId="5" applyFont="1" applyBorder="1" applyAlignment="1">
      <alignment horizontal="right" vertical="top"/>
    </xf>
    <xf numFmtId="0" fontId="9" fillId="0" borderId="24" xfId="0" applyFont="1" applyBorder="1" applyAlignment="1">
      <alignment horizontal="right" vertical="top"/>
    </xf>
    <xf numFmtId="166" fontId="42" fillId="0" borderId="24" xfId="6" applyNumberFormat="1" applyFont="1" applyBorder="1" applyAlignment="1" applyProtection="1">
      <alignment horizontal="center" vertical="center"/>
    </xf>
    <xf numFmtId="166" fontId="14" fillId="0" borderId="2" xfId="6" applyNumberFormat="1" applyFont="1" applyBorder="1" applyAlignment="1" applyProtection="1">
      <alignment vertical="center"/>
    </xf>
    <xf numFmtId="0" fontId="14" fillId="0" borderId="2" xfId="5" applyFont="1" applyBorder="1" applyAlignment="1">
      <alignment vertical="top" wrapText="1"/>
    </xf>
    <xf numFmtId="2" fontId="14" fillId="0" borderId="10" xfId="5" applyNumberFormat="1" applyFont="1" applyBorder="1" applyAlignment="1">
      <alignment horizontal="center" vertical="center"/>
    </xf>
    <xf numFmtId="168" fontId="14" fillId="0" borderId="2" xfId="8" applyFont="1" applyBorder="1" applyAlignment="1" applyProtection="1">
      <alignment horizontal="center" vertical="center"/>
    </xf>
    <xf numFmtId="2" fontId="14" fillId="0" borderId="10" xfId="5" quotePrefix="1" applyNumberFormat="1" applyFont="1" applyBorder="1" applyAlignment="1">
      <alignment horizontal="center" vertical="center"/>
    </xf>
    <xf numFmtId="0" fontId="39" fillId="0" borderId="2" xfId="5" applyFont="1" applyBorder="1" applyAlignment="1">
      <alignment horizontal="center" vertical="center"/>
    </xf>
    <xf numFmtId="166" fontId="42" fillId="0" borderId="1" xfId="6" applyNumberFormat="1" applyFont="1" applyBorder="1" applyAlignment="1" applyProtection="1">
      <alignment horizontal="center" vertical="center"/>
    </xf>
    <xf numFmtId="0" fontId="8" fillId="0" borderId="24" xfId="5" applyFont="1" applyBorder="1" applyAlignment="1">
      <alignment horizontal="right" vertical="top"/>
    </xf>
    <xf numFmtId="0" fontId="14" fillId="0" borderId="2" xfId="5" applyFont="1" applyBorder="1" applyAlignment="1">
      <alignment horizontal="left" vertical="top"/>
    </xf>
    <xf numFmtId="2" fontId="14" fillId="0" borderId="10" xfId="13" quotePrefix="1" applyNumberFormat="1" applyFont="1" applyBorder="1" applyAlignment="1">
      <alignment horizontal="center" vertical="center"/>
    </xf>
    <xf numFmtId="2" fontId="14" fillId="0" borderId="2" xfId="13" quotePrefix="1" applyNumberFormat="1" applyFont="1" applyBorder="1" applyAlignment="1">
      <alignment horizontal="center" vertical="center"/>
    </xf>
    <xf numFmtId="0" fontId="42" fillId="0" borderId="2" xfId="0" applyFont="1" applyBorder="1" applyAlignment="1">
      <alignment horizontal="center" vertical="top"/>
    </xf>
    <xf numFmtId="0" fontId="39" fillId="0" borderId="2" xfId="13" applyFont="1" applyBorder="1" applyAlignment="1">
      <alignment horizontal="center" vertical="top"/>
    </xf>
    <xf numFmtId="0" fontId="48" fillId="0" borderId="0" xfId="0" applyFont="1" applyAlignment="1">
      <alignment wrapText="1"/>
    </xf>
    <xf numFmtId="0" fontId="9" fillId="0" borderId="2" xfId="0" applyFont="1" applyBorder="1" applyAlignment="1">
      <alignment horizontal="center"/>
    </xf>
    <xf numFmtId="169" fontId="9" fillId="0" borderId="10" xfId="0" applyNumberFormat="1" applyFont="1" applyBorder="1" applyAlignment="1">
      <alignment horizontal="center" vertical="center" wrapText="1"/>
    </xf>
    <xf numFmtId="164" fontId="14" fillId="0" borderId="2" xfId="0" applyNumberFormat="1" applyFont="1" applyBorder="1" applyAlignment="1" applyProtection="1">
      <alignment horizontal="center" vertical="center"/>
      <protection locked="0"/>
    </xf>
    <xf numFmtId="164" fontId="14" fillId="0" borderId="2" xfId="6" quotePrefix="1" applyNumberFormat="1" applyFont="1" applyBorder="1" applyAlignment="1" applyProtection="1">
      <alignment horizontal="center" vertical="center"/>
      <protection locked="0"/>
    </xf>
    <xf numFmtId="168" fontId="14" fillId="0" borderId="2" xfId="8" applyFont="1" applyBorder="1" applyAlignment="1" applyProtection="1">
      <alignment horizontal="center" vertical="center"/>
      <protection locked="0"/>
    </xf>
    <xf numFmtId="168" fontId="14" fillId="0" borderId="2" xfId="14" applyFont="1" applyBorder="1" applyAlignment="1" applyProtection="1">
      <alignment horizontal="center" vertical="center"/>
      <protection locked="0"/>
    </xf>
    <xf numFmtId="164" fontId="42" fillId="0" borderId="5" xfId="6" applyNumberFormat="1" applyFont="1" applyBorder="1" applyAlignment="1" applyProtection="1">
      <alignment horizontal="center" vertical="center"/>
      <protection locked="0"/>
    </xf>
    <xf numFmtId="164" fontId="42" fillId="0" borderId="2" xfId="6" applyNumberFormat="1" applyFont="1" applyBorder="1" applyAlignment="1" applyProtection="1">
      <alignment horizontal="center" vertical="center"/>
      <protection locked="0"/>
    </xf>
    <xf numFmtId="164" fontId="14" fillId="0" borderId="2" xfId="8" applyNumberFormat="1" applyFont="1" applyBorder="1" applyAlignment="1" applyProtection="1">
      <alignment horizontal="center" vertical="center"/>
      <protection locked="0"/>
    </xf>
    <xf numFmtId="164" fontId="14" fillId="0" borderId="10" xfId="8" applyNumberFormat="1" applyFont="1" applyBorder="1" applyAlignment="1" applyProtection="1">
      <alignment horizontal="center" vertical="center"/>
      <protection locked="0"/>
    </xf>
    <xf numFmtId="168" fontId="14" fillId="0" borderId="10" xfId="8" applyFont="1" applyBorder="1" applyAlignment="1" applyProtection="1">
      <alignment horizontal="center" vertical="center"/>
      <protection locked="0"/>
    </xf>
    <xf numFmtId="164" fontId="14" fillId="0" borderId="2" xfId="0" applyNumberFormat="1" applyFont="1" applyBorder="1" applyAlignment="1" applyProtection="1">
      <alignment horizontal="left" vertical="center"/>
      <protection locked="0"/>
    </xf>
    <xf numFmtId="0" fontId="42" fillId="0" borderId="1" xfId="4" applyFont="1" applyBorder="1" applyAlignment="1">
      <alignment vertical="top" wrapText="1"/>
    </xf>
    <xf numFmtId="2" fontId="9" fillId="0" borderId="8" xfId="0" applyNumberFormat="1" applyFont="1" applyBorder="1" applyAlignment="1">
      <alignment horizontal="center" vertical="center" wrapText="1"/>
    </xf>
    <xf numFmtId="0" fontId="8" fillId="41" borderId="9" xfId="0" applyFont="1" applyFill="1" applyBorder="1" applyAlignment="1">
      <alignment horizontal="right" vertical="top" wrapText="1"/>
    </xf>
    <xf numFmtId="0" fontId="8" fillId="41" borderId="0" xfId="0" applyFont="1" applyFill="1" applyAlignment="1">
      <alignment horizontal="right" vertical="top" wrapText="1"/>
    </xf>
    <xf numFmtId="0" fontId="8" fillId="41" borderId="10" xfId="0" applyFont="1" applyFill="1" applyBorder="1" applyAlignment="1">
      <alignment horizontal="right" vertical="top" wrapText="1"/>
    </xf>
    <xf numFmtId="166" fontId="9" fillId="0" borderId="2" xfId="6" applyNumberFormat="1" applyFont="1" applyBorder="1" applyAlignment="1" applyProtection="1">
      <alignment horizontal="center" vertical="top"/>
    </xf>
    <xf numFmtId="166" fontId="9" fillId="0" borderId="2" xfId="6" applyNumberFormat="1" applyFont="1" applyBorder="1" applyAlignment="1" applyProtection="1">
      <alignment vertical="top"/>
    </xf>
    <xf numFmtId="0" fontId="40" fillId="0" borderId="2" xfId="0" applyFont="1" applyBorder="1" applyAlignment="1">
      <alignment horizontal="center" vertical="top" wrapText="1"/>
    </xf>
    <xf numFmtId="0" fontId="48" fillId="0" borderId="2" xfId="4" applyFont="1" applyBorder="1" applyAlignment="1">
      <alignment horizontal="left" vertical="top" wrapText="1"/>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2" fontId="3" fillId="2" borderId="2" xfId="0" applyNumberFormat="1" applyFont="1" applyFill="1" applyBorder="1" applyAlignment="1">
      <alignment horizontal="center" vertical="center"/>
    </xf>
    <xf numFmtId="164" fontId="9" fillId="0" borderId="2" xfId="6" applyNumberFormat="1" applyFont="1" applyBorder="1" applyAlignment="1" applyProtection="1">
      <alignment horizontal="center" vertical="top"/>
    </xf>
    <xf numFmtId="0" fontId="40" fillId="0" borderId="2" xfId="0" applyFont="1" applyBorder="1"/>
    <xf numFmtId="164" fontId="9" fillId="0" borderId="2" xfId="6" quotePrefix="1" applyNumberFormat="1" applyFont="1" applyBorder="1" applyAlignment="1" applyProtection="1">
      <alignment horizontal="center" vertical="top"/>
    </xf>
    <xf numFmtId="0" fontId="9" fillId="0" borderId="2" xfId="0" applyFont="1" applyBorder="1" applyAlignment="1">
      <alignment horizontal="left" vertical="top" indent="1"/>
    </xf>
    <xf numFmtId="0" fontId="14" fillId="0" borderId="2" xfId="0" applyFont="1" applyBorder="1" applyAlignment="1">
      <alignment horizontal="left" vertical="center" indent="1"/>
    </xf>
    <xf numFmtId="2" fontId="9" fillId="2" borderId="2" xfId="0" applyNumberFormat="1" applyFont="1" applyFill="1" applyBorder="1" applyAlignment="1">
      <alignment horizontal="center" vertical="center" wrapText="1"/>
    </xf>
    <xf numFmtId="173" fontId="39" fillId="0" borderId="0" xfId="4" applyNumberFormat="1" applyFont="1" applyAlignment="1">
      <alignment horizontal="center" vertical="top"/>
    </xf>
    <xf numFmtId="0" fontId="43" fillId="0" borderId="2" xfId="4" applyFont="1" applyBorder="1" applyAlignment="1">
      <alignment horizontal="left" vertical="top" wrapText="1"/>
    </xf>
    <xf numFmtId="0" fontId="39" fillId="0" borderId="0" xfId="4" applyFont="1" applyAlignment="1">
      <alignment horizontal="center" vertical="top" wrapText="1"/>
    </xf>
    <xf numFmtId="0" fontId="14" fillId="0" borderId="2" xfId="4" applyFont="1" applyBorder="1" applyAlignment="1">
      <alignment horizontal="left" vertical="top" wrapText="1" indent="1"/>
    </xf>
    <xf numFmtId="0" fontId="14" fillId="0" borderId="0" xfId="4" applyFont="1" applyAlignment="1">
      <alignment horizontal="center" vertical="center"/>
    </xf>
    <xf numFmtId="2" fontId="14" fillId="0" borderId="2" xfId="6" applyNumberFormat="1" applyFont="1" applyBorder="1" applyAlignment="1" applyProtection="1">
      <alignment horizontal="center" vertical="center"/>
    </xf>
    <xf numFmtId="2" fontId="9" fillId="2" borderId="2" xfId="6" applyNumberFormat="1" applyFont="1" applyFill="1" applyBorder="1" applyAlignment="1" applyProtection="1">
      <alignment horizontal="center" vertical="center"/>
    </xf>
    <xf numFmtId="0" fontId="14" fillId="0" borderId="2" xfId="4" applyFont="1" applyBorder="1" applyAlignment="1">
      <alignment horizontal="left" vertical="top" wrapText="1"/>
    </xf>
    <xf numFmtId="2" fontId="9" fillId="0" borderId="2" xfId="6" applyNumberFormat="1" applyFont="1" applyBorder="1" applyAlignment="1" applyProtection="1">
      <alignment horizontal="center" vertical="center"/>
    </xf>
    <xf numFmtId="0" fontId="43" fillId="0" borderId="2" xfId="4" quotePrefix="1" applyFont="1" applyBorder="1" applyAlignment="1">
      <alignment horizontal="left" vertical="top" wrapText="1"/>
    </xf>
    <xf numFmtId="0" fontId="2" fillId="0" borderId="0" xfId="0" applyFont="1" applyAlignment="1">
      <alignment horizontal="center" vertical="center"/>
    </xf>
    <xf numFmtId="0" fontId="43" fillId="0" borderId="2" xfId="4" applyFont="1" applyBorder="1" applyAlignment="1">
      <alignment horizontal="left" vertical="top" wrapText="1" indent="1"/>
    </xf>
    <xf numFmtId="0" fontId="49" fillId="0" borderId="2" xfId="10" applyFont="1" applyBorder="1" applyAlignment="1">
      <alignment horizontal="left" vertical="top" wrapText="1" indent="1"/>
    </xf>
    <xf numFmtId="165" fontId="13" fillId="0" borderId="2" xfId="4" applyNumberFormat="1" applyFont="1" applyBorder="1" applyAlignment="1">
      <alignment horizontal="center" vertical="top"/>
    </xf>
    <xf numFmtId="0" fontId="2" fillId="0" borderId="2" xfId="0" applyFont="1" applyBorder="1" applyAlignment="1">
      <alignment horizontal="left" vertical="top" wrapText="1" indent="1"/>
    </xf>
    <xf numFmtId="2" fontId="14" fillId="0" borderId="2" xfId="5" applyNumberFormat="1" applyFont="1" applyBorder="1" applyAlignment="1">
      <alignment horizontal="center" vertical="center"/>
    </xf>
    <xf numFmtId="2" fontId="9" fillId="0" borderId="2" xfId="5" applyNumberFormat="1" applyFont="1" applyBorder="1" applyAlignment="1">
      <alignment horizontal="center" vertical="center"/>
    </xf>
    <xf numFmtId="0" fontId="39" fillId="0" borderId="2" xfId="4" applyFont="1" applyBorder="1" applyAlignment="1">
      <alignment horizontal="center" vertical="top" wrapText="1"/>
    </xf>
    <xf numFmtId="0" fontId="50" fillId="0" borderId="2" xfId="10" applyFont="1" applyBorder="1" applyAlignment="1">
      <alignment horizontal="left" vertical="top" wrapText="1" indent="1"/>
    </xf>
    <xf numFmtId="2" fontId="9" fillId="2" borderId="2" xfId="1" quotePrefix="1" applyNumberFormat="1" applyFont="1" applyFill="1" applyBorder="1" applyAlignment="1" applyProtection="1">
      <alignment horizontal="center" vertical="center"/>
    </xf>
    <xf numFmtId="0" fontId="14" fillId="0" borderId="2" xfId="4" applyFont="1" applyBorder="1" applyAlignment="1">
      <alignment horizontal="center" vertical="center"/>
    </xf>
    <xf numFmtId="0" fontId="39" fillId="0" borderId="2" xfId="4" applyFont="1" applyBorder="1" applyAlignment="1">
      <alignment horizontal="center" vertical="center"/>
    </xf>
    <xf numFmtId="0" fontId="14" fillId="0" borderId="2" xfId="5" applyFont="1" applyBorder="1" applyAlignment="1">
      <alignment horizontal="left" vertical="top" wrapText="1" indent="1"/>
    </xf>
    <xf numFmtId="0" fontId="14" fillId="0" borderId="1" xfId="5" applyFont="1" applyBorder="1" applyAlignment="1">
      <alignment horizontal="center" vertical="top"/>
    </xf>
    <xf numFmtId="2" fontId="14" fillId="0" borderId="1" xfId="5" applyNumberFormat="1" applyFont="1" applyBorder="1" applyAlignment="1">
      <alignment horizontal="right" vertical="top"/>
    </xf>
    <xf numFmtId="164" fontId="9" fillId="0" borderId="2" xfId="6" quotePrefix="1" applyNumberFormat="1" applyFont="1" applyBorder="1" applyAlignment="1" applyProtection="1">
      <alignment horizontal="center" vertical="center"/>
    </xf>
    <xf numFmtId="0" fontId="38" fillId="0" borderId="0" xfId="4" applyFont="1" applyAlignment="1">
      <alignment horizontal="center" vertical="top" wrapText="1"/>
    </xf>
    <xf numFmtId="0" fontId="14" fillId="0" borderId="0" xfId="4" applyFont="1" applyAlignment="1">
      <alignment horizontal="center" vertical="top"/>
    </xf>
    <xf numFmtId="2" fontId="14" fillId="0" borderId="2" xfId="4" applyNumberFormat="1" applyFont="1" applyBorder="1" applyAlignment="1">
      <alignment horizontal="center" vertical="center"/>
    </xf>
    <xf numFmtId="2" fontId="39" fillId="0" borderId="0" xfId="4" applyNumberFormat="1" applyFont="1" applyAlignment="1">
      <alignment horizontal="center" vertical="top" wrapText="1"/>
    </xf>
    <xf numFmtId="0" fontId="39" fillId="0" borderId="0" xfId="4" applyFont="1" applyAlignment="1">
      <alignment horizontal="center" vertical="center" wrapText="1"/>
    </xf>
    <xf numFmtId="0" fontId="51" fillId="0" borderId="2" xfId="4" applyFont="1" applyBorder="1" applyAlignment="1">
      <alignment horizontal="left" vertical="top" wrapText="1"/>
    </xf>
    <xf numFmtId="0" fontId="14" fillId="0" borderId="2" xfId="4" applyFont="1" applyBorder="1" applyAlignment="1">
      <alignment horizontal="center" vertical="top"/>
    </xf>
    <xf numFmtId="0" fontId="51" fillId="0" borderId="2" xfId="4" applyFont="1" applyBorder="1" applyAlignment="1">
      <alignment horizontal="left" vertical="top"/>
    </xf>
    <xf numFmtId="0" fontId="39" fillId="0" borderId="2" xfId="0" applyFont="1" applyBorder="1" applyAlignment="1">
      <alignment horizontal="right" vertical="top"/>
    </xf>
    <xf numFmtId="0" fontId="47" fillId="0" borderId="2" xfId="0" applyFont="1" applyBorder="1" applyAlignment="1">
      <alignment vertical="center" wrapText="1"/>
    </xf>
    <xf numFmtId="0" fontId="2" fillId="0" borderId="2" xfId="0" applyFont="1" applyBorder="1" applyAlignment="1">
      <alignment vertical="center" wrapText="1"/>
    </xf>
    <xf numFmtId="0" fontId="52" fillId="0" borderId="2" xfId="0" applyFont="1" applyBorder="1" applyAlignment="1">
      <alignment vertical="center" wrapText="1"/>
    </xf>
    <xf numFmtId="164" fontId="9" fillId="0" borderId="0" xfId="6" applyNumberFormat="1" applyFont="1" applyBorder="1" applyAlignment="1" applyProtection="1">
      <alignment horizontal="right"/>
    </xf>
    <xf numFmtId="0" fontId="53" fillId="0" borderId="2" xfId="0" applyFont="1" applyBorder="1" applyAlignment="1">
      <alignment vertical="center" wrapText="1"/>
    </xf>
    <xf numFmtId="0" fontId="53" fillId="0" borderId="2" xfId="0" applyFont="1" applyBorder="1" applyAlignment="1">
      <alignment horizontal="center" vertical="center"/>
    </xf>
    <xf numFmtId="0" fontId="38" fillId="0" borderId="2" xfId="13" applyFont="1" applyBorder="1" applyAlignment="1">
      <alignment horizontal="center" vertical="top" wrapText="1"/>
    </xf>
    <xf numFmtId="0" fontId="43" fillId="0" borderId="2" xfId="0" applyFont="1" applyBorder="1" applyAlignment="1">
      <alignment vertical="top" wrapText="1"/>
    </xf>
    <xf numFmtId="1" fontId="9" fillId="0" borderId="0" xfId="0" applyNumberFormat="1" applyFont="1" applyAlignment="1">
      <alignment vertical="top"/>
    </xf>
    <xf numFmtId="2" fontId="14" fillId="0" borderId="2" xfId="0" applyNumberFormat="1" applyFont="1" applyBorder="1" applyAlignment="1">
      <alignment horizontal="center" vertical="top"/>
    </xf>
    <xf numFmtId="169" fontId="14" fillId="0" borderId="2" xfId="0" applyNumberFormat="1" applyFont="1" applyBorder="1" applyAlignment="1">
      <alignment horizontal="center" vertical="center"/>
    </xf>
    <xf numFmtId="0" fontId="40" fillId="0" borderId="2" xfId="0" applyFont="1" applyBorder="1" applyAlignment="1">
      <alignment horizontal="center" wrapText="1"/>
    </xf>
    <xf numFmtId="0" fontId="45" fillId="0" borderId="2" xfId="11" applyFont="1" applyBorder="1" applyAlignment="1">
      <alignment vertical="center" wrapText="1"/>
    </xf>
    <xf numFmtId="0" fontId="2" fillId="0" borderId="2" xfId="11" applyFont="1" applyBorder="1" applyAlignment="1">
      <alignment vertical="center" wrapText="1"/>
    </xf>
    <xf numFmtId="2" fontId="8" fillId="0" borderId="5" xfId="6" applyNumberFormat="1" applyFont="1" applyBorder="1" applyAlignment="1" applyProtection="1">
      <alignment horizontal="right" vertical="center"/>
    </xf>
    <xf numFmtId="1" fontId="14" fillId="0" borderId="2" xfId="0" applyNumberFormat="1" applyFont="1" applyBorder="1" applyAlignment="1">
      <alignment vertical="top"/>
    </xf>
    <xf numFmtId="164" fontId="9" fillId="0" borderId="2" xfId="6" applyNumberFormat="1" applyFont="1" applyBorder="1" applyAlignment="1" applyProtection="1">
      <alignment horizontal="right"/>
      <protection locked="0"/>
    </xf>
    <xf numFmtId="0" fontId="9" fillId="0" borderId="2" xfId="0" applyFont="1" applyBorder="1" applyAlignment="1" applyProtection="1">
      <alignment vertical="top"/>
      <protection locked="0"/>
    </xf>
    <xf numFmtId="0" fontId="9" fillId="0" borderId="2" xfId="0" applyFont="1" applyBorder="1" applyAlignment="1" applyProtection="1">
      <alignment horizontal="left" vertical="center" wrapText="1"/>
      <protection locked="0"/>
    </xf>
    <xf numFmtId="0" fontId="9" fillId="0" borderId="1" xfId="5" applyFont="1" applyBorder="1" applyAlignment="1" applyProtection="1">
      <alignment horizontal="center" vertical="top"/>
      <protection locked="0"/>
    </xf>
    <xf numFmtId="164" fontId="9" fillId="0" borderId="2" xfId="5" applyNumberFormat="1" applyFont="1" applyBorder="1" applyAlignment="1" applyProtection="1">
      <alignment horizontal="center" vertical="top"/>
      <protection locked="0"/>
    </xf>
    <xf numFmtId="172" fontId="9" fillId="0" borderId="2" xfId="6" applyNumberFormat="1" applyFont="1" applyBorder="1" applyAlignment="1" applyProtection="1">
      <alignment horizontal="center" vertical="center"/>
      <protection locked="0"/>
    </xf>
    <xf numFmtId="166" fontId="9" fillId="0" borderId="2" xfId="6" applyNumberFormat="1" applyFont="1" applyBorder="1" applyAlignment="1" applyProtection="1">
      <alignment horizontal="center" vertical="top"/>
      <protection locked="0"/>
    </xf>
    <xf numFmtId="166" fontId="9" fillId="0" borderId="2" xfId="6" applyNumberFormat="1" applyFont="1" applyBorder="1" applyAlignment="1" applyProtection="1">
      <alignment vertical="top"/>
      <protection locked="0"/>
    </xf>
    <xf numFmtId="164" fontId="9" fillId="0" borderId="2" xfId="6" quotePrefix="1" applyNumberFormat="1" applyFont="1" applyBorder="1" applyAlignment="1" applyProtection="1">
      <alignment horizontal="center" vertical="top"/>
      <protection locked="0"/>
    </xf>
    <xf numFmtId="0" fontId="9" fillId="0" borderId="2" xfId="0" applyFont="1" applyBorder="1" applyAlignment="1" applyProtection="1">
      <alignment horizontal="left" vertical="top" indent="1"/>
      <protection locked="0"/>
    </xf>
    <xf numFmtId="44" fontId="9" fillId="0" borderId="2" xfId="2" applyFont="1" applyBorder="1" applyAlignment="1" applyProtection="1">
      <alignment horizontal="left" vertical="top" wrapText="1"/>
      <protection locked="0"/>
    </xf>
    <xf numFmtId="165" fontId="13" fillId="0" borderId="2" xfId="4" applyNumberFormat="1" applyFont="1" applyBorder="1" applyAlignment="1" applyProtection="1">
      <alignment horizontal="center" vertical="top"/>
      <protection locked="0"/>
    </xf>
    <xf numFmtId="164" fontId="9" fillId="0" borderId="2" xfId="6" quotePrefix="1" applyNumberFormat="1" applyFont="1" applyBorder="1" applyAlignment="1" applyProtection="1">
      <alignment horizontal="center" vertical="center"/>
      <protection locked="0"/>
    </xf>
    <xf numFmtId="164" fontId="9" fillId="0" borderId="2" xfId="6" applyNumberFormat="1" applyFont="1" applyFill="1" applyBorder="1" applyAlignment="1" applyProtection="1">
      <alignment horizontal="center" vertical="center"/>
      <protection locked="0"/>
    </xf>
    <xf numFmtId="0" fontId="8" fillId="0" borderId="2" xfId="0" applyFont="1" applyBorder="1" applyAlignment="1" applyProtection="1">
      <alignment vertical="top"/>
      <protection locked="0"/>
    </xf>
    <xf numFmtId="164" fontId="8" fillId="0" borderId="2" xfId="6" applyNumberFormat="1" applyFont="1" applyFill="1" applyBorder="1" applyAlignment="1" applyProtection="1">
      <alignment horizontal="right" vertical="center"/>
      <protection locked="0"/>
    </xf>
    <xf numFmtId="164" fontId="9" fillId="0" borderId="2" xfId="6" applyNumberFormat="1" applyFont="1" applyFill="1" applyBorder="1" applyAlignment="1" applyProtection="1">
      <alignment horizontal="right"/>
      <protection locked="0"/>
    </xf>
    <xf numFmtId="0" fontId="42" fillId="0" borderId="2" xfId="5" applyFont="1" applyBorder="1" applyAlignment="1">
      <alignment horizontal="center" vertical="center"/>
    </xf>
    <xf numFmtId="0" fontId="38" fillId="0" borderId="2" xfId="7" quotePrefix="1" applyFont="1" applyBorder="1" applyAlignment="1">
      <alignment horizontal="center" vertical="top" wrapText="1"/>
    </xf>
    <xf numFmtId="0" fontId="42" fillId="0" borderId="2" xfId="7" quotePrefix="1" applyFont="1" applyBorder="1" applyAlignment="1">
      <alignment vertical="top" wrapText="1"/>
    </xf>
    <xf numFmtId="2" fontId="14" fillId="0" borderId="2" xfId="5" applyNumberFormat="1" applyFont="1" applyBorder="1" applyAlignment="1">
      <alignment horizontal="right" vertical="top"/>
    </xf>
    <xf numFmtId="0" fontId="47" fillId="0" borderId="2" xfId="0" applyFont="1" applyBorder="1" applyAlignment="1">
      <alignment vertical="center"/>
    </xf>
    <xf numFmtId="2" fontId="2" fillId="0" borderId="2" xfId="0" applyNumberFormat="1" applyFont="1" applyBorder="1" applyAlignment="1">
      <alignment horizontal="right" vertical="center"/>
    </xf>
    <xf numFmtId="0" fontId="2" fillId="0" borderId="2" xfId="0" applyFont="1" applyBorder="1" applyAlignment="1">
      <alignment horizontal="center"/>
    </xf>
    <xf numFmtId="0" fontId="1" fillId="0" borderId="2" xfId="0" applyFont="1" applyBorder="1"/>
    <xf numFmtId="0" fontId="41" fillId="0" borderId="2" xfId="0" applyFont="1" applyBorder="1"/>
    <xf numFmtId="0" fontId="39" fillId="0" borderId="2" xfId="0" applyFont="1" applyBorder="1" applyAlignment="1">
      <alignment horizontal="center" wrapText="1"/>
    </xf>
    <xf numFmtId="0" fontId="43" fillId="0" borderId="2" xfId="5" applyFont="1" applyBorder="1" applyAlignment="1">
      <alignment vertical="top"/>
    </xf>
    <xf numFmtId="2" fontId="14" fillId="0" borderId="2" xfId="0" applyNumberFormat="1" applyFont="1" applyBorder="1" applyAlignment="1">
      <alignment horizontal="right" vertical="center" wrapText="1"/>
    </xf>
    <xf numFmtId="0" fontId="1" fillId="0" borderId="2" xfId="0" applyFont="1" applyBorder="1" applyAlignment="1">
      <alignment horizontal="center"/>
    </xf>
    <xf numFmtId="0" fontId="14" fillId="0" borderId="2" xfId="5" applyFont="1" applyBorder="1" applyAlignment="1">
      <alignment horizontal="left" vertical="top" wrapText="1" indent="2"/>
    </xf>
    <xf numFmtId="0" fontId="41" fillId="0" borderId="2" xfId="0" applyFont="1" applyBorder="1" applyAlignment="1">
      <alignment horizontal="left"/>
    </xf>
    <xf numFmtId="0" fontId="40" fillId="0" borderId="2" xfId="0" applyFont="1" applyBorder="1" applyAlignment="1">
      <alignment horizontal="center" vertical="top"/>
    </xf>
    <xf numFmtId="0" fontId="2" fillId="0" borderId="2" xfId="0" applyFont="1" applyBorder="1" applyAlignment="1">
      <alignment horizontal="left" vertical="top" wrapText="1" indent="2"/>
    </xf>
    <xf numFmtId="0" fontId="2" fillId="0" borderId="2" xfId="0" applyFont="1" applyBorder="1" applyAlignment="1">
      <alignment horizontal="left" vertical="top" wrapText="1" indent="3"/>
    </xf>
    <xf numFmtId="0" fontId="14" fillId="0" borderId="2" xfId="5" applyFont="1" applyBorder="1" applyAlignment="1">
      <alignment horizontal="left" vertical="top" wrapText="1" indent="4"/>
    </xf>
    <xf numFmtId="0" fontId="41" fillId="0" borderId="2" xfId="0" applyFont="1" applyBorder="1" applyAlignment="1">
      <alignment horizontal="center"/>
    </xf>
    <xf numFmtId="2" fontId="14" fillId="0" borderId="2" xfId="5" applyNumberFormat="1" applyFont="1" applyBorder="1" applyAlignment="1">
      <alignment horizontal="center" vertical="top"/>
    </xf>
    <xf numFmtId="0" fontId="14" fillId="0" borderId="2" xfId="5" applyFont="1" applyBorder="1" applyAlignment="1">
      <alignment horizontal="left" vertical="top" indent="1"/>
    </xf>
    <xf numFmtId="2" fontId="14" fillId="0" borderId="2" xfId="1" quotePrefix="1" applyNumberFormat="1" applyFont="1" applyBorder="1" applyAlignment="1" applyProtection="1">
      <alignment horizontal="center" vertical="top"/>
    </xf>
    <xf numFmtId="2" fontId="14" fillId="0" borderId="2" xfId="5" quotePrefix="1" applyNumberFormat="1" applyFont="1" applyBorder="1" applyAlignment="1">
      <alignment horizontal="center" vertical="top"/>
    </xf>
    <xf numFmtId="0" fontId="40" fillId="0" borderId="2" xfId="0" applyFont="1" applyBorder="1" applyAlignment="1">
      <alignment vertical="top"/>
    </xf>
    <xf numFmtId="0" fontId="14" fillId="0" borderId="2" xfId="0" applyFont="1" applyBorder="1" applyAlignment="1">
      <alignment horizontal="left" vertical="top" indent="1"/>
    </xf>
    <xf numFmtId="0" fontId="14" fillId="0" borderId="2" xfId="0" applyFont="1" applyBorder="1" applyAlignment="1">
      <alignment horizontal="left" vertical="top" wrapText="1" indent="2"/>
    </xf>
    <xf numFmtId="2" fontId="2" fillId="0" borderId="2" xfId="0" applyNumberFormat="1" applyFont="1" applyBorder="1" applyAlignment="1">
      <alignment horizontal="center" vertical="top"/>
    </xf>
    <xf numFmtId="0" fontId="2" fillId="0" borderId="2" xfId="0" applyFont="1" applyBorder="1" applyAlignment="1">
      <alignment horizontal="left" vertical="top" wrapText="1"/>
    </xf>
    <xf numFmtId="0" fontId="2" fillId="0" borderId="2" xfId="0" applyFont="1" applyBorder="1" applyAlignment="1">
      <alignment horizontal="center" vertical="top"/>
    </xf>
    <xf numFmtId="2" fontId="2" fillId="0" borderId="2" xfId="0" applyNumberFormat="1" applyFont="1" applyBorder="1" applyAlignment="1">
      <alignment horizontal="right" vertical="top"/>
    </xf>
    <xf numFmtId="0" fontId="42" fillId="0" borderId="2" xfId="0" applyFont="1" applyBorder="1" applyAlignment="1">
      <alignment vertical="center"/>
    </xf>
    <xf numFmtId="170" fontId="2" fillId="0" borderId="2" xfId="0" applyNumberFormat="1" applyFont="1" applyBorder="1" applyAlignment="1">
      <alignment horizontal="center" vertical="top"/>
    </xf>
    <xf numFmtId="0" fontId="2" fillId="0" borderId="2" xfId="0" applyFont="1" applyBorder="1" applyAlignment="1">
      <alignment vertical="top"/>
    </xf>
    <xf numFmtId="0" fontId="2" fillId="0" borderId="2" xfId="0" applyFont="1" applyBorder="1" applyAlignment="1">
      <alignment horizontal="left" vertical="top"/>
    </xf>
    <xf numFmtId="0" fontId="1" fillId="0" borderId="2" xfId="0" applyFont="1" applyBorder="1" applyAlignment="1">
      <alignment horizontal="center" vertical="center"/>
    </xf>
    <xf numFmtId="0" fontId="2" fillId="0" borderId="2" xfId="0" applyFont="1" applyBorder="1" applyAlignment="1">
      <alignment horizontal="left" vertical="top" indent="1"/>
    </xf>
    <xf numFmtId="0" fontId="43" fillId="0" borderId="2" xfId="0" applyFont="1" applyBorder="1" applyAlignment="1">
      <alignment horizontal="left" vertical="top"/>
    </xf>
    <xf numFmtId="0" fontId="42" fillId="0" borderId="2" xfId="0" applyFont="1" applyBorder="1" applyAlignment="1">
      <alignment horizontal="left" vertical="center" wrapText="1"/>
    </xf>
    <xf numFmtId="2" fontId="14" fillId="0" borderId="2" xfId="0" applyNumberFormat="1" applyFont="1" applyBorder="1" applyAlignment="1">
      <alignment horizontal="right" vertical="top" wrapText="1"/>
    </xf>
    <xf numFmtId="0" fontId="38" fillId="0" borderId="2" xfId="0" applyFont="1" applyBorder="1" applyAlignment="1">
      <alignment horizontal="center"/>
    </xf>
    <xf numFmtId="0" fontId="14" fillId="0" borderId="2" xfId="0" applyFont="1" applyBorder="1" applyAlignment="1">
      <alignment horizontal="left" vertical="top"/>
    </xf>
    <xf numFmtId="0" fontId="43" fillId="0" borderId="2" xfId="0" applyFont="1" applyBorder="1"/>
    <xf numFmtId="2" fontId="1" fillId="0" borderId="2" xfId="0" applyNumberFormat="1" applyFont="1" applyBorder="1" applyAlignment="1">
      <alignment horizontal="right"/>
    </xf>
    <xf numFmtId="0" fontId="2" fillId="0" borderId="2" xfId="0" applyFont="1" applyBorder="1" applyAlignment="1">
      <alignment horizontal="center" vertical="top" wrapText="1"/>
    </xf>
    <xf numFmtId="166" fontId="8" fillId="0" borderId="1" xfId="5" applyNumberFormat="1" applyFont="1" applyBorder="1" applyAlignment="1" applyProtection="1">
      <alignment horizontal="center" vertical="top"/>
      <protection locked="0"/>
    </xf>
    <xf numFmtId="166" fontId="9" fillId="0" borderId="2" xfId="7" applyNumberFormat="1" applyFont="1" applyBorder="1" applyAlignment="1" applyProtection="1">
      <alignment horizontal="center" vertical="center"/>
      <protection locked="0"/>
    </xf>
    <xf numFmtId="164" fontId="9" fillId="0" borderId="2" xfId="6" applyNumberFormat="1" applyFont="1" applyBorder="1" applyAlignment="1" applyProtection="1">
      <alignment horizontal="center" vertical="top"/>
      <protection locked="0"/>
    </xf>
    <xf numFmtId="166" fontId="9" fillId="0" borderId="2" xfId="6" quotePrefix="1" applyNumberFormat="1" applyFont="1" applyBorder="1" applyAlignment="1" applyProtection="1">
      <alignment horizontal="center" vertical="top"/>
      <protection locked="0"/>
    </xf>
    <xf numFmtId="164" fontId="9" fillId="0" borderId="9" xfId="6" quotePrefix="1" applyNumberFormat="1" applyFont="1" applyBorder="1" applyAlignment="1" applyProtection="1">
      <alignment horizontal="center" vertical="center"/>
      <protection locked="0"/>
    </xf>
    <xf numFmtId="164" fontId="9" fillId="0" borderId="2" xfId="9" applyNumberFormat="1" applyFont="1" applyBorder="1" applyAlignment="1" applyProtection="1">
      <alignment vertical="top"/>
      <protection locked="0"/>
    </xf>
    <xf numFmtId="166" fontId="9" fillId="0" borderId="2" xfId="5" applyNumberFormat="1" applyFont="1" applyBorder="1" applyAlignment="1" applyProtection="1">
      <alignment horizontal="center" vertical="top"/>
      <protection locked="0"/>
    </xf>
    <xf numFmtId="164" fontId="9" fillId="0" borderId="2" xfId="5" applyNumberFormat="1" applyFont="1" applyBorder="1" applyAlignment="1" applyProtection="1">
      <alignment horizontal="center" vertical="center"/>
      <protection locked="0"/>
    </xf>
    <xf numFmtId="4" fontId="8" fillId="0" borderId="2" xfId="5" applyNumberFormat="1" applyFont="1" applyBorder="1" applyAlignment="1" applyProtection="1">
      <alignment horizontal="center" vertical="top"/>
      <protection locked="0"/>
    </xf>
    <xf numFmtId="164" fontId="3" fillId="0" borderId="2" xfId="0" applyNumberFormat="1" applyFont="1" applyBorder="1" applyAlignment="1" applyProtection="1">
      <alignment vertical="top"/>
      <protection locked="0"/>
    </xf>
    <xf numFmtId="164" fontId="9" fillId="0" borderId="2" xfId="9"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locked="0"/>
    </xf>
    <xf numFmtId="171" fontId="9" fillId="0" borderId="2" xfId="9" applyNumberFormat="1" applyFont="1" applyBorder="1" applyAlignment="1" applyProtection="1">
      <alignment horizontal="center" vertical="center"/>
      <protection locked="0"/>
    </xf>
    <xf numFmtId="166" fontId="9" fillId="0" borderId="2" xfId="6" quotePrefix="1" applyNumberFormat="1" applyFont="1" applyBorder="1" applyAlignment="1" applyProtection="1">
      <alignment horizontal="center" vertical="center"/>
      <protection locked="0"/>
    </xf>
    <xf numFmtId="0" fontId="8" fillId="0" borderId="2" xfId="5" applyFont="1" applyBorder="1" applyAlignment="1">
      <alignment horizontal="right" vertical="top"/>
    </xf>
    <xf numFmtId="0" fontId="9" fillId="0" borderId="2" xfId="0" applyFont="1" applyBorder="1" applyAlignment="1">
      <alignment horizontal="right" vertical="top"/>
    </xf>
    <xf numFmtId="0" fontId="47" fillId="0" borderId="2" xfId="0" applyFont="1" applyBorder="1" applyAlignment="1">
      <alignment horizontal="left" vertical="top" wrapText="1"/>
    </xf>
    <xf numFmtId="0" fontId="9" fillId="0" borderId="2" xfId="5" applyFont="1" applyBorder="1" applyAlignment="1" applyProtection="1">
      <alignment horizontal="center" vertical="top"/>
      <protection locked="0"/>
    </xf>
    <xf numFmtId="164" fontId="8" fillId="0" borderId="2" xfId="6" applyNumberFormat="1" applyFont="1" applyBorder="1" applyAlignment="1" applyProtection="1">
      <alignment horizontal="right" vertical="center"/>
      <protection locked="0"/>
    </xf>
    <xf numFmtId="166" fontId="9" fillId="0" borderId="2" xfId="7" applyNumberFormat="1" applyFont="1" applyBorder="1" applyAlignment="1" applyProtection="1">
      <alignment horizontal="center"/>
      <protection locked="0"/>
    </xf>
    <xf numFmtId="0" fontId="42" fillId="0" borderId="2" xfId="5" applyFont="1" applyBorder="1" applyAlignment="1">
      <alignment horizontal="center" vertical="top"/>
    </xf>
    <xf numFmtId="0" fontId="38" fillId="0" borderId="2" xfId="5" applyFont="1" applyBorder="1" applyAlignment="1">
      <alignment horizontal="center" vertical="top"/>
    </xf>
    <xf numFmtId="0" fontId="8" fillId="41" borderId="2" xfId="0" applyFont="1" applyFill="1" applyBorder="1" applyAlignment="1">
      <alignment horizontal="left" vertical="top" wrapText="1"/>
    </xf>
    <xf numFmtId="0" fontId="14" fillId="0" borderId="2" xfId="5" applyFont="1" applyBorder="1" applyAlignment="1">
      <alignment horizontal="left" vertical="top" wrapText="1" indent="3"/>
    </xf>
    <xf numFmtId="2" fontId="14" fillId="0" borderId="1" xfId="5" applyNumberFormat="1" applyFont="1" applyBorder="1" applyAlignment="1">
      <alignment horizontal="center" vertical="center"/>
    </xf>
    <xf numFmtId="170" fontId="2" fillId="0" borderId="2" xfId="0" applyNumberFormat="1" applyFont="1" applyBorder="1" applyAlignment="1">
      <alignment horizontal="center" vertical="center"/>
    </xf>
    <xf numFmtId="0" fontId="3" fillId="0" borderId="2" xfId="0" applyFont="1" applyBorder="1" applyAlignment="1">
      <alignment vertical="top"/>
    </xf>
    <xf numFmtId="0" fontId="9" fillId="0" borderId="9" xfId="0" applyFont="1" applyBorder="1" applyAlignment="1">
      <alignment horizontal="center" vertical="top" wrapText="1"/>
    </xf>
    <xf numFmtId="2" fontId="1" fillId="0" borderId="2" xfId="0" applyNumberFormat="1" applyFont="1" applyBorder="1" applyAlignment="1">
      <alignment horizontal="center" vertical="center"/>
    </xf>
    <xf numFmtId="0" fontId="9" fillId="0" borderId="1" xfId="5" applyFont="1" applyBorder="1" applyAlignment="1" applyProtection="1">
      <alignment horizontal="center" vertical="center"/>
      <protection locked="0"/>
    </xf>
    <xf numFmtId="166" fontId="9" fillId="0" borderId="2" xfId="5" applyNumberFormat="1" applyFont="1" applyBorder="1" applyAlignment="1" applyProtection="1">
      <alignment horizontal="center" vertical="center"/>
      <protection locked="0"/>
    </xf>
    <xf numFmtId="4" fontId="8" fillId="0" borderId="2" xfId="5" applyNumberFormat="1" applyFont="1" applyBorder="1" applyAlignment="1" applyProtection="1">
      <alignment horizontal="center" vertical="center"/>
      <protection locked="0"/>
    </xf>
    <xf numFmtId="0" fontId="9" fillId="0" borderId="2" xfId="5" applyFont="1" applyBorder="1" applyAlignment="1" applyProtection="1">
      <alignment horizontal="center" vertical="center"/>
      <protection locked="0"/>
    </xf>
    <xf numFmtId="164" fontId="8" fillId="0" borderId="2" xfId="6" applyNumberFormat="1" applyFont="1" applyBorder="1" applyAlignment="1" applyProtection="1">
      <alignment horizontal="center" vertical="center"/>
      <protection locked="0"/>
    </xf>
    <xf numFmtId="0" fontId="2" fillId="0" borderId="2" xfId="0" applyFont="1" applyBorder="1" applyAlignment="1" applyProtection="1">
      <alignment horizontal="left" vertical="top" wrapText="1"/>
      <protection locked="0"/>
    </xf>
    <xf numFmtId="0" fontId="42" fillId="0" borderId="1" xfId="0" applyFont="1" applyBorder="1" applyAlignment="1">
      <alignment horizontal="center" vertical="top" wrapText="1"/>
    </xf>
    <xf numFmtId="0" fontId="38" fillId="0" borderId="1" xfId="0" applyFont="1" applyBorder="1" applyAlignment="1">
      <alignment horizontal="center" vertical="top" wrapText="1"/>
    </xf>
    <xf numFmtId="0" fontId="42" fillId="0" borderId="3" xfId="0" applyFont="1" applyBorder="1" applyAlignment="1">
      <alignment horizontal="left" vertical="top" wrapText="1"/>
    </xf>
    <xf numFmtId="0" fontId="43" fillId="0" borderId="2" xfId="0" applyFont="1" applyBorder="1" applyAlignment="1">
      <alignment horizontal="left"/>
    </xf>
    <xf numFmtId="2" fontId="14" fillId="0" borderId="2" xfId="0" applyNumberFormat="1" applyFont="1" applyBorder="1" applyAlignment="1">
      <alignment vertical="top"/>
    </xf>
    <xf numFmtId="0" fontId="14" fillId="0" borderId="2" xfId="0" applyFont="1" applyBorder="1" applyAlignment="1">
      <alignment horizontal="left" indent="2"/>
    </xf>
    <xf numFmtId="0" fontId="43" fillId="0" borderId="2" xfId="5" applyFont="1" applyBorder="1" applyAlignment="1">
      <alignment horizontal="left" vertical="center" wrapText="1"/>
    </xf>
    <xf numFmtId="0" fontId="39" fillId="0" borderId="2" xfId="0" applyFont="1" applyBorder="1"/>
    <xf numFmtId="2" fontId="14" fillId="0" borderId="2" xfId="0" applyNumberFormat="1" applyFont="1" applyBorder="1"/>
    <xf numFmtId="168" fontId="9" fillId="0" borderId="2" xfId="8" applyFont="1" applyBorder="1" applyAlignment="1" applyProtection="1">
      <alignment horizontal="left" vertical="top" wrapText="1"/>
      <protection locked="0"/>
    </xf>
    <xf numFmtId="168" fontId="9" fillId="0" borderId="2" xfId="8" applyFont="1" applyBorder="1" applyProtection="1">
      <protection locked="0"/>
    </xf>
    <xf numFmtId="166" fontId="9" fillId="0" borderId="2" xfId="0" applyNumberFormat="1" applyFont="1" applyBorder="1" applyProtection="1">
      <protection locked="0"/>
    </xf>
    <xf numFmtId="168" fontId="9" fillId="0" borderId="2" xfId="8" applyFont="1" applyBorder="1" applyAlignment="1" applyProtection="1">
      <alignment vertical="top"/>
      <protection locked="0"/>
    </xf>
    <xf numFmtId="168" fontId="9" fillId="0" borderId="2" xfId="8" applyFont="1" applyBorder="1" applyAlignment="1" applyProtection="1">
      <alignment horizontal="center" vertical="center"/>
      <protection locked="0"/>
    </xf>
    <xf numFmtId="168" fontId="9" fillId="0" borderId="2" xfId="8" applyFont="1" applyBorder="1" applyAlignment="1" applyProtection="1">
      <alignment vertical="center"/>
      <protection locked="0"/>
    </xf>
    <xf numFmtId="168" fontId="8" fillId="0" borderId="1" xfId="8" applyFont="1" applyBorder="1" applyAlignment="1" applyProtection="1">
      <alignment horizontal="center" vertical="center"/>
      <protection locked="0"/>
    </xf>
    <xf numFmtId="0" fontId="42" fillId="0" borderId="7" xfId="5" applyFont="1" applyBorder="1" applyAlignment="1">
      <alignment horizontal="center" vertical="top"/>
    </xf>
    <xf numFmtId="0" fontId="38" fillId="0" borderId="8" xfId="5" applyFont="1" applyBorder="1" applyAlignment="1">
      <alignment horizontal="center" vertical="top"/>
    </xf>
    <xf numFmtId="0" fontId="42" fillId="0" borderId="3" xfId="5" applyFont="1" applyBorder="1" applyAlignment="1">
      <alignment vertical="top" wrapText="1"/>
    </xf>
    <xf numFmtId="167" fontId="14" fillId="0" borderId="2" xfId="0" applyNumberFormat="1" applyFont="1" applyBorder="1" applyAlignment="1">
      <alignment vertical="center" wrapText="1"/>
    </xf>
    <xf numFmtId="167" fontId="9" fillId="0" borderId="2" xfId="6" applyNumberFormat="1" applyFont="1" applyBorder="1" applyAlignment="1" applyProtection="1">
      <alignment vertical="center"/>
    </xf>
    <xf numFmtId="166" fontId="14" fillId="0" borderId="8" xfId="6" applyNumberFormat="1" applyFont="1" applyBorder="1" applyAlignment="1" applyProtection="1">
      <alignment vertical="top"/>
    </xf>
    <xf numFmtId="0" fontId="42" fillId="0" borderId="9" xfId="5" applyFont="1" applyBorder="1" applyAlignment="1">
      <alignment horizontal="center" vertical="center"/>
    </xf>
    <xf numFmtId="0" fontId="42" fillId="0" borderId="0" xfId="7" quotePrefix="1" applyFont="1" applyAlignment="1">
      <alignment vertical="center" wrapText="1"/>
    </xf>
    <xf numFmtId="0" fontId="42" fillId="0" borderId="9" xfId="0" applyFont="1" applyBorder="1" applyAlignment="1">
      <alignment horizontal="center" vertical="top" wrapText="1"/>
    </xf>
    <xf numFmtId="0" fontId="38" fillId="0" borderId="2" xfId="5" applyFont="1" applyBorder="1" applyAlignment="1">
      <alignment horizontal="center" vertical="center" wrapText="1"/>
    </xf>
    <xf numFmtId="0" fontId="42" fillId="0" borderId="0" xfId="0" applyFont="1" applyAlignment="1">
      <alignment horizontal="left" vertical="top" wrapText="1"/>
    </xf>
    <xf numFmtId="0" fontId="14" fillId="0" borderId="9" xfId="0" applyFont="1" applyBorder="1" applyAlignment="1">
      <alignment horizontal="center" vertical="top"/>
    </xf>
    <xf numFmtId="0" fontId="39" fillId="0" borderId="2" xfId="13" applyFont="1" applyBorder="1" applyAlignment="1">
      <alignment horizontal="center" wrapText="1"/>
    </xf>
    <xf numFmtId="0" fontId="14" fillId="0" borderId="0" xfId="0" applyFont="1" applyAlignment="1">
      <alignment horizontal="left" vertical="top" wrapText="1" indent="1"/>
    </xf>
    <xf numFmtId="0" fontId="14" fillId="0" borderId="9" xfId="0" applyFont="1" applyBorder="1" applyAlignment="1">
      <alignment vertical="top"/>
    </xf>
    <xf numFmtId="0" fontId="42" fillId="0" borderId="9" xfId="0" applyFont="1" applyBorder="1" applyAlignment="1">
      <alignment horizontal="center" vertical="top"/>
    </xf>
    <xf numFmtId="0" fontId="14" fillId="0" borderId="9" xfId="5" applyFont="1" applyBorder="1" applyAlignment="1">
      <alignment horizontal="center" vertical="top"/>
    </xf>
    <xf numFmtId="0" fontId="43" fillId="0" borderId="0" xfId="0" applyFont="1" applyAlignment="1">
      <alignment horizontal="left" vertical="top"/>
    </xf>
    <xf numFmtId="0" fontId="14" fillId="0" borderId="2" xfId="0" applyFont="1" applyBorder="1" applyAlignment="1">
      <alignment horizontal="left" wrapText="1" indent="1"/>
    </xf>
    <xf numFmtId="0" fontId="43" fillId="0" borderId="10" xfId="0" applyFont="1" applyBorder="1" applyAlignment="1">
      <alignment horizontal="left" vertical="top" wrapText="1"/>
    </xf>
    <xf numFmtId="0" fontId="14" fillId="0" borderId="2" xfId="0" applyFont="1" applyBorder="1" applyAlignment="1">
      <alignment horizontal="left" vertical="top" wrapText="1" indent="1"/>
    </xf>
    <xf numFmtId="0" fontId="14" fillId="0" borderId="4" xfId="5" applyFont="1" applyBorder="1" applyAlignment="1">
      <alignment horizontal="center" vertical="top"/>
    </xf>
    <xf numFmtId="2" fontId="14" fillId="0" borderId="6" xfId="5" applyNumberFormat="1" applyFont="1" applyBorder="1" applyAlignment="1">
      <alignment horizontal="center" vertical="center"/>
    </xf>
    <xf numFmtId="0" fontId="39" fillId="0" borderId="0" xfId="0" applyFont="1" applyAlignment="1">
      <alignment vertical="top"/>
    </xf>
    <xf numFmtId="14" fontId="9" fillId="0" borderId="0" xfId="0" applyNumberFormat="1" applyFont="1" applyAlignment="1">
      <alignment vertical="top"/>
    </xf>
    <xf numFmtId="168" fontId="14" fillId="0" borderId="2" xfId="8" applyFont="1" applyFill="1" applyBorder="1" applyAlignment="1" applyProtection="1">
      <alignment horizontal="center" vertical="center"/>
    </xf>
    <xf numFmtId="0" fontId="38" fillId="0" borderId="2" xfId="0" applyFont="1" applyBorder="1" applyAlignment="1">
      <alignment horizontal="center" vertical="top"/>
    </xf>
    <xf numFmtId="2" fontId="14" fillId="0" borderId="8" xfId="0" applyNumberFormat="1" applyFont="1" applyBorder="1" applyAlignment="1">
      <alignment horizontal="center" vertical="center" wrapText="1"/>
    </xf>
    <xf numFmtId="0" fontId="42" fillId="0" borderId="2" xfId="0" applyFont="1" applyBorder="1" applyAlignment="1">
      <alignment horizontal="left"/>
    </xf>
    <xf numFmtId="164" fontId="14" fillId="0" borderId="2" xfId="6" applyNumberFormat="1" applyFont="1" applyFill="1" applyBorder="1" applyAlignment="1" applyProtection="1">
      <alignment horizontal="right"/>
    </xf>
    <xf numFmtId="0" fontId="45" fillId="0" borderId="9" xfId="0" applyFont="1" applyBorder="1" applyAlignment="1">
      <alignment horizontal="left" vertical="center" wrapText="1"/>
    </xf>
    <xf numFmtId="0" fontId="42" fillId="0" borderId="2" xfId="0" applyFont="1" applyBorder="1" applyAlignment="1">
      <alignment horizontal="center"/>
    </xf>
    <xf numFmtId="0" fontId="38" fillId="0" borderId="2" xfId="13" applyFont="1" applyBorder="1" applyAlignment="1">
      <alignment horizontal="center" wrapText="1"/>
    </xf>
    <xf numFmtId="0" fontId="42" fillId="0" borderId="2" xfId="0" applyFont="1" applyBorder="1" applyAlignment="1">
      <alignment horizontal="left" wrapText="1"/>
    </xf>
    <xf numFmtId="0" fontId="42" fillId="0" borderId="9" xfId="0" applyFont="1" applyBorder="1" applyAlignment="1">
      <alignment horizontal="center" vertical="center"/>
    </xf>
    <xf numFmtId="0" fontId="38" fillId="0" borderId="2" xfId="0" applyFont="1" applyBorder="1" applyAlignment="1">
      <alignment vertical="center"/>
    </xf>
    <xf numFmtId="2" fontId="14" fillId="0" borderId="11" xfId="0" applyNumberFormat="1" applyFont="1" applyBorder="1" applyAlignment="1">
      <alignment horizontal="center" vertical="center" wrapText="1"/>
    </xf>
    <xf numFmtId="166" fontId="9" fillId="0" borderId="2" xfId="6" applyNumberFormat="1" applyFont="1" applyFill="1" applyBorder="1" applyAlignment="1" applyProtection="1">
      <alignment vertical="center"/>
      <protection locked="0"/>
    </xf>
    <xf numFmtId="164" fontId="14" fillId="0" borderId="2" xfId="6" applyNumberFormat="1" applyFont="1" applyFill="1" applyBorder="1" applyAlignment="1" applyProtection="1">
      <alignment horizontal="right" vertical="center"/>
      <protection locked="0"/>
    </xf>
    <xf numFmtId="164" fontId="14" fillId="0" borderId="2" xfId="6" applyNumberFormat="1" applyFont="1" applyFill="1" applyBorder="1" applyAlignment="1" applyProtection="1">
      <alignment horizontal="right"/>
      <protection locked="0"/>
    </xf>
    <xf numFmtId="168" fontId="9" fillId="0" borderId="2" xfId="8" applyFont="1" applyFill="1" applyBorder="1" applyAlignment="1" applyProtection="1">
      <alignment horizontal="center" vertical="center"/>
      <protection locked="0"/>
    </xf>
    <xf numFmtId="166" fontId="9" fillId="0" borderId="2" xfId="6" applyNumberFormat="1" applyFont="1" applyBorder="1" applyAlignment="1" applyProtection="1">
      <alignment vertical="center"/>
      <protection locked="0"/>
    </xf>
    <xf numFmtId="168" fontId="9" fillId="0" borderId="1" xfId="8" applyFont="1" applyFill="1" applyBorder="1" applyAlignment="1" applyProtection="1">
      <alignment horizontal="center" vertical="center"/>
      <protection locked="0"/>
    </xf>
    <xf numFmtId="168" fontId="42" fillId="0" borderId="1" xfId="8" applyFont="1" applyFill="1" applyBorder="1" applyAlignment="1" applyProtection="1">
      <alignment horizontal="center" vertical="center"/>
      <protection locked="0"/>
    </xf>
    <xf numFmtId="167" fontId="9" fillId="0" borderId="2" xfId="6" applyNumberFormat="1" applyFont="1" applyBorder="1" applyAlignment="1" applyProtection="1">
      <alignment vertical="center"/>
      <protection locked="0"/>
    </xf>
    <xf numFmtId="167" fontId="14" fillId="0" borderId="2" xfId="6" applyNumberFormat="1" applyFont="1" applyBorder="1" applyAlignment="1" applyProtection="1">
      <alignment vertical="center"/>
      <protection locked="0"/>
    </xf>
    <xf numFmtId="168" fontId="9" fillId="0" borderId="2" xfId="8" applyFont="1" applyBorder="1" applyAlignment="1" applyProtection="1">
      <alignment horizontal="center" vertical="top"/>
      <protection locked="0"/>
    </xf>
    <xf numFmtId="168" fontId="14" fillId="0" borderId="2" xfId="8" applyFont="1" applyBorder="1" applyAlignment="1" applyProtection="1">
      <alignment horizontal="center" vertical="top"/>
      <protection locked="0"/>
    </xf>
    <xf numFmtId="168" fontId="9" fillId="0" borderId="1" xfId="8" applyFont="1" applyBorder="1" applyAlignment="1" applyProtection="1">
      <alignment horizontal="center" vertical="center"/>
      <protection locked="0"/>
    </xf>
    <xf numFmtId="168" fontId="42" fillId="0" borderId="1" xfId="8" applyFont="1" applyBorder="1" applyAlignment="1" applyProtection="1">
      <alignment horizontal="center" vertical="center"/>
      <protection locked="0"/>
    </xf>
    <xf numFmtId="0" fontId="59" fillId="41" borderId="30" xfId="0" applyFont="1" applyFill="1" applyBorder="1" applyAlignment="1">
      <alignment vertical="center"/>
    </xf>
    <xf numFmtId="0" fontId="0" fillId="41" borderId="30" xfId="0" applyFill="1" applyBorder="1"/>
    <xf numFmtId="0" fontId="4" fillId="41" borderId="30" xfId="3" applyFill="1" applyBorder="1" applyAlignment="1">
      <alignment vertical="top" wrapText="1"/>
    </xf>
    <xf numFmtId="0" fontId="4" fillId="0" borderId="30" xfId="3" applyBorder="1"/>
    <xf numFmtId="0" fontId="4" fillId="0" borderId="0" xfId="3"/>
    <xf numFmtId="0" fontId="59" fillId="41" borderId="0" xfId="0" applyFont="1" applyFill="1" applyAlignment="1">
      <alignment vertical="center"/>
    </xf>
    <xf numFmtId="0" fontId="0" fillId="41" borderId="0" xfId="0" applyFill="1"/>
    <xf numFmtId="0" fontId="4" fillId="41" borderId="0" xfId="3" applyFill="1" applyAlignment="1">
      <alignment vertical="top" wrapText="1"/>
    </xf>
    <xf numFmtId="0" fontId="58" fillId="41" borderId="0" xfId="0" applyFont="1" applyFill="1" applyAlignment="1">
      <alignment vertical="center"/>
    </xf>
    <xf numFmtId="0" fontId="4" fillId="41" borderId="0" xfId="3" applyFill="1"/>
    <xf numFmtId="0" fontId="67" fillId="41" borderId="0" xfId="0" applyFont="1" applyFill="1" applyAlignment="1">
      <alignment vertical="center"/>
    </xf>
    <xf numFmtId="0" fontId="65" fillId="41" borderId="0" xfId="3" applyFont="1" applyFill="1" applyAlignment="1">
      <alignment horizontal="center" vertical="center"/>
    </xf>
    <xf numFmtId="0" fontId="4" fillId="41" borderId="0" xfId="3" applyFill="1" applyAlignment="1">
      <alignment horizontal="center" vertical="center"/>
    </xf>
    <xf numFmtId="0" fontId="59" fillId="41" borderId="0" xfId="0" applyFont="1" applyFill="1" applyAlignment="1">
      <alignment horizontal="center" vertical="center" wrapText="1"/>
    </xf>
    <xf numFmtId="0" fontId="65" fillId="41" borderId="0" xfId="3" applyFont="1" applyFill="1" applyAlignment="1">
      <alignment vertical="center"/>
    </xf>
    <xf numFmtId="0" fontId="59" fillId="0" borderId="0" xfId="0" applyFont="1" applyAlignment="1">
      <alignment vertical="center"/>
    </xf>
    <xf numFmtId="0" fontId="65" fillId="0" borderId="0" xfId="3" applyFont="1" applyAlignment="1">
      <alignment vertical="center"/>
    </xf>
    <xf numFmtId="0" fontId="65" fillId="0" borderId="0" xfId="3" applyFont="1"/>
    <xf numFmtId="0" fontId="5" fillId="0" borderId="0" xfId="3" applyFont="1"/>
    <xf numFmtId="0" fontId="66" fillId="0" borderId="0" xfId="3" applyFont="1"/>
    <xf numFmtId="0" fontId="57" fillId="0" borderId="0" xfId="3" applyFont="1"/>
    <xf numFmtId="0" fontId="67" fillId="0" borderId="0" xfId="3" applyFont="1"/>
    <xf numFmtId="0" fontId="5" fillId="0" borderId="0" xfId="3" applyFont="1" applyAlignment="1">
      <alignment vertical="top"/>
    </xf>
    <xf numFmtId="0" fontId="5" fillId="0" borderId="0" xfId="3" applyFont="1" applyAlignment="1">
      <alignment vertical="center"/>
    </xf>
    <xf numFmtId="0" fontId="4" fillId="0" borderId="0" xfId="3" applyAlignment="1">
      <alignment horizontal="center" vertical="top" wrapText="1"/>
    </xf>
    <xf numFmtId="0" fontId="6" fillId="0" borderId="0" xfId="3" applyFont="1" applyAlignment="1">
      <alignment wrapText="1"/>
    </xf>
    <xf numFmtId="0" fontId="8" fillId="0" borderId="0" xfId="3" applyFont="1"/>
    <xf numFmtId="0" fontId="39" fillId="0" borderId="0" xfId="0" applyFont="1" applyAlignment="1">
      <alignment horizontal="center" vertical="center" wrapText="1"/>
    </xf>
    <xf numFmtId="0" fontId="63" fillId="41" borderId="0" xfId="0" applyFont="1" applyFill="1" applyAlignment="1">
      <alignment vertical="center" wrapText="1"/>
    </xf>
    <xf numFmtId="0" fontId="63" fillId="41" borderId="9" xfId="0" applyFont="1" applyFill="1" applyBorder="1" applyAlignment="1">
      <alignment vertical="center" wrapText="1"/>
    </xf>
    <xf numFmtId="0" fontId="63" fillId="41" borderId="10" xfId="0" applyFont="1" applyFill="1" applyBorder="1" applyAlignment="1" applyProtection="1">
      <alignment vertical="center" wrapText="1"/>
      <protection locked="0"/>
    </xf>
    <xf numFmtId="0" fontId="61" fillId="41" borderId="0" xfId="0" applyFont="1" applyFill="1" applyAlignment="1">
      <alignment vertical="center" wrapText="1"/>
    </xf>
    <xf numFmtId="0" fontId="61" fillId="41" borderId="0" xfId="0" applyFont="1" applyFill="1" applyAlignment="1" applyProtection="1">
      <alignment vertical="center" wrapText="1"/>
      <protection locked="0"/>
    </xf>
    <xf numFmtId="0" fontId="9" fillId="0" borderId="2" xfId="0"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vertical="center"/>
    </xf>
    <xf numFmtId="0" fontId="9" fillId="0" borderId="11" xfId="0" applyFont="1" applyBorder="1" applyAlignment="1">
      <alignment horizontal="left" vertical="center"/>
    </xf>
    <xf numFmtId="0" fontId="39" fillId="0" borderId="2" xfId="13" applyFont="1" applyBorder="1" applyAlignment="1">
      <alignment horizontal="center" vertical="center" wrapText="1"/>
    </xf>
    <xf numFmtId="0" fontId="14" fillId="0" borderId="0" xfId="0" applyFont="1" applyAlignment="1">
      <alignment horizontal="left" wrapText="1" indent="1"/>
    </xf>
    <xf numFmtId="1" fontId="14" fillId="0" borderId="2" xfId="0" applyNumberFormat="1" applyFont="1" applyBorder="1" applyAlignment="1">
      <alignment horizontal="center" vertical="center"/>
    </xf>
    <xf numFmtId="0" fontId="61" fillId="41" borderId="33" xfId="0" applyFont="1" applyFill="1" applyBorder="1" applyAlignment="1" applyProtection="1">
      <alignment vertical="center" wrapText="1"/>
      <protection locked="0"/>
    </xf>
    <xf numFmtId="0" fontId="61" fillId="41" borderId="29" xfId="0" applyFont="1" applyFill="1" applyBorder="1" applyAlignment="1" applyProtection="1">
      <alignment vertical="center" wrapText="1"/>
      <protection locked="0"/>
    </xf>
    <xf numFmtId="0" fontId="64" fillId="41" borderId="30" xfId="0" applyFont="1" applyFill="1" applyBorder="1" applyAlignment="1">
      <alignment vertical="center" wrapText="1"/>
    </xf>
    <xf numFmtId="0" fontId="61" fillId="0" borderId="0" xfId="0" applyFont="1" applyAlignment="1">
      <alignment vertical="center" wrapText="1"/>
    </xf>
    <xf numFmtId="0" fontId="56" fillId="41" borderId="25" xfId="0" applyFont="1" applyFill="1" applyBorder="1" applyAlignment="1">
      <alignment vertical="center" wrapText="1"/>
    </xf>
    <xf numFmtId="0" fontId="56" fillId="41" borderId="26" xfId="0" applyFont="1" applyFill="1" applyBorder="1" applyAlignment="1">
      <alignment vertical="center" wrapText="1"/>
    </xf>
    <xf numFmtId="0" fontId="63" fillId="41" borderId="0" xfId="0" applyFont="1" applyFill="1" applyAlignment="1">
      <alignment horizontal="justify" vertical="center" wrapText="1"/>
    </xf>
    <xf numFmtId="0" fontId="63" fillId="41" borderId="0" xfId="0" applyFont="1" applyFill="1" applyAlignment="1">
      <alignment vertical="center" wrapText="1"/>
    </xf>
    <xf numFmtId="0" fontId="63" fillId="41" borderId="32" xfId="0" applyFont="1" applyFill="1" applyBorder="1" applyAlignment="1">
      <alignment vertical="center" wrapText="1"/>
    </xf>
    <xf numFmtId="0" fontId="61" fillId="41" borderId="28" xfId="0" applyFont="1" applyFill="1" applyBorder="1" applyAlignment="1">
      <alignment horizontal="left" vertical="center" wrapText="1"/>
    </xf>
    <xf numFmtId="0" fontId="61" fillId="41" borderId="30" xfId="0" applyFont="1" applyFill="1" applyBorder="1" applyAlignment="1">
      <alignment horizontal="left" vertical="center" wrapText="1"/>
    </xf>
    <xf numFmtId="0" fontId="61" fillId="41" borderId="31" xfId="0" applyFont="1" applyFill="1" applyBorder="1" applyAlignment="1">
      <alignment horizontal="left" vertical="center" wrapText="1"/>
    </xf>
    <xf numFmtId="0" fontId="61" fillId="41" borderId="32" xfId="0" applyFont="1" applyFill="1" applyBorder="1" applyAlignment="1">
      <alignment horizontal="left" vertical="center" wrapText="1"/>
    </xf>
    <xf numFmtId="0" fontId="56" fillId="41" borderId="28" xfId="0" applyFont="1" applyFill="1" applyBorder="1" applyAlignment="1">
      <alignment vertical="center" wrapText="1"/>
    </xf>
    <xf numFmtId="0" fontId="56" fillId="41" borderId="30" xfId="0" applyFont="1" applyFill="1" applyBorder="1" applyAlignment="1">
      <alignment vertical="center" wrapText="1"/>
    </xf>
    <xf numFmtId="0" fontId="63" fillId="41" borderId="0" xfId="0" applyFont="1" applyFill="1" applyAlignment="1">
      <alignment horizontal="center" vertical="center" wrapText="1"/>
    </xf>
    <xf numFmtId="0" fontId="59" fillId="41" borderId="9" xfId="0" applyFont="1" applyFill="1" applyBorder="1" applyAlignment="1">
      <alignment horizontal="left"/>
    </xf>
    <xf numFmtId="0" fontId="59" fillId="41" borderId="0" xfId="0" applyFont="1" applyFill="1" applyAlignment="1">
      <alignment horizontal="left"/>
    </xf>
    <xf numFmtId="0" fontId="59" fillId="41" borderId="10" xfId="0" applyFont="1" applyFill="1" applyBorder="1" applyAlignment="1">
      <alignment horizontal="left"/>
    </xf>
    <xf numFmtId="0" fontId="61" fillId="41" borderId="24" xfId="0" applyFont="1" applyFill="1" applyBorder="1" applyAlignment="1" applyProtection="1">
      <alignment horizontal="left" wrapText="1"/>
      <protection locked="0"/>
    </xf>
    <xf numFmtId="0" fontId="61" fillId="41" borderId="11" xfId="0" applyFont="1" applyFill="1" applyBorder="1" applyAlignment="1" applyProtection="1">
      <alignment horizontal="left" wrapText="1"/>
      <protection locked="0"/>
    </xf>
    <xf numFmtId="0" fontId="61" fillId="41" borderId="2" xfId="0" applyFont="1" applyFill="1" applyBorder="1" applyAlignment="1" applyProtection="1">
      <alignment horizontal="left" wrapText="1"/>
      <protection locked="0"/>
    </xf>
    <xf numFmtId="0" fontId="59" fillId="41" borderId="0" xfId="0" applyFont="1" applyFill="1" applyAlignment="1">
      <alignment horizontal="left" vertical="center" wrapText="1"/>
    </xf>
    <xf numFmtId="0" fontId="8" fillId="41" borderId="25" xfId="13" applyFont="1" applyFill="1" applyBorder="1" applyAlignment="1">
      <alignment horizontal="right" vertical="top"/>
    </xf>
    <xf numFmtId="0" fontId="8" fillId="41" borderId="26" xfId="13" applyFont="1" applyFill="1" applyBorder="1" applyAlignment="1">
      <alignment horizontal="right" vertical="top"/>
    </xf>
    <xf numFmtId="0" fontId="8" fillId="41" borderId="27" xfId="13" applyFont="1" applyFill="1" applyBorder="1" applyAlignment="1">
      <alignment horizontal="right" vertical="top"/>
    </xf>
    <xf numFmtId="0" fontId="42" fillId="0" borderId="4" xfId="4" quotePrefix="1" applyFont="1" applyBorder="1" applyAlignment="1">
      <alignment horizontal="center" vertical="center" wrapText="1"/>
    </xf>
    <xf numFmtId="0" fontId="42" fillId="0" borderId="5" xfId="4" applyFont="1" applyBorder="1" applyAlignment="1">
      <alignment horizontal="center" vertical="center" wrapText="1"/>
    </xf>
    <xf numFmtId="0" fontId="42" fillId="0" borderId="6" xfId="4" applyFont="1" applyBorder="1" applyAlignment="1">
      <alignment horizontal="center" vertical="center" wrapText="1"/>
    </xf>
    <xf numFmtId="0" fontId="8" fillId="0" borderId="4" xfId="5" applyFont="1" applyBorder="1" applyAlignment="1">
      <alignment horizontal="right" vertical="top"/>
    </xf>
    <xf numFmtId="0" fontId="9" fillId="0" borderId="5" xfId="0" applyFont="1" applyBorder="1" applyAlignment="1">
      <alignment horizontal="right" vertical="top"/>
    </xf>
    <xf numFmtId="0" fontId="9" fillId="0" borderId="6" xfId="0" applyFont="1" applyBorder="1" applyAlignment="1">
      <alignment horizontal="right" vertical="top"/>
    </xf>
    <xf numFmtId="0" fontId="8" fillId="0" borderId="5" xfId="5" applyFont="1" applyBorder="1" applyAlignment="1">
      <alignment horizontal="right" vertical="top"/>
    </xf>
    <xf numFmtId="0" fontId="8" fillId="0" borderId="6" xfId="5" applyFont="1" applyBorder="1" applyAlignment="1">
      <alignment horizontal="right" vertical="top"/>
    </xf>
    <xf numFmtId="0" fontId="7" fillId="0" borderId="1" xfId="4" applyFont="1" applyBorder="1" applyAlignment="1">
      <alignment horizontal="center" vertical="center" wrapText="1"/>
    </xf>
    <xf numFmtId="0" fontId="8" fillId="0" borderId="1" xfId="5" applyFont="1" applyBorder="1" applyAlignment="1">
      <alignment horizontal="right" vertical="top"/>
    </xf>
    <xf numFmtId="0" fontId="9" fillId="0" borderId="1" xfId="0" applyFont="1" applyBorder="1" applyAlignment="1">
      <alignment horizontal="right" vertical="top"/>
    </xf>
    <xf numFmtId="0" fontId="8" fillId="41" borderId="25" xfId="0" applyFont="1" applyFill="1" applyBorder="1" applyAlignment="1">
      <alignment horizontal="right" vertical="top" wrapText="1"/>
    </xf>
    <xf numFmtId="0" fontId="8" fillId="41" borderId="26" xfId="0" applyFont="1" applyFill="1" applyBorder="1" applyAlignment="1">
      <alignment horizontal="right" vertical="top" wrapText="1"/>
    </xf>
    <xf numFmtId="0" fontId="8" fillId="41" borderId="27" xfId="0" applyFont="1" applyFill="1" applyBorder="1" applyAlignment="1">
      <alignment horizontal="right" vertical="top" wrapText="1"/>
    </xf>
    <xf numFmtId="0" fontId="8" fillId="0" borderId="1" xfId="5" applyFont="1" applyBorder="1" applyAlignment="1">
      <alignment horizontal="right" vertical="center"/>
    </xf>
    <xf numFmtId="0" fontId="9" fillId="0" borderId="1" xfId="0" applyFont="1" applyBorder="1" applyAlignment="1">
      <alignment horizontal="right" vertical="center"/>
    </xf>
    <xf numFmtId="0" fontId="2" fillId="0" borderId="2" xfId="0" applyFont="1" applyBorder="1" applyAlignment="1">
      <alignment horizontal="center" vertical="center"/>
    </xf>
    <xf numFmtId="164" fontId="9" fillId="0" borderId="2" xfId="6" applyNumberFormat="1" applyFont="1" applyFill="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4" fillId="0" borderId="2" xfId="0" applyFont="1" applyBorder="1" applyAlignment="1">
      <alignment horizontal="center" vertical="center" wrapText="1"/>
    </xf>
    <xf numFmtId="0" fontId="8" fillId="0" borderId="1" xfId="0" applyFont="1" applyBorder="1" applyAlignment="1">
      <alignment horizontal="center" vertical="center" wrapText="1"/>
    </xf>
    <xf numFmtId="2" fontId="2" fillId="0" borderId="2" xfId="0" applyNumberFormat="1" applyFont="1" applyBorder="1" applyAlignment="1">
      <alignment horizontal="center" vertical="center"/>
    </xf>
    <xf numFmtId="0" fontId="42" fillId="0" borderId="4" xfId="4" applyFont="1" applyBorder="1" applyAlignment="1">
      <alignment horizontal="center" vertical="center" wrapText="1"/>
    </xf>
    <xf numFmtId="0" fontId="42"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2" fillId="0" borderId="1" xfId="0" applyFont="1" applyBorder="1" applyAlignment="1">
      <alignment horizontal="center" vertical="center"/>
    </xf>
    <xf numFmtId="0" fontId="42" fillId="0" borderId="8" xfId="4" applyFont="1" applyBorder="1" applyAlignment="1">
      <alignment horizontal="center" vertical="center" wrapText="1"/>
    </xf>
    <xf numFmtId="0" fontId="42" fillId="0" borderId="11" xfId="4" applyFont="1" applyBorder="1" applyAlignment="1">
      <alignment horizontal="center" vertical="center" wrapText="1"/>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4" xfId="5"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1" fontId="42" fillId="0" borderId="8" xfId="0" applyNumberFormat="1" applyFont="1" applyBorder="1" applyAlignment="1">
      <alignment horizontal="center" vertical="center"/>
    </xf>
    <xf numFmtId="1" fontId="42" fillId="0" borderId="11" xfId="0" applyNumberFormat="1" applyFont="1" applyBorder="1" applyAlignment="1">
      <alignment horizontal="center" vertical="center"/>
    </xf>
    <xf numFmtId="0" fontId="42" fillId="0" borderId="8" xfId="0" applyFont="1" applyBorder="1" applyAlignment="1">
      <alignment horizontal="center" vertical="center"/>
    </xf>
    <xf numFmtId="0" fontId="42" fillId="0" borderId="11" xfId="0" applyFont="1" applyBorder="1" applyAlignment="1">
      <alignment horizontal="center" vertical="center"/>
    </xf>
    <xf numFmtId="0" fontId="8" fillId="0" borderId="1" xfId="0" applyFont="1" applyBorder="1" applyAlignment="1">
      <alignment horizontal="center" vertical="top" wrapText="1"/>
    </xf>
    <xf numFmtId="0" fontId="42" fillId="41" borderId="25" xfId="0" applyFont="1" applyFill="1" applyBorder="1" applyAlignment="1">
      <alignment horizontal="right" vertical="top" wrapText="1"/>
    </xf>
    <xf numFmtId="0" fontId="42" fillId="41" borderId="26" xfId="0" applyFont="1" applyFill="1" applyBorder="1" applyAlignment="1">
      <alignment horizontal="right" vertical="top" wrapText="1"/>
    </xf>
    <xf numFmtId="0" fontId="42" fillId="41" borderId="27" xfId="0" applyFont="1" applyFill="1" applyBorder="1" applyAlignment="1">
      <alignment horizontal="right" vertical="top" wrapText="1"/>
    </xf>
    <xf numFmtId="0" fontId="42" fillId="0" borderId="8" xfId="0" applyFont="1" applyBorder="1" applyAlignment="1">
      <alignment horizontal="center" vertical="center" wrapText="1"/>
    </xf>
    <xf numFmtId="0" fontId="42" fillId="0" borderId="11"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1" xfId="0" applyFont="1" applyBorder="1" applyAlignment="1">
      <alignment horizontal="center" vertical="center" wrapText="1"/>
    </xf>
    <xf numFmtId="0" fontId="5" fillId="0" borderId="1" xfId="4" applyFont="1" applyBorder="1" applyAlignment="1">
      <alignment horizontal="center" vertical="center" wrapText="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0" fontId="5" fillId="0" borderId="6" xfId="4" applyFont="1" applyBorder="1" applyAlignment="1">
      <alignment horizontal="center" vertical="center" wrapText="1"/>
    </xf>
    <xf numFmtId="0" fontId="7" fillId="0" borderId="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cellXfs>
  <cellStyles count="663">
    <cellStyle name="20% - Accent1 2" xfId="17" xr:uid="{A01A0354-8962-4430-9AB2-16D550EA2E24}"/>
    <cellStyle name="20% - Accent1 2 2" xfId="18" xr:uid="{C4B5D29A-CB63-43B3-AF10-9EF00BA9C3B4}"/>
    <cellStyle name="20% - Accent1 2 2 2" xfId="19" xr:uid="{6376349E-9ED1-4C1F-8BB9-985D8B3592FF}"/>
    <cellStyle name="20% - Accent1 2 2 2 2" xfId="20" xr:uid="{95840968-75A6-45B6-9909-205A519B2421}"/>
    <cellStyle name="20% - Accent1 2 2 2 2 2" xfId="21" xr:uid="{8B52279F-0FDB-4A73-A10E-E2288EE4282E}"/>
    <cellStyle name="20% - Accent1 2 2 2 3" xfId="22" xr:uid="{304D7A49-9D07-43CE-BF4E-E0DA357DB242}"/>
    <cellStyle name="20% - Accent1 2 2 3" xfId="23" xr:uid="{4B90B59E-ABBF-4433-A7EA-6903F2ABAD84}"/>
    <cellStyle name="20% - Accent1 2 2 3 2" xfId="24" xr:uid="{0D4A45EF-42D2-4859-A817-65321B65ECB7}"/>
    <cellStyle name="20% - Accent1 2 2 3 2 2" xfId="25" xr:uid="{F6F8E185-ABCC-4349-BBEB-210A4054509F}"/>
    <cellStyle name="20% - Accent1 2 2 3 3" xfId="26" xr:uid="{902D9656-657B-4071-A06C-3467E4263036}"/>
    <cellStyle name="20% - Accent1 2 2 4" xfId="27" xr:uid="{5CFEE605-4269-438B-81B7-09C85FF20676}"/>
    <cellStyle name="20% - Accent1 2 2 4 2" xfId="28" xr:uid="{A32D869E-AFDD-460D-82BC-D3C4AD911CA1}"/>
    <cellStyle name="20% - Accent1 2 2 5" xfId="29" xr:uid="{57D09BB0-8821-4F2F-B7CF-5EBCF0EDFB87}"/>
    <cellStyle name="20% - Accent1 2 2 6" xfId="30" xr:uid="{C7C4020E-D691-4D3F-863B-46649BB485D5}"/>
    <cellStyle name="20% - Accent1 2 2 7" xfId="31" xr:uid="{D824D9C4-1E64-489B-8564-D66AA2363B6C}"/>
    <cellStyle name="20% - Accent1 3" xfId="32" xr:uid="{0A0DE18F-03BA-47B9-9A63-6076E35B41E2}"/>
    <cellStyle name="20% - Accent1 3 2" xfId="33" xr:uid="{D4A37321-9906-43A5-901B-C7B516728217}"/>
    <cellStyle name="20% - Accent1 3 2 2" xfId="34" xr:uid="{A756802B-D8AA-4997-92E9-66154C50102B}"/>
    <cellStyle name="20% - Accent1 3 3" xfId="35" xr:uid="{59DF2CA0-B52A-4171-B65F-F725C1A176FC}"/>
    <cellStyle name="20% - Accent1 4" xfId="36" xr:uid="{32825C74-6D66-4E27-BF8B-CA1FE0BACA90}"/>
    <cellStyle name="20% - Accent1 4 2" xfId="37" xr:uid="{E38DDF4E-A983-4B59-A466-979BDE3F13EC}"/>
    <cellStyle name="20% - Accent1 4 2 2" xfId="38" xr:uid="{EF00631D-B199-4FDD-963A-04805530AC59}"/>
    <cellStyle name="20% - Accent1 4 3" xfId="39" xr:uid="{56E546AB-7DB3-4883-9D0B-C0D8F0A835FE}"/>
    <cellStyle name="20% - Accent2 2" xfId="40" xr:uid="{43B4B421-F394-48A0-A7B7-BA90160BDA2D}"/>
    <cellStyle name="20% - Accent2 2 2" xfId="41" xr:uid="{189D04D3-9C14-4B88-99AB-45F1EB184E6A}"/>
    <cellStyle name="20% - Accent2 2 2 2" xfId="42" xr:uid="{3741EF78-6A4D-4D9E-8AD4-5D2F99D2E410}"/>
    <cellStyle name="20% - Accent2 2 2 2 2" xfId="43" xr:uid="{AAD743A7-D8AF-4A3E-B16A-9DA3DF8BD37B}"/>
    <cellStyle name="20% - Accent2 2 2 2 2 2" xfId="44" xr:uid="{FBCA3C89-DC24-421B-9985-4B2F6C00D994}"/>
    <cellStyle name="20% - Accent2 2 2 2 3" xfId="45" xr:uid="{FED35DB6-68C5-4CC9-B3AC-D3BCF294EC10}"/>
    <cellStyle name="20% - Accent2 2 2 3" xfId="46" xr:uid="{13EFCB68-262C-449C-AD1F-E56F1A1B7458}"/>
    <cellStyle name="20% - Accent2 2 2 3 2" xfId="47" xr:uid="{0324B9F2-7202-4659-92F0-A472E0F8D70B}"/>
    <cellStyle name="20% - Accent2 2 2 3 2 2" xfId="48" xr:uid="{55FF30D1-FBF5-4BD2-A8E1-0A55CCB1071F}"/>
    <cellStyle name="20% - Accent2 2 2 3 3" xfId="49" xr:uid="{6F840718-FD88-4BF8-8BDE-F19F396357DB}"/>
    <cellStyle name="20% - Accent2 2 2 4" xfId="50" xr:uid="{C369EEBE-BB0B-4071-AE55-76183F166E55}"/>
    <cellStyle name="20% - Accent2 2 2 4 2" xfId="51" xr:uid="{E68A8BC8-B0CB-46DC-8860-2F6AE3983ADE}"/>
    <cellStyle name="20% - Accent2 2 2 5" xfId="52" xr:uid="{D0B3F6AC-7779-44FF-A343-6B448C0AEBA7}"/>
    <cellStyle name="20% - Accent2 2 2 6" xfId="53" xr:uid="{7E8EEBB7-105E-4CAD-9CD4-4EC0196AB81C}"/>
    <cellStyle name="20% - Accent2 2 2 7" xfId="54" xr:uid="{D65A0E26-7722-480E-8D1A-BF94B0CE2D12}"/>
    <cellStyle name="20% - Accent2 3" xfId="55" xr:uid="{EF9D9049-927C-4062-B676-009F87E45BBC}"/>
    <cellStyle name="20% - Accent2 3 2" xfId="56" xr:uid="{A377EDA6-5ABA-41CE-9226-CFEA1BCBCDDD}"/>
    <cellStyle name="20% - Accent2 3 2 2" xfId="57" xr:uid="{858F13D2-BF79-499C-8406-324D2DB4153C}"/>
    <cellStyle name="20% - Accent2 3 3" xfId="58" xr:uid="{0ED0024E-064D-48C7-913A-3A5F8C9A7579}"/>
    <cellStyle name="20% - Accent2 4" xfId="59" xr:uid="{1A98A2F5-C0E3-4F87-94EE-2BA76E6644EE}"/>
    <cellStyle name="20% - Accent2 4 2" xfId="60" xr:uid="{A92577DD-4C75-4440-981E-93A496149540}"/>
    <cellStyle name="20% - Accent2 4 2 2" xfId="61" xr:uid="{C84310A9-21AE-4406-ABF8-993D389B9B2C}"/>
    <cellStyle name="20% - Accent2 4 3" xfId="62" xr:uid="{0439DE09-9200-4EE1-8703-BBFF766B2627}"/>
    <cellStyle name="20% - Accent3 2" xfId="63" xr:uid="{283FCC5C-6047-4195-941B-19C521D44FFE}"/>
    <cellStyle name="20% - Accent3 2 2" xfId="64" xr:uid="{B3F7A0A9-F19A-4E71-9B76-333697FBE893}"/>
    <cellStyle name="20% - Accent3 2 2 2" xfId="65" xr:uid="{F5D7C8B7-A34C-40A8-8F9D-03CFD535420D}"/>
    <cellStyle name="20% - Accent3 2 2 2 2" xfId="66" xr:uid="{373E9DF3-FB1C-40DD-B277-4D97DFDC8CFE}"/>
    <cellStyle name="20% - Accent3 2 2 2 2 2" xfId="67" xr:uid="{F38BD67A-71DB-4221-A66A-85317AFD1509}"/>
    <cellStyle name="20% - Accent3 2 2 2 3" xfId="68" xr:uid="{246C854E-9E5F-419E-AB62-258E6E931D53}"/>
    <cellStyle name="20% - Accent3 2 2 3" xfId="69" xr:uid="{61D192DA-CFFB-4EE5-BED8-DDF3FD9EA342}"/>
    <cellStyle name="20% - Accent3 2 2 3 2" xfId="70" xr:uid="{9DAFD112-635C-4DDF-B8EC-04F09315C36D}"/>
    <cellStyle name="20% - Accent3 2 2 3 2 2" xfId="71" xr:uid="{6E11FB2A-C6E3-4FE1-932C-A7B3CEA311C3}"/>
    <cellStyle name="20% - Accent3 2 2 3 3" xfId="72" xr:uid="{1675B298-2CFA-4AC7-9998-D30215DB14E4}"/>
    <cellStyle name="20% - Accent3 2 2 4" xfId="73" xr:uid="{0F514E57-0018-4F9E-9038-C411CD6C83F3}"/>
    <cellStyle name="20% - Accent3 2 2 4 2" xfId="74" xr:uid="{6F2A8328-FACB-4190-9582-15E04CB5DE9F}"/>
    <cellStyle name="20% - Accent3 2 2 5" xfId="75" xr:uid="{5C5FD8D0-63FC-4A0B-AB27-46EC514B8CF6}"/>
    <cellStyle name="20% - Accent3 2 2 6" xfId="76" xr:uid="{7ABA93DD-1354-4D6F-9592-885DAA63DAB7}"/>
    <cellStyle name="20% - Accent3 2 2 7" xfId="77" xr:uid="{C7EA6D40-5A9F-4264-BCE4-4ACC7207FA81}"/>
    <cellStyle name="20% - Accent3 3" xfId="78" xr:uid="{A7674B8D-15FE-4824-B3CB-FB98098619D6}"/>
    <cellStyle name="20% - Accent3 3 2" xfId="79" xr:uid="{7EC5BC02-E91B-44CA-80D0-A6EFB94ABD29}"/>
    <cellStyle name="20% - Accent3 3 2 2" xfId="80" xr:uid="{31C5107E-4458-41D1-A087-66374BF70F1B}"/>
    <cellStyle name="20% - Accent3 3 3" xfId="81" xr:uid="{C26F0F9C-035B-4E49-A67C-EF82DDC10C5D}"/>
    <cellStyle name="20% - Accent3 4" xfId="82" xr:uid="{D2FB8DE2-3BFD-492B-A563-4E053BA94DE2}"/>
    <cellStyle name="20% - Accent3 4 2" xfId="83" xr:uid="{A5E139EB-540C-408A-ADA5-E775FB4ADA44}"/>
    <cellStyle name="20% - Accent3 4 2 2" xfId="84" xr:uid="{A04F81E0-FFF9-4B34-B702-052C617DD257}"/>
    <cellStyle name="20% - Accent3 4 3" xfId="85" xr:uid="{156A4F77-2D13-443E-B83D-DCD5B092EFCF}"/>
    <cellStyle name="20% - Accent4 2" xfId="86" xr:uid="{5E5E947E-4351-48EF-8EE9-6F47114BB09C}"/>
    <cellStyle name="20% - Accent4 2 2" xfId="87" xr:uid="{3299B446-1162-4480-8CC5-3210AC6D9FBF}"/>
    <cellStyle name="20% - Accent4 2 2 2" xfId="88" xr:uid="{DAF2AB21-D52E-4350-AF4C-033F3B1D6B72}"/>
    <cellStyle name="20% - Accent4 2 2 2 2" xfId="89" xr:uid="{05ADE680-D183-4447-AAA4-22B02328F646}"/>
    <cellStyle name="20% - Accent4 2 2 2 2 2" xfId="90" xr:uid="{FCAB92B3-2176-4EB3-AEE1-98ED0859D511}"/>
    <cellStyle name="20% - Accent4 2 2 2 3" xfId="91" xr:uid="{54F65A08-5ECD-45A5-83F1-8251DF31836B}"/>
    <cellStyle name="20% - Accent4 2 2 3" xfId="92" xr:uid="{FAEF222F-8581-46D2-B040-3E460201FE34}"/>
    <cellStyle name="20% - Accent4 2 2 3 2" xfId="93" xr:uid="{DFE80E3E-244E-4F45-B92B-C76AEA7C9036}"/>
    <cellStyle name="20% - Accent4 2 2 3 2 2" xfId="94" xr:uid="{9907CE8B-CD54-407D-B877-E65ED00D6CC2}"/>
    <cellStyle name="20% - Accent4 2 2 3 3" xfId="95" xr:uid="{EABCAA30-87B9-41AC-81EE-7596D12B295A}"/>
    <cellStyle name="20% - Accent4 2 2 4" xfId="96" xr:uid="{82D7F74E-826F-4B15-9BFD-DE1F41ECBF59}"/>
    <cellStyle name="20% - Accent4 2 2 4 2" xfId="97" xr:uid="{239B3ED5-ADD7-42DD-8B52-73438106950E}"/>
    <cellStyle name="20% - Accent4 2 2 5" xfId="98" xr:uid="{CE7C4088-EC1E-46E7-A1C7-28AB5362A910}"/>
    <cellStyle name="20% - Accent4 2 2 6" xfId="99" xr:uid="{D3D59BC1-5C11-4116-A357-33051FBB0C61}"/>
    <cellStyle name="20% - Accent4 2 2 7" xfId="100" xr:uid="{A3C22D34-8428-4FF6-8BC9-DC0B25756731}"/>
    <cellStyle name="20% - Accent4 3" xfId="101" xr:uid="{F8AEB24F-74A2-4F09-BDF3-52D05641BFDB}"/>
    <cellStyle name="20% - Accent4 3 2" xfId="102" xr:uid="{DDB97A10-C567-4574-A3FA-98E0BA457191}"/>
    <cellStyle name="20% - Accent4 3 2 2" xfId="103" xr:uid="{CFC6D60C-6292-47ED-A6F1-3CA68C8355CD}"/>
    <cellStyle name="20% - Accent4 3 3" xfId="104" xr:uid="{8D003855-3A0B-4CFC-8026-840D72DD93F3}"/>
    <cellStyle name="20% - Accent4 4" xfId="105" xr:uid="{8292D02B-6337-47F2-AC84-15EF8D3CC466}"/>
    <cellStyle name="20% - Accent4 4 2" xfId="106" xr:uid="{1EE4CF4C-78AE-4B29-A91A-6D2DD6544B01}"/>
    <cellStyle name="20% - Accent4 4 2 2" xfId="107" xr:uid="{1274A7A8-4EC5-4481-AA99-A1D96E649728}"/>
    <cellStyle name="20% - Accent4 4 3" xfId="108" xr:uid="{BC2EC738-C3C3-4769-8E29-DA464846D139}"/>
    <cellStyle name="20% - Accent5 2" xfId="109" xr:uid="{9C1C37E3-921A-4BC2-90ED-3CCE324B5390}"/>
    <cellStyle name="20% - Accent5 3" xfId="110" xr:uid="{96F77B87-BC37-4C12-BDE3-7EA6A797B172}"/>
    <cellStyle name="20% - Accent5 3 2" xfId="111" xr:uid="{80917193-E294-49B6-9660-651A652BFDD3}"/>
    <cellStyle name="20% - Accent5 3 2 2" xfId="112" xr:uid="{5FF45C36-AA88-40FB-ACF7-EDB7E69B89AF}"/>
    <cellStyle name="20% - Accent5 3 3" xfId="113" xr:uid="{518AB7CC-9DF8-46BB-8BB6-53536EF8D1BE}"/>
    <cellStyle name="20% - Accent5 4" xfId="114" xr:uid="{0E1C6061-6C64-499E-9E8A-1D7A5F70928A}"/>
    <cellStyle name="20% - Accent5 4 2" xfId="115" xr:uid="{0CE6B4AD-F200-4AB7-A19B-C065F9A6DDF5}"/>
    <cellStyle name="20% - Accent5 4 2 2" xfId="116" xr:uid="{1D64D07B-7C35-43EC-B82A-03AC083CADF8}"/>
    <cellStyle name="20% - Accent5 4 3" xfId="117" xr:uid="{5BBDA50B-DF65-4337-9613-2E52646CB3E9}"/>
    <cellStyle name="20% - Accent5 5" xfId="118" xr:uid="{64EC26EE-2D20-4266-B671-0D4D152DB9F5}"/>
    <cellStyle name="20% - Accent6 2" xfId="119" xr:uid="{876A1B7B-A7EA-4106-BCE0-D407927A3898}"/>
    <cellStyle name="20% - Accent6 3" xfId="120" xr:uid="{7B0B4016-E52F-41D4-93FD-7A4F18D185B0}"/>
    <cellStyle name="20% - Accent6 3 2" xfId="121" xr:uid="{5854330F-C6EF-4CCB-B77E-83EDEB6D8EA7}"/>
    <cellStyle name="20% - Accent6 3 2 2" xfId="122" xr:uid="{B8EEF629-6D69-4809-940F-44C6C595E31B}"/>
    <cellStyle name="20% - Accent6 3 3" xfId="123" xr:uid="{401720DD-FE5F-4C73-883B-A6656D28642E}"/>
    <cellStyle name="20% - Accent6 4" xfId="124" xr:uid="{FEFAE863-38B7-4333-BDFF-E61893BF68D2}"/>
    <cellStyle name="20% - Accent6 4 2" xfId="125" xr:uid="{5992997A-C67A-46A3-85BF-7D2A66B5AB2C}"/>
    <cellStyle name="20% - Accent6 4 2 2" xfId="126" xr:uid="{EF175AAE-93A3-4277-8BC0-39D9BCF50002}"/>
    <cellStyle name="20% - Accent6 4 3" xfId="127" xr:uid="{9BF0662F-7041-4282-B30A-09416F22E6F0}"/>
    <cellStyle name="20% - Accent6 5" xfId="128" xr:uid="{A60D05C7-64B7-466D-8750-EE8BF953E794}"/>
    <cellStyle name="40% - Accent1 2" xfId="129" xr:uid="{50388F31-46DE-461E-A93D-2C9A68A5F2E6}"/>
    <cellStyle name="40% - Accent1 3" xfId="130" xr:uid="{114F0D09-4A02-4DFD-A1B4-1A5086D67329}"/>
    <cellStyle name="40% - Accent1 3 2" xfId="131" xr:uid="{EE4BA075-BD13-4926-AAF5-FDF42B43D262}"/>
    <cellStyle name="40% - Accent1 3 2 2" xfId="132" xr:uid="{E05108E0-3018-451E-97A4-DFEDA26DA649}"/>
    <cellStyle name="40% - Accent1 3 3" xfId="133" xr:uid="{37CE94AA-F85F-42F8-BAE8-CBB3FD7A8FB5}"/>
    <cellStyle name="40% - Accent1 4" xfId="134" xr:uid="{5FAF2A27-A3AB-4217-B272-1007325944C5}"/>
    <cellStyle name="40% - Accent1 4 2" xfId="135" xr:uid="{9E2FDEF0-83B8-4BD3-AFC2-5BAD18D063D2}"/>
    <cellStyle name="40% - Accent1 4 2 2" xfId="136" xr:uid="{E4979653-4355-4C93-B8A0-265D15353D28}"/>
    <cellStyle name="40% - Accent1 4 3" xfId="137" xr:uid="{A2B12215-DB57-4AE0-9D7D-D58BE7430047}"/>
    <cellStyle name="40% - Accent1 5" xfId="138" xr:uid="{C02DBBD1-64EF-496F-9A12-2A8DDE3C20FF}"/>
    <cellStyle name="40% - Accent2 2" xfId="139" xr:uid="{79D9C987-E4C2-4E4C-826B-2DD54DFE5889}"/>
    <cellStyle name="40% - Accent2 3" xfId="140" xr:uid="{0784CA8F-3B9F-42D8-9514-A6B9B5EFDC22}"/>
    <cellStyle name="40% - Accent2 3 2" xfId="141" xr:uid="{8D275DBC-48F6-4084-9ED5-24A60DFCB9C3}"/>
    <cellStyle name="40% - Accent2 3 2 2" xfId="142" xr:uid="{82D278D1-4553-4C77-9A3D-D63094E53323}"/>
    <cellStyle name="40% - Accent2 3 3" xfId="143" xr:uid="{3A88408C-9B01-4039-9D32-142A20610020}"/>
    <cellStyle name="40% - Accent2 4" xfId="144" xr:uid="{A9E3BDC1-3DEE-4B3C-9B31-5397FDD41929}"/>
    <cellStyle name="40% - Accent2 4 2" xfId="145" xr:uid="{963F6D7C-04C8-4506-B0AC-079CF578EFA2}"/>
    <cellStyle name="40% - Accent2 4 2 2" xfId="146" xr:uid="{424D63AB-8B15-485E-B15F-BEC633640639}"/>
    <cellStyle name="40% - Accent2 4 3" xfId="147" xr:uid="{BC867820-9A9E-4829-997B-04769017B655}"/>
    <cellStyle name="40% - Accent2 5" xfId="148" xr:uid="{44B88A61-98CB-4DFF-AB53-22BBE4ED8096}"/>
    <cellStyle name="40% - Accent3 2" xfId="149" xr:uid="{91FE66AA-DB1E-4882-99C0-7650D52FBBEB}"/>
    <cellStyle name="40% - Accent3 2 2" xfId="150" xr:uid="{7EC7D5F8-808E-4118-9EF8-2C83CBC063BC}"/>
    <cellStyle name="40% - Accent3 2 2 2" xfId="151" xr:uid="{D7368002-916D-46A1-8D0F-7237989F7D0D}"/>
    <cellStyle name="40% - Accent3 2 2 2 2" xfId="152" xr:uid="{3543AD6C-87EB-438F-B445-7FF8D2EA8296}"/>
    <cellStyle name="40% - Accent3 2 2 2 2 2" xfId="153" xr:uid="{515A09FA-FF9C-459F-816F-61E1181B9885}"/>
    <cellStyle name="40% - Accent3 2 2 2 3" xfId="154" xr:uid="{9C5630AC-F832-46C3-A31D-B2BD7FD1AF25}"/>
    <cellStyle name="40% - Accent3 2 2 3" xfId="155" xr:uid="{06EA4F78-32C7-4555-8FC4-C2456D358B71}"/>
    <cellStyle name="40% - Accent3 2 2 3 2" xfId="156" xr:uid="{746A9E26-61CF-4676-AC5B-1B8CC47C81C4}"/>
    <cellStyle name="40% - Accent3 2 2 3 2 2" xfId="157" xr:uid="{0329261B-80E0-42EC-A537-EEF926B5E8E0}"/>
    <cellStyle name="40% - Accent3 2 2 3 3" xfId="158" xr:uid="{A8F150C4-5826-4DC1-AE68-A5F64FC285C0}"/>
    <cellStyle name="40% - Accent3 2 2 4" xfId="159" xr:uid="{B2295ECC-B950-4A30-BC11-190F39EEDCAB}"/>
    <cellStyle name="40% - Accent3 2 2 4 2" xfId="160" xr:uid="{06140725-43A1-49FB-AEBE-BEB4880E4B54}"/>
    <cellStyle name="40% - Accent3 2 2 5" xfId="161" xr:uid="{92E7FCB0-1313-455D-BDC9-554C1D9CC86F}"/>
    <cellStyle name="40% - Accent3 2 2 6" xfId="162" xr:uid="{CAF59AD6-563B-41FA-B7E7-52A732137E5A}"/>
    <cellStyle name="40% - Accent3 2 2 7" xfId="163" xr:uid="{113A10B9-A9A4-4289-97D4-B02782B4DA04}"/>
    <cellStyle name="40% - Accent3 3" xfId="164" xr:uid="{483C0138-337E-46A3-8A6F-9C7A65D4CD0B}"/>
    <cellStyle name="40% - Accent3 3 2" xfId="165" xr:uid="{D7935F3E-5B60-4E26-A1A0-1EBC18FA3A79}"/>
    <cellStyle name="40% - Accent3 3 2 2" xfId="166" xr:uid="{A1AC134C-1668-46E8-AE21-26FE7967FF34}"/>
    <cellStyle name="40% - Accent3 3 3" xfId="167" xr:uid="{2F07E24B-5745-48E1-8DC5-5AF731068F35}"/>
    <cellStyle name="40% - Accent3 4" xfId="168" xr:uid="{6AAB5683-E4E5-45AD-BBF7-631CE390AB44}"/>
    <cellStyle name="40% - Accent3 4 2" xfId="169" xr:uid="{8EA3C18C-4FE2-4D4D-8BE3-B2CFF01C7ACC}"/>
    <cellStyle name="40% - Accent3 4 2 2" xfId="170" xr:uid="{E5C081EF-D784-40A0-92AC-6508914A23CB}"/>
    <cellStyle name="40% - Accent3 4 3" xfId="171" xr:uid="{C921516C-CBD1-497A-BF95-2FE4FB76A3E2}"/>
    <cellStyle name="40% - Accent4 2" xfId="172" xr:uid="{43039AA2-E9D3-4C60-82FC-1C421E0F238D}"/>
    <cellStyle name="40% - Accent4 3" xfId="173" xr:uid="{306859B5-8054-462E-92D1-A98389F00C31}"/>
    <cellStyle name="40% - Accent4 3 2" xfId="174" xr:uid="{1C5585EF-14FE-4142-8543-75A96DDEA30F}"/>
    <cellStyle name="40% - Accent4 3 2 2" xfId="175" xr:uid="{FFB0F4CA-1563-45D8-9E29-4D48D518AA24}"/>
    <cellStyle name="40% - Accent4 3 3" xfId="176" xr:uid="{273087F7-3820-4CB2-85A5-B75258076B18}"/>
    <cellStyle name="40% - Accent4 4" xfId="177" xr:uid="{8DF77697-A30B-4FA3-A243-43C84148F145}"/>
    <cellStyle name="40% - Accent4 4 2" xfId="178" xr:uid="{573A63EF-4D15-4C27-A8D3-B520A9BF0022}"/>
    <cellStyle name="40% - Accent4 4 2 2" xfId="179" xr:uid="{8E367BC7-77CB-4DA6-84A2-3EC96F3B2CD8}"/>
    <cellStyle name="40% - Accent4 4 3" xfId="180" xr:uid="{5A6A349F-AED9-4207-A282-C5A56FA7B401}"/>
    <cellStyle name="40% - Accent4 5" xfId="181" xr:uid="{3E170F29-6B6A-44D4-8D6C-EF66AD0F931A}"/>
    <cellStyle name="40% - Accent5 2" xfId="182" xr:uid="{8B5197A7-4471-46AA-8BDE-673834733514}"/>
    <cellStyle name="40% - Accent5 3" xfId="183" xr:uid="{F014070C-A075-4258-9B57-BE03405D5AD1}"/>
    <cellStyle name="40% - Accent5 3 2" xfId="184" xr:uid="{A7F3BCE9-C995-4364-88F3-BB9EC5AA9010}"/>
    <cellStyle name="40% - Accent5 3 2 2" xfId="185" xr:uid="{D3FF60FC-B6B3-44E1-AA49-86F4157C89A3}"/>
    <cellStyle name="40% - Accent5 3 3" xfId="186" xr:uid="{3A6395B0-AEA6-4A9C-8668-331265E4E1B1}"/>
    <cellStyle name="40% - Accent5 4" xfId="187" xr:uid="{2D234D83-6ACF-4D05-808F-55B591FAA717}"/>
    <cellStyle name="40% - Accent5 4 2" xfId="188" xr:uid="{259DB003-CB14-45A6-8D46-8809FB035954}"/>
    <cellStyle name="40% - Accent5 4 2 2" xfId="189" xr:uid="{8BF14ECB-BB96-4D18-8640-50194500AAA1}"/>
    <cellStyle name="40% - Accent5 4 3" xfId="190" xr:uid="{A8710961-7BB9-4E75-9713-A55F158696BC}"/>
    <cellStyle name="40% - Accent5 5" xfId="191" xr:uid="{41A2B5AA-46DA-4A35-8B0B-14FE0C7D3AF4}"/>
    <cellStyle name="40% - Accent6 2" xfId="192" xr:uid="{F49301AB-1CB4-4567-93D6-570CAC4FD331}"/>
    <cellStyle name="40% - Accent6 3" xfId="193" xr:uid="{F8E7AA08-6799-4BB6-A2B6-8BA1CAC38D34}"/>
    <cellStyle name="40% - Accent6 3 2" xfId="194" xr:uid="{AC5A859F-086C-4668-9747-FCEF05978AE8}"/>
    <cellStyle name="40% - Accent6 3 2 2" xfId="195" xr:uid="{F282D665-9B8D-4837-9ACB-0AD8C194F752}"/>
    <cellStyle name="40% - Accent6 3 3" xfId="196" xr:uid="{09F2219A-1E25-4073-AD3A-C3A896CA9840}"/>
    <cellStyle name="40% - Accent6 4" xfId="197" xr:uid="{56FB4924-8030-49BD-8D84-AD8F05BE8146}"/>
    <cellStyle name="40% - Accent6 4 2" xfId="198" xr:uid="{87D1B849-0971-47FE-AF89-4B57F5A0531D}"/>
    <cellStyle name="40% - Accent6 4 2 2" xfId="199" xr:uid="{05C7A6B4-0E13-4516-8894-7B95949BE937}"/>
    <cellStyle name="40% - Accent6 4 3" xfId="200" xr:uid="{47EDE84B-8F87-4B90-9200-B0B9E230F6C3}"/>
    <cellStyle name="40% - Accent6 5" xfId="201" xr:uid="{FE30787B-C08D-4D93-83FA-76BFE2BEF5C6}"/>
    <cellStyle name="60% - Accent1 2" xfId="202" xr:uid="{B730FF88-BA29-479F-B70F-1D9AFE4534FC}"/>
    <cellStyle name="60% - Accent2 2" xfId="203" xr:uid="{3295E7C0-27AE-4D2E-BBC2-622647298C38}"/>
    <cellStyle name="60% - Accent3 2" xfId="204" xr:uid="{1B006DD5-A52F-419D-BDF9-398501775753}"/>
    <cellStyle name="60% - Accent3 2 2" xfId="205" xr:uid="{E0BEAE86-96CB-419F-BD05-DDA221C9B854}"/>
    <cellStyle name="60% - Accent4 2" xfId="206" xr:uid="{18236F93-EF6D-457E-9143-5A896DE1B06E}"/>
    <cellStyle name="60% - Accent4 2 2" xfId="207" xr:uid="{05E95FB7-A648-4900-8999-F648D5B34C1D}"/>
    <cellStyle name="60% - Accent5 2" xfId="208" xr:uid="{7F80A08D-D9FC-46EF-BFE0-2D6E2B9E7926}"/>
    <cellStyle name="60% - Accent6 2" xfId="209" xr:uid="{5909A2E3-97AB-4A27-B9AA-7FE092C4A596}"/>
    <cellStyle name="60% - Accent6 2 2" xfId="210" xr:uid="{44556B64-FD68-4332-8EE7-4BDBF282B7DD}"/>
    <cellStyle name="Accent1 2" xfId="211" xr:uid="{38773120-E99C-48AC-BBEC-635DF1EE16FE}"/>
    <cellStyle name="Accent2 2" xfId="212" xr:uid="{53EA56DB-67DB-4658-86AB-7F39B1693DC3}"/>
    <cellStyle name="Accent3 2" xfId="213" xr:uid="{6F2284EF-7B8C-4230-8BBE-1DA2A6D2E3AB}"/>
    <cellStyle name="Accent4 2" xfId="214" xr:uid="{D23B85FA-E204-48BB-85E3-CCED1C08E170}"/>
    <cellStyle name="Accent5 2" xfId="215" xr:uid="{6D716C26-C747-4C49-9E40-7CB28B5806C3}"/>
    <cellStyle name="Accent6 2" xfId="216" xr:uid="{61F952D0-8070-475E-9A75-FA0CE9618692}"/>
    <cellStyle name="Bad 2" xfId="217" xr:uid="{290DE889-3F21-46BD-8E40-130A1734001B}"/>
    <cellStyle name="Calculation 2" xfId="218" xr:uid="{3BCD4D22-33CB-4913-97D8-2E4B44695BB3}"/>
    <cellStyle name="Check Cell 2" xfId="219" xr:uid="{1B1B7CDF-0545-4D69-859B-4FE05FEA5E42}"/>
    <cellStyle name="Comma" xfId="1" builtinId="3"/>
    <cellStyle name="Comma 2" xfId="6" xr:uid="{F473F996-3BA2-483A-9CDC-57F5B116E8E4}"/>
    <cellStyle name="Comma 2 2" xfId="220" xr:uid="{18264077-5A64-4C2A-8615-9A89BA46FB69}"/>
    <cellStyle name="Comma 3" xfId="221" xr:uid="{1710B357-069D-46A3-82D7-F2B8B52E52EB}"/>
    <cellStyle name="Comma 3 2" xfId="222" xr:uid="{1DA96ABB-3BCD-4EE8-98FC-7598F230F948}"/>
    <cellStyle name="Comma 4" xfId="223" xr:uid="{A0AB6356-2516-41D0-BDAD-F9FC4C609C42}"/>
    <cellStyle name="Comma 4 2" xfId="224" xr:uid="{F902CA10-6E09-4985-B8B9-949122FAA50B}"/>
    <cellStyle name="Comma 4 2 2" xfId="225" xr:uid="{40CBDFFF-8E07-402D-8D6D-60D575051723}"/>
    <cellStyle name="Comma 4 2 2 2" xfId="226" xr:uid="{7A9A6E1E-2324-4464-847E-29914A457EC3}"/>
    <cellStyle name="Comma 4 2 2 2 2" xfId="227" xr:uid="{F528720E-488B-4E53-8743-341B4AA76546}"/>
    <cellStyle name="Comma 4 2 2 3" xfId="228" xr:uid="{5D18C1E1-E47E-470F-BE9A-2F4E80CC5593}"/>
    <cellStyle name="Comma 4 2 3" xfId="229" xr:uid="{1A2B0BF0-9859-4153-8F94-E3857ED5A76C}"/>
    <cellStyle name="Comma 4 2 3 2" xfId="230" xr:uid="{502F13E3-F4E8-4D6F-A1FB-70D5792AA6D9}"/>
    <cellStyle name="Comma 4 2 3 2 2" xfId="231" xr:uid="{74D0787D-947D-40DE-8B77-651B901E1C70}"/>
    <cellStyle name="Comma 4 2 3 3" xfId="232" xr:uid="{6728F8B0-8846-4D93-A883-9D0DF290ECB4}"/>
    <cellStyle name="Comma 4 2 4" xfId="233" xr:uid="{20A187D1-ACCE-4DE4-945E-913072566285}"/>
    <cellStyle name="Comma 4 2 4 2" xfId="234" xr:uid="{692A77F2-1889-4FA8-8225-A998603C2EF0}"/>
    <cellStyle name="Comma 4 2 5" xfId="235" xr:uid="{D24EF575-F26E-4717-A0FE-B0A1A558B5CB}"/>
    <cellStyle name="Comma 4 2 6" xfId="236" xr:uid="{0318AC8D-9AE7-48DF-9E33-59B409091A18}"/>
    <cellStyle name="Comma 4 2 7" xfId="237" xr:uid="{7294E21D-5D96-49B3-A3FE-84BD0B1C15E9}"/>
    <cellStyle name="Comma 4 3" xfId="238" xr:uid="{387B7558-9E11-4814-8BD4-EA2B93A2F412}"/>
    <cellStyle name="Comma 4 3 2" xfId="239" xr:uid="{75E69D53-3D16-4737-8C0D-6786E73FB379}"/>
    <cellStyle name="Comma 4 3 2 2" xfId="240" xr:uid="{8CA515C1-C1A0-4C71-B4F8-FA9C3F5A7491}"/>
    <cellStyle name="Comma 4 3 2 2 2" xfId="241" xr:uid="{A028FF71-F759-44F3-99AF-42F69892BBE1}"/>
    <cellStyle name="Comma 4 3 2 3" xfId="242" xr:uid="{B627156F-4607-4FDA-9A63-82C08D9E9A19}"/>
    <cellStyle name="Comma 4 3 3" xfId="243" xr:uid="{9B08E1F7-88E7-4447-8771-4E7DE2D52C2B}"/>
    <cellStyle name="Comma 4 3 3 2" xfId="244" xr:uid="{45F27C7C-8757-4871-AAF0-FFE7439CDD56}"/>
    <cellStyle name="Comma 4 3 3 2 2" xfId="245" xr:uid="{935E659F-868D-46EE-9D35-C0818770A360}"/>
    <cellStyle name="Comma 4 3 3 3" xfId="246" xr:uid="{8164D979-C49A-4AED-9C50-C49B7A360452}"/>
    <cellStyle name="Comma 4 3 4" xfId="247" xr:uid="{9112BFF0-6D53-432E-84EA-8647C5978FCC}"/>
    <cellStyle name="Comma 4 3 4 2" xfId="248" xr:uid="{59D3D901-1AD6-461E-B2CA-5FBC89A4FC89}"/>
    <cellStyle name="Comma 4 3 5" xfId="249" xr:uid="{746D6860-9AB0-42A1-BC3C-7350F4482B47}"/>
    <cellStyle name="Comma 4 3 6" xfId="250" xr:uid="{F9B0D5DE-40CD-4EA6-AF69-90451BD4F61E}"/>
    <cellStyle name="Comma 4 3 7" xfId="251" xr:uid="{1C9D4A38-5C1A-4680-A763-D0B32D090216}"/>
    <cellStyle name="Comma 5" xfId="12" xr:uid="{9C0E5C4E-4FF5-4531-A2C1-ABF5719CAD98}"/>
    <cellStyle name="Comma0" xfId="252" xr:uid="{08751AC1-5825-4142-ACA3-462A90F9FBEC}"/>
    <cellStyle name="Comma0 2" xfId="253" xr:uid="{54FB51AB-D92A-43D6-B5A4-DEB22F978364}"/>
    <cellStyle name="Comma0 3" xfId="254" xr:uid="{7DF23C54-8DFB-4D26-9663-ACA4AD050D54}"/>
    <cellStyle name="Comma0 4" xfId="255" xr:uid="{2B187E51-ADEE-472E-97A7-F5A48CEFCB85}"/>
    <cellStyle name="Currency" xfId="2" builtinId="4"/>
    <cellStyle name="Currency 2" xfId="8" xr:uid="{260A8316-3FBE-4770-A5BF-DE3318D1368C}"/>
    <cellStyle name="Currency 2 2" xfId="256" xr:uid="{8EAD7CF6-FBE2-4DFD-A33D-ACD7F23A3861}"/>
    <cellStyle name="Currency 3" xfId="257" xr:uid="{A7940CD3-CDD1-4830-A3B7-0F66AA3F9C64}"/>
    <cellStyle name="Currency 3 2" xfId="258" xr:uid="{D08A264C-6F39-4FBE-A1FD-6CAD37A9CAFB}"/>
    <cellStyle name="Currency 3 3" xfId="9" xr:uid="{287607FE-B6E2-4C66-98E4-2C25DEFEFE6F}"/>
    <cellStyle name="Currency 3 3 2" xfId="259" xr:uid="{3FB7299B-DC1A-489A-8363-0DA8A09CFEB0}"/>
    <cellStyle name="Currency 3 3 2 2" xfId="260" xr:uid="{1F60DC08-6E37-455B-9866-5182332D685D}"/>
    <cellStyle name="Currency 3 3 2 2 2" xfId="261" xr:uid="{A52E1EF7-15BD-4D09-AC36-2EAE515FAB19}"/>
    <cellStyle name="Currency 3 3 2 3" xfId="262" xr:uid="{BFD61DE9-F202-4B25-8C24-1CEFCCB763A5}"/>
    <cellStyle name="Currency 3 3 3" xfId="263" xr:uid="{8A228A95-C9A5-4FA7-BF65-6B315B9281FF}"/>
    <cellStyle name="Currency 3 3 3 2" xfId="264" xr:uid="{854861E5-9598-4552-9A61-5B38E5EDC3E5}"/>
    <cellStyle name="Currency 3 3 3 2 2" xfId="265" xr:uid="{7E9AEB43-7E85-4499-AFDE-EE392E340357}"/>
    <cellStyle name="Currency 3 3 3 3" xfId="266" xr:uid="{67522DA3-C338-4863-B545-04373143E6C4}"/>
    <cellStyle name="Currency 3 3 4" xfId="267" xr:uid="{4A205100-49BE-428A-9A55-46D86F8D682C}"/>
    <cellStyle name="Currency 3 3 4 2" xfId="268" xr:uid="{F3F435A6-9472-4F85-82C1-BB0835825539}"/>
    <cellStyle name="Currency 3 3 5" xfId="269" xr:uid="{905E6BCE-4F47-44CB-8ECD-AFF4085BD39D}"/>
    <cellStyle name="Currency 3 3 6" xfId="270" xr:uid="{86E94945-6081-4AF4-AE17-5AF025F86E87}"/>
    <cellStyle name="Currency 3 3 7" xfId="271" xr:uid="{C7F52DCD-076D-4852-AF67-88B7899A36C2}"/>
    <cellStyle name="Currency 4" xfId="14" xr:uid="{714CE30B-5459-425E-A64E-C47AA4D403FE}"/>
    <cellStyle name="Currency0" xfId="272" xr:uid="{A2085A96-9CD1-44A2-9062-3555AD78F412}"/>
    <cellStyle name="Currency0 2" xfId="273" xr:uid="{E6A09C7F-CBA8-4C7A-822F-6B3DB51FB67A}"/>
    <cellStyle name="Currency0 3" xfId="274" xr:uid="{1AAEC39E-61B4-448E-AB36-49717D28B91B}"/>
    <cellStyle name="Currency0 4" xfId="275" xr:uid="{B2B0E482-0347-4492-9ECD-4F9C60D14430}"/>
    <cellStyle name="Date" xfId="276" xr:uid="{5CC44994-DFE9-4FB1-8A3A-B9E3BAB78B53}"/>
    <cellStyle name="Date 2" xfId="277" xr:uid="{DC1ACBB8-EE08-4170-B8B7-68FD62B4D653}"/>
    <cellStyle name="Date 3" xfId="278" xr:uid="{8AE0B170-F09D-4786-B61F-E65EC57D8A7A}"/>
    <cellStyle name="Date 4" xfId="279" xr:uid="{6DA48A9C-57B0-4567-A3FE-836F8EF9FE52}"/>
    <cellStyle name="Euro" xfId="659" xr:uid="{3B9EB7D7-91E8-4363-8AD5-AAC74A10DA99}"/>
    <cellStyle name="Explanatory Text 2" xfId="280" xr:uid="{A4ACBF2B-A1FC-4C98-85D8-618B4A2A9492}"/>
    <cellStyle name="Fixed" xfId="281" xr:uid="{3B406B14-37A7-40F8-B158-60C6816158DD}"/>
    <cellStyle name="Fixed 2" xfId="282" xr:uid="{CE2EF738-8081-448E-B75D-B4621D6EBDF9}"/>
    <cellStyle name="Fixed 3" xfId="283" xr:uid="{3AA4C9B8-BC10-438C-A7C0-70A20B179ED5}"/>
    <cellStyle name="Fixed 4" xfId="284" xr:uid="{DF4A88C1-EAE5-4305-968B-34791FBD9D0C}"/>
    <cellStyle name="Good 2" xfId="285" xr:uid="{4BE521C7-C353-48CB-969C-58C3882F19C0}"/>
    <cellStyle name="Hand" xfId="660" xr:uid="{E7AB8FC6-3769-492C-A726-3042508DB350}"/>
    <cellStyle name="Heading 1 2" xfId="286" xr:uid="{427559A4-ED1A-45C1-8367-D24C3D2077C3}"/>
    <cellStyle name="Heading 2 2" xfId="287" xr:uid="{8A44E1A8-3C7A-415A-B9F0-77ED10DD0483}"/>
    <cellStyle name="Heading 3 2" xfId="288" xr:uid="{1E395F28-03CA-4574-BDD0-2E42F3D6F878}"/>
    <cellStyle name="Heading 4 2" xfId="289" xr:uid="{D54718EB-41F4-4B15-8A50-042F1EA60412}"/>
    <cellStyle name="Input 2" xfId="290" xr:uid="{0C99F52B-21A7-44E1-ADB2-052D45D5653E}"/>
    <cellStyle name="Linked Cell 2" xfId="291" xr:uid="{5008A559-0136-4860-B6FF-C265E7FDABA1}"/>
    <cellStyle name="Neutral 2" xfId="292" xr:uid="{AD00D59B-4560-4F67-BDD2-A239DFE07A84}"/>
    <cellStyle name="Normal" xfId="0" builtinId="0"/>
    <cellStyle name="Normal 10" xfId="293" xr:uid="{3723A20A-E230-4FE9-9A08-6CC9A92B527D}"/>
    <cellStyle name="Normal 10 10" xfId="294" xr:uid="{7DCC7967-96C0-4FDD-B054-3FB5F06A2D4F}"/>
    <cellStyle name="Normal 10 2" xfId="295" xr:uid="{5E80FD4A-CF0E-48EC-A86E-65AB16BADBCC}"/>
    <cellStyle name="Normal 10 2 2" xfId="296" xr:uid="{4F8AE1A8-D9C2-4DC4-8A36-CB39922DB657}"/>
    <cellStyle name="Normal 10 2 2 2" xfId="297" xr:uid="{0F5D3E25-8FE9-4DC3-BEDD-8DAF13AB681F}"/>
    <cellStyle name="Normal 10 2 2 2 2" xfId="298" xr:uid="{DA11CCFC-8846-4DCE-BE25-A3838DA31A1A}"/>
    <cellStyle name="Normal 10 2 2 3" xfId="299" xr:uid="{6F903180-D0D2-4A20-9E6D-C85886049F90}"/>
    <cellStyle name="Normal 10 2 3" xfId="300" xr:uid="{9496D263-C531-49E7-B265-C7C7B589309C}"/>
    <cellStyle name="Normal 10 2 3 2" xfId="301" xr:uid="{E12B16FD-9079-45C0-9F45-A02405924680}"/>
    <cellStyle name="Normal 10 2 3 2 2" xfId="302" xr:uid="{EE189FC1-FD0D-48A5-BCB9-C56A20556C00}"/>
    <cellStyle name="Normal 10 2 3 3" xfId="303" xr:uid="{2EBFABB9-DD6E-4C59-8307-8CDDD2A21A62}"/>
    <cellStyle name="Normal 10 2 4" xfId="304" xr:uid="{A5614B56-7DA4-4A5A-98E0-B11F479249F2}"/>
    <cellStyle name="Normal 10 2 4 2" xfId="305" xr:uid="{13D1F2D5-CC04-45FD-8138-6CC0CD785D05}"/>
    <cellStyle name="Normal 10 2 5" xfId="306" xr:uid="{78B17E59-0EBC-4917-AE76-10D3ED8619AF}"/>
    <cellStyle name="Normal 10 2 6" xfId="307" xr:uid="{8BCBC5E7-AD14-4694-B505-AE5FAD6ABB36}"/>
    <cellStyle name="Normal 10 2 7" xfId="308" xr:uid="{DC213E77-E285-4D4F-AA88-25FAD9B56D82}"/>
    <cellStyle name="Normal 10 3" xfId="15" xr:uid="{7921B52C-04ED-4842-9C41-EF0C7EF36E6B}"/>
    <cellStyle name="Normal 10 3 2" xfId="309" xr:uid="{31A4B724-9D72-46E3-BDCE-60E3D0A1D67E}"/>
    <cellStyle name="Normal 10 3 2 2" xfId="310" xr:uid="{5FC28317-E679-4A09-A424-655F72BA51FD}"/>
    <cellStyle name="Normal 10 3 3" xfId="311" xr:uid="{EF8AD1C2-2F2F-42A6-B704-ECF5F95658CC}"/>
    <cellStyle name="Normal 10 4" xfId="312" xr:uid="{7C2BEB14-8CD0-4E41-B00D-EA5FC6E5A0D4}"/>
    <cellStyle name="Normal 10 4 2" xfId="313" xr:uid="{FAA4D1AE-88D5-41B1-9523-19F5673E9B4F}"/>
    <cellStyle name="Normal 10 4 2 2" xfId="314" xr:uid="{C3653C14-BF25-4C7F-81E7-7CC71BE1B0D4}"/>
    <cellStyle name="Normal 10 4 3" xfId="315" xr:uid="{44EAC585-C273-456C-8251-FC63C0CFCD8E}"/>
    <cellStyle name="Normal 10 4 3 2" xfId="316" xr:uid="{EB03B96E-AD60-4AB2-9E9D-059AB69463C1}"/>
    <cellStyle name="Normal 10 4 4" xfId="317" xr:uid="{329A1792-9DC3-44E4-A0AD-ABA29D6C5F25}"/>
    <cellStyle name="Normal 10 5" xfId="318" xr:uid="{6DA71EEC-43B3-4E2B-9AB2-A7C599774D43}"/>
    <cellStyle name="Normal 10 5 2" xfId="319" xr:uid="{F3B0CB06-1FDC-4E6D-B5A8-7BD018847526}"/>
    <cellStyle name="Normal 10 5 2 2" xfId="320" xr:uid="{DA74E775-FB1E-4F91-BF22-3AB941B2BEC8}"/>
    <cellStyle name="Normal 10 5 3" xfId="321" xr:uid="{4EEED0F1-6299-47C5-B103-CD72AEFA9A03}"/>
    <cellStyle name="Normal 10 6" xfId="322" xr:uid="{6EB53299-D178-4D21-80D3-1F3BB2D6E6B6}"/>
    <cellStyle name="Normal 10 6 2" xfId="323" xr:uid="{6FC39C15-5CC4-48FA-93A9-7D55BFC92D5D}"/>
    <cellStyle name="Normal 10 6 2 2" xfId="324" xr:uid="{1195368F-5064-4294-8C42-FA72747EA0EA}"/>
    <cellStyle name="Normal 10 6 3" xfId="325" xr:uid="{F828D058-4216-4FEE-A5CB-AB121C943891}"/>
    <cellStyle name="Normal 10 7" xfId="326" xr:uid="{14D96B6A-9A03-40A2-8E56-81343BC9CF46}"/>
    <cellStyle name="Normal 10 7 2" xfId="327" xr:uid="{AF08EF3E-5412-4276-99F7-16165574E6C7}"/>
    <cellStyle name="Normal 10 8" xfId="328" xr:uid="{290A1271-93AC-493D-8E82-49DFBC54A15A}"/>
    <cellStyle name="Normal 10 9" xfId="329" xr:uid="{0440966F-8C17-4454-9D0B-B7B3019B2804}"/>
    <cellStyle name="Normal 11" xfId="330" xr:uid="{2618DFD6-04F1-4FDB-AD56-DFCD380B2DA2}"/>
    <cellStyle name="Normal 11 2" xfId="331" xr:uid="{CF7026D6-79E6-426E-BB36-CF8050EF47EE}"/>
    <cellStyle name="Normal 11 2 2" xfId="332" xr:uid="{3B52770E-D737-4271-94E8-2018BDCB0DE0}"/>
    <cellStyle name="Normal 11 2 2 2" xfId="333" xr:uid="{AC9BAD91-BCF8-4DD7-AAAE-FD6ED38FF252}"/>
    <cellStyle name="Normal 11 2 3" xfId="334" xr:uid="{4336391E-1FED-4344-968D-060CBC9D83A4}"/>
    <cellStyle name="Normal 11 3" xfId="335" xr:uid="{6EEE665C-B6BF-45E9-AAC0-66C973617AC2}"/>
    <cellStyle name="Normal 11 3 2" xfId="336" xr:uid="{045E1B3C-54A2-4DC1-A539-FDD6605523C7}"/>
    <cellStyle name="Normal 11 4" xfId="337" xr:uid="{95E040D4-9B1C-44BA-A8B6-1C04BC53C4C1}"/>
    <cellStyle name="Normal 12" xfId="338" xr:uid="{A003E9A1-E9FA-45F7-93FA-5F25CB5BFC9D}"/>
    <cellStyle name="Normal 12 2" xfId="339" xr:uid="{7218AE68-15C6-40C9-A1E9-5923864F0DE0}"/>
    <cellStyle name="Normal 12 2 2" xfId="340" xr:uid="{794BC073-AEBC-4897-973E-96F00C4A7A35}"/>
    <cellStyle name="Normal 12 2 2 2" xfId="341" xr:uid="{9A4963EC-5816-44B3-B361-76A15931650E}"/>
    <cellStyle name="Normal 12 2 3" xfId="342" xr:uid="{8536366E-4D65-4B3F-8C99-BFE25326DBA8}"/>
    <cellStyle name="Normal 12 3" xfId="343" xr:uid="{C2BCE8F1-25BE-44CB-B0A1-CDD92CEA4131}"/>
    <cellStyle name="Normal 12 3 2" xfId="344" xr:uid="{A9D2520C-7999-4C01-847C-8DD0473A90C8}"/>
    <cellStyle name="Normal 12 3 2 2" xfId="345" xr:uid="{031845DC-DED2-46DE-8207-7F6F6145ABD6}"/>
    <cellStyle name="Normal 12 3 3" xfId="346" xr:uid="{6A4CA72D-9C92-48CB-8A1C-BA12E6EC6789}"/>
    <cellStyle name="Normal 12 3 3 2" xfId="347" xr:uid="{7C4B38D4-6574-4A0A-9173-8FAF2C70D6B8}"/>
    <cellStyle name="Normal 12 3 4" xfId="348" xr:uid="{610FBB77-C743-4C33-B959-30704D32451F}"/>
    <cellStyle name="Normal 12 4" xfId="349" xr:uid="{428F335A-F1E4-4BE0-A629-84433CDF1938}"/>
    <cellStyle name="Normal 12 4 2" xfId="350" xr:uid="{0759E68C-F14D-4A0A-828E-D1B45687197E}"/>
    <cellStyle name="Normal 12 5" xfId="351" xr:uid="{546063F7-79BA-4FC1-B8AF-C1E3821DFEBD}"/>
    <cellStyle name="Normal 13" xfId="352" xr:uid="{7C431C4C-FF10-4C43-ACB7-D69A63798897}"/>
    <cellStyle name="Normal 13 2" xfId="16" xr:uid="{394842FE-BC6E-4AE3-AF27-811D8AFE3F42}"/>
    <cellStyle name="Normal 13 2 2" xfId="353" xr:uid="{57CC5CED-96A7-49D4-91AC-FDBEDFFCB7B8}"/>
    <cellStyle name="Normal 13 2 2 2" xfId="354" xr:uid="{BAFA8353-90DE-4233-91F3-C9CD8170CEC2}"/>
    <cellStyle name="Normal 13 2 3" xfId="355" xr:uid="{F6A1124C-240F-403D-8D03-FD09895E1914}"/>
    <cellStyle name="Normal 13 3" xfId="356" xr:uid="{3C86E4A6-2EED-4080-B8EB-82FC21ACCC00}"/>
    <cellStyle name="Normal 13 3 2" xfId="357" xr:uid="{E56DCF9D-11B9-43CD-A809-50FE52997C77}"/>
    <cellStyle name="Normal 13 4" xfId="358" xr:uid="{D6393FEE-3089-430E-B888-A01EC28A576D}"/>
    <cellStyle name="Normal 14" xfId="359" xr:uid="{4A92D893-68AD-4B72-B26B-D25B31387283}"/>
    <cellStyle name="Normal 14 2" xfId="360" xr:uid="{29034CDC-4BBC-4849-BA00-49CC3F480897}"/>
    <cellStyle name="Normal 14 2 2" xfId="361" xr:uid="{2D52B97A-E2AB-478B-A738-A13A299AD09A}"/>
    <cellStyle name="Normal 14 2 2 2" xfId="362" xr:uid="{A251D5A8-33A0-4BC3-BC03-C9B6438313CC}"/>
    <cellStyle name="Normal 14 2 3" xfId="363" xr:uid="{85807273-A06E-4186-81CE-AB966FAA7A36}"/>
    <cellStyle name="Normal 14 3" xfId="364" xr:uid="{82A8B254-5EDA-4CB0-9B43-CC6A20F2E68E}"/>
    <cellStyle name="Normal 14 3 2" xfId="365" xr:uid="{F6DB75DF-B91F-4100-AC6C-D08ED9FD2FBB}"/>
    <cellStyle name="Normal 14 4" xfId="366" xr:uid="{D63DA569-DA84-4514-9D31-778E0CDE6A2F}"/>
    <cellStyle name="Normal 15" xfId="367" xr:uid="{C1CDED92-53D3-4757-A23D-F776ABE6FD04}"/>
    <cellStyle name="Normal 15 2" xfId="368" xr:uid="{DA180CAC-8049-4A59-BD92-BB95F7D027ED}"/>
    <cellStyle name="Normal 15 2 2" xfId="369" xr:uid="{9C88DD18-75BD-4A7E-8B9B-7E7AF1C67D60}"/>
    <cellStyle name="Normal 15 2 2 2" xfId="370" xr:uid="{59C9A5B6-E8D6-4D87-9037-E9EEE7C2E1CA}"/>
    <cellStyle name="Normal 15 2 3" xfId="371" xr:uid="{859B28B3-CD3F-4855-B7A0-4E06227E245B}"/>
    <cellStyle name="Normal 15 3" xfId="372" xr:uid="{B5817616-7522-47C7-84A1-9F5F28BF6438}"/>
    <cellStyle name="Normal 15 3 2" xfId="373" xr:uid="{07EE32E7-FE96-417D-966E-CF9D02883793}"/>
    <cellStyle name="Normal 15 4" xfId="374" xr:uid="{13803B6A-2067-4DA1-8D80-E7EFA894A8BC}"/>
    <cellStyle name="Normal 16" xfId="375" xr:uid="{68F6C0FB-E4E6-409F-BDB8-4BF9EB9F67B2}"/>
    <cellStyle name="Normal 16 2" xfId="376" xr:uid="{B063FBF2-6434-43A9-8300-4CC0CABE3C4F}"/>
    <cellStyle name="Normal 16 2 2" xfId="377" xr:uid="{DB993DCA-0AA7-4B70-B244-84C1EC40A2C7}"/>
    <cellStyle name="Normal 16 3" xfId="378" xr:uid="{1F6EB3BD-2CDE-460A-BA79-094A02571F66}"/>
    <cellStyle name="Normal 17" xfId="379" xr:uid="{7BCAA58C-E204-4449-887F-8618328C9CB0}"/>
    <cellStyle name="Normal 17 2" xfId="380" xr:uid="{55303816-A3FF-4B87-9994-349586C1787C}"/>
    <cellStyle name="Normal 18" xfId="3" xr:uid="{3DA12068-BAE1-4829-AE1B-C36D8CBA0C12}"/>
    <cellStyle name="Normal 18 2" xfId="4" xr:uid="{F090F45C-6D09-482C-9B12-F8ACA81587B4}"/>
    <cellStyle name="Normal 2" xfId="13" xr:uid="{5018B829-E36C-4486-A6B8-F47DAF93A6A8}"/>
    <cellStyle name="Normal 2 2" xfId="5" xr:uid="{A92CE5D5-99EF-48F9-89F6-55FE7EF77149}"/>
    <cellStyle name="Normal 2 3" xfId="381" xr:uid="{F05DBD45-E191-4106-A0C8-170349DCD427}"/>
    <cellStyle name="Normal 2 4" xfId="11" xr:uid="{4ABFE4DC-D45A-4024-A9C2-8C016FA5D9FA}"/>
    <cellStyle name="Normal 2_03_BOQ_Liviero_final(1)" xfId="382" xr:uid="{385BF2CF-9539-430B-A6AF-E0FEA1D8F3F4}"/>
    <cellStyle name="Normal 3" xfId="383" xr:uid="{60800C26-B2B8-4A8F-8385-5C5A6D3A0ADC}"/>
    <cellStyle name="Normal 3 10" xfId="384" xr:uid="{9857560B-9250-4ACF-A4CD-4D43B24185FC}"/>
    <cellStyle name="Normal 3 11" xfId="385" xr:uid="{B82E9EE6-FBCD-4523-B979-0D2694FBCAC9}"/>
    <cellStyle name="Normal 3 12" xfId="386" xr:uid="{4E997203-8E88-48E7-8D47-E0C9D88A890F}"/>
    <cellStyle name="Normal 3 2" xfId="387" xr:uid="{D383F245-FCCF-4E38-8A57-0AEFE89276FC}"/>
    <cellStyle name="Normal 3 2 2" xfId="388" xr:uid="{11FD8E4D-232D-4870-AA92-07377839A3E3}"/>
    <cellStyle name="Normal 3 2 3" xfId="389" xr:uid="{12252C94-FCD2-436F-8C13-829D21DC6182}"/>
    <cellStyle name="Normal 3 2 3 2" xfId="390" xr:uid="{BC997E64-20D0-4BA0-9558-9578B0300AEB}"/>
    <cellStyle name="Normal 3 2 3 2 2" xfId="391" xr:uid="{E3078A37-0AFB-4DE1-8E80-3630D9080E52}"/>
    <cellStyle name="Normal 3 2 3 3" xfId="392" xr:uid="{60B69F71-97AC-46D6-B23C-029A57172968}"/>
    <cellStyle name="Normal 3 2 4" xfId="393" xr:uid="{F9E4AAF4-9884-440C-AACB-69FF14501848}"/>
    <cellStyle name="Normal 3 2 4 2" xfId="394" xr:uid="{565B241E-3804-412F-B163-63E16949F3B8}"/>
    <cellStyle name="Normal 3 2 4 2 2" xfId="395" xr:uid="{43543795-FBE9-4335-B258-DADDED4C1DB2}"/>
    <cellStyle name="Normal 3 2 4 3" xfId="396" xr:uid="{4A6363A1-7A2F-44E0-9938-ED4CE823A6D2}"/>
    <cellStyle name="Normal 3 2 5" xfId="397" xr:uid="{7A5CEA9E-1764-43A7-AB00-D78D8A0EA0DF}"/>
    <cellStyle name="Normal 3 2 5 2" xfId="398" xr:uid="{E9ACAA92-9BA2-4E67-8916-60A270245B17}"/>
    <cellStyle name="Normal 3 2 5 2 2" xfId="399" xr:uid="{BD66FBBF-FE92-424F-8EBC-DB6A77351084}"/>
    <cellStyle name="Normal 3 2 5 3" xfId="400" xr:uid="{9130976C-35B7-4D00-9447-9269065F1053}"/>
    <cellStyle name="Normal 3 2 6" xfId="401" xr:uid="{7B10A3DB-B217-4B60-91AC-49B25D5D749C}"/>
    <cellStyle name="Normal 3 2 6 2" xfId="402" xr:uid="{4C3AB103-CC4C-44E3-ABE2-DAA2153E0428}"/>
    <cellStyle name="Normal 3 2 7" xfId="403" xr:uid="{A119F259-D155-47DA-A5CE-D176D069C02C}"/>
    <cellStyle name="Normal 3 2 8" xfId="404" xr:uid="{DB932247-DD5D-418E-83D5-2B7F2B047F87}"/>
    <cellStyle name="Normal 3 2 9" xfId="405" xr:uid="{2C366D5E-D543-46B6-B289-48DDCCD75E3F}"/>
    <cellStyle name="Normal 3 3" xfId="406" xr:uid="{449B4A51-9A39-4EA5-9617-73B019D7E020}"/>
    <cellStyle name="Normal 3 4" xfId="407" xr:uid="{34E8F863-8EF3-4523-81BB-094E96B59EA1}"/>
    <cellStyle name="Normal 3 5" xfId="408" xr:uid="{7F64C1AE-DEB3-4D04-9508-E7E0F7E4A66A}"/>
    <cellStyle name="Normal 3 6" xfId="409" xr:uid="{2084D1BF-3CDE-4A17-BE1E-EB6CA283BA52}"/>
    <cellStyle name="Normal 3 6 2" xfId="410" xr:uid="{407014EF-63DA-4F19-9132-A8CFC7952616}"/>
    <cellStyle name="Normal 3 6 2 2" xfId="411" xr:uid="{69400E49-2A9C-436D-B9BF-3B079226A905}"/>
    <cellStyle name="Normal 3 6 2 2 2" xfId="412" xr:uid="{A802A9FF-04CB-41D5-B30F-1C8E45E4E27E}"/>
    <cellStyle name="Normal 3 6 2 3" xfId="413" xr:uid="{57273824-F870-473F-AA98-DD00B8B33E9C}"/>
    <cellStyle name="Normal 3 6 3" xfId="414" xr:uid="{063EA33A-F90F-40F6-9CF1-EDE114124ADA}"/>
    <cellStyle name="Normal 3 6 3 2" xfId="415" xr:uid="{CB0FB46C-C7CC-48F1-85FF-AFCE5F7ACC43}"/>
    <cellStyle name="Normal 3 6 3 2 2" xfId="416" xr:uid="{68CEE586-0F71-4A02-9B99-7C90F89B625D}"/>
    <cellStyle name="Normal 3 6 3 3" xfId="417" xr:uid="{91DA1750-4FBB-4825-BAFE-D0BA962EF594}"/>
    <cellStyle name="Normal 3 6 4" xfId="418" xr:uid="{7DE0D9BB-11EA-4163-8C00-67CEDE30EB84}"/>
    <cellStyle name="Normal 3 6 4 2" xfId="419" xr:uid="{54D68FD0-5618-420B-B80C-F846868CC561}"/>
    <cellStyle name="Normal 3 6 5" xfId="420" xr:uid="{D1E984F3-3D20-46EC-ACD8-D2FA2EA9B673}"/>
    <cellStyle name="Normal 3 6 6" xfId="421" xr:uid="{79A3F30A-9CE1-4FB8-8A66-FD2ED444A388}"/>
    <cellStyle name="Normal 3 6 7" xfId="422" xr:uid="{97D3CBB7-735F-411B-926F-9315FF12CFB8}"/>
    <cellStyle name="Normal 3 7" xfId="423" xr:uid="{331037CB-646B-47D1-A422-CF19BBB43B1C}"/>
    <cellStyle name="Normal 3 7 2" xfId="424" xr:uid="{8DBF7651-C849-42D2-B023-AE52C125EB4B}"/>
    <cellStyle name="Normal 3 7 2 2" xfId="425" xr:uid="{AA0474DD-7BC2-45A1-8737-4579A22B8D85}"/>
    <cellStyle name="Normal 3 7 3" xfId="426" xr:uid="{E18482E5-9A41-461A-A088-5E78A0316134}"/>
    <cellStyle name="Normal 3 8" xfId="427" xr:uid="{129114AA-2D01-489C-AF7E-82CC22B7B06A}"/>
    <cellStyle name="Normal 3 8 2" xfId="428" xr:uid="{31B2CAFF-8685-48E8-920E-9A68D9747F9F}"/>
    <cellStyle name="Normal 3 8 2 2" xfId="429" xr:uid="{E83F3B78-B530-424C-A1BF-FDB5D0D671B3}"/>
    <cellStyle name="Normal 3 8 3" xfId="430" xr:uid="{1378CF6D-1662-46B7-BE22-B8238A674392}"/>
    <cellStyle name="Normal 3 9" xfId="431" xr:uid="{7822086A-F0BD-40FA-81E3-EA2E82B9E49F}"/>
    <cellStyle name="Normal 3 9 2" xfId="432" xr:uid="{2477DBEC-49CF-459E-B2A6-1DC8610E1915}"/>
    <cellStyle name="Normal 4" xfId="7" xr:uid="{52FAD6B6-8790-46B6-8F7E-4BD1DA00F4A3}"/>
    <cellStyle name="Normal 4 2" xfId="433" xr:uid="{66EE3E95-BA69-4B45-9D0C-E8C5CAA5025D}"/>
    <cellStyle name="Normal 4 2 2" xfId="434" xr:uid="{B43808C0-09A9-467F-8683-369AAE9222F5}"/>
    <cellStyle name="Normal 4 2 3" xfId="435" xr:uid="{59E838E9-1979-4A09-884B-1D4DC499375E}"/>
    <cellStyle name="Normal 4 2 4" xfId="436" xr:uid="{BFBEB40A-55FD-413E-9528-A1CCA5084335}"/>
    <cellStyle name="Normal 4 2 4 2" xfId="437" xr:uid="{B7CB8A34-F94A-4F32-B3B6-69A1A55FA163}"/>
    <cellStyle name="Normal 4 2 4 2 2" xfId="438" xr:uid="{E00EA7C4-4024-4305-A228-1F03B8189112}"/>
    <cellStyle name="Normal 4 2 4 3" xfId="439" xr:uid="{3B4724E4-2EAD-4895-AD5A-BC677EDDF69E}"/>
    <cellStyle name="Normal 4 2 5" xfId="440" xr:uid="{A8E1DA31-63E4-4A49-87AE-315698DCFEEA}"/>
    <cellStyle name="Normal 4 2 5 2" xfId="441" xr:uid="{1E7B71F3-7148-46E7-BACE-D29AF2D2E7CD}"/>
    <cellStyle name="Normal 4 2 5 2 2" xfId="442" xr:uid="{4BBFF883-AE78-4C47-8963-17305BBFACCD}"/>
    <cellStyle name="Normal 4 2 5 3" xfId="443" xr:uid="{0C41B23B-9C12-431B-A30C-D69377172969}"/>
    <cellStyle name="Normal 4 2 6" xfId="444" xr:uid="{7D844C8B-1F80-4ACE-B49A-ADDA244783FC}"/>
    <cellStyle name="Normal 4 2 6 2" xfId="445" xr:uid="{884656BB-7D00-4498-A1A6-6933DA3DE9AD}"/>
    <cellStyle name="Normal 4 2 7" xfId="446" xr:uid="{F5F63456-5B32-43B4-B608-504E12634358}"/>
    <cellStyle name="Normal 4 2 8" xfId="447" xr:uid="{4F751FC3-A571-409F-B417-7A96AAB258E8}"/>
    <cellStyle name="Normal 4 2 9" xfId="448" xr:uid="{49314535-91FC-4FD5-8E98-DB7CA62C09E2}"/>
    <cellStyle name="Normal 4 3" xfId="449" xr:uid="{D0BB71B9-35FA-4EC8-A564-BD31C888B91B}"/>
    <cellStyle name="Normal 4 4" xfId="450" xr:uid="{D7580C77-D96C-4715-94E6-8233C49E9843}"/>
    <cellStyle name="Normal 4 5" xfId="451" xr:uid="{D8F32A4A-0814-4DB9-90F5-3282866D3ECF}"/>
    <cellStyle name="Normal 4 5 2" xfId="452" xr:uid="{6AA90B38-7E6E-4584-9676-411BC3C1D415}"/>
    <cellStyle name="Normal 4 5 2 2" xfId="453" xr:uid="{503536BF-2FB7-4D42-B608-799B0F60D6EF}"/>
    <cellStyle name="Normal 4 5 2 2 2" xfId="454" xr:uid="{A22F541B-FE6B-484E-B9BE-46A0F0E25516}"/>
    <cellStyle name="Normal 4 5 2 3" xfId="455" xr:uid="{944E70F1-1A29-49F0-89E5-8EBB6697EFE9}"/>
    <cellStyle name="Normal 4 5 3" xfId="456" xr:uid="{C25AD7EA-75B7-49B7-A5D4-13B7266C4BC9}"/>
    <cellStyle name="Normal 4 5 3 2" xfId="457" xr:uid="{F9562202-5228-4153-B595-145DA5C82472}"/>
    <cellStyle name="Normal 4 5 3 2 2" xfId="458" xr:uid="{37630B7E-F469-4E47-8312-2B69DAAFFDFC}"/>
    <cellStyle name="Normal 4 5 3 3" xfId="459" xr:uid="{648392C6-1CB2-42B9-A727-73ADF92BE787}"/>
    <cellStyle name="Normal 4 5 4" xfId="460" xr:uid="{99C84B74-193A-45F7-8C8F-6CEC75D212B1}"/>
    <cellStyle name="Normal 4 5 4 2" xfId="461" xr:uid="{5F7EC297-67F5-4423-AF08-3012E5C2E5A5}"/>
    <cellStyle name="Normal 4 5 5" xfId="462" xr:uid="{9AA04D02-6830-4ACE-B9A9-5837D148233E}"/>
    <cellStyle name="Normal 4 5 6" xfId="463" xr:uid="{79BEAF6A-1FF6-479B-B7DD-6C98DF7112E8}"/>
    <cellStyle name="Normal 4 5 7" xfId="464" xr:uid="{8ADE4E25-CA3D-4B0E-8E27-01041F98DB0F}"/>
    <cellStyle name="Normal 5" xfId="465" xr:uid="{E56CD41D-AE0C-417D-BA3B-8E4DBFDAC83E}"/>
    <cellStyle name="Normal 5 2" xfId="466" xr:uid="{A4E055F8-6459-4EEB-9DBE-37F30F8E6529}"/>
    <cellStyle name="Normal 5 2 2" xfId="467" xr:uid="{57A05B8D-EB23-4981-B29B-4C9036A1179E}"/>
    <cellStyle name="Normal 5 2 2 2" xfId="468" xr:uid="{843B13E6-291A-4238-B1EB-A7121790AAE3}"/>
    <cellStyle name="Normal 5 2 2 2 2" xfId="469" xr:uid="{BB9CFEB2-AF78-4602-B039-0F77E44D26D1}"/>
    <cellStyle name="Normal 5 2 2 3" xfId="470" xr:uid="{33EA2E91-431A-4390-92F7-DA915AD77A63}"/>
    <cellStyle name="Normal 5 2 3" xfId="471" xr:uid="{97BFC4CE-A36B-4241-A7E1-984581FFE94B}"/>
    <cellStyle name="Normal 5 2 3 2" xfId="472" xr:uid="{2F103367-C822-4798-BBA2-F0BEAD49E684}"/>
    <cellStyle name="Normal 5 2 3 2 2" xfId="473" xr:uid="{831E62C1-BBA9-426B-9C89-F41A3E495B67}"/>
    <cellStyle name="Normal 5 2 3 3" xfId="474" xr:uid="{FE3C787B-879D-4705-8477-783655CB6AC0}"/>
    <cellStyle name="Normal 5 2 4" xfId="475" xr:uid="{826378E4-7565-4A54-B6E4-8DB53C2F37A1}"/>
    <cellStyle name="Normal 5 2 4 2" xfId="476" xr:uid="{F60053D2-2F8C-4FAD-8016-58B1EA0CAD5B}"/>
    <cellStyle name="Normal 5 2 5" xfId="477" xr:uid="{87CCEFD1-95B4-4166-9C3A-7977B061D73D}"/>
    <cellStyle name="Normal 5 2 6" xfId="478" xr:uid="{05DE3B8E-AFC4-4420-A9A9-8D417D3E671A}"/>
    <cellStyle name="Normal 5 2 7" xfId="479" xr:uid="{D32E942F-9883-466F-ABDA-F02265503BD9}"/>
    <cellStyle name="Normal 5 3" xfId="480" xr:uid="{9F00989D-91C1-4A4D-949E-173ACB674382}"/>
    <cellStyle name="Normal 5 3 2" xfId="481" xr:uid="{29DA8FBA-47DD-4BF7-ADBB-B1265C07A7C7}"/>
    <cellStyle name="Normal 5 3 2 2" xfId="482" xr:uid="{92E64BB6-E490-4214-9F23-A8012B345A20}"/>
    <cellStyle name="Normal 5 3 2 2 2" xfId="483" xr:uid="{2BDBEABF-0E21-4201-AA66-AA18C6874331}"/>
    <cellStyle name="Normal 5 3 2 3" xfId="484" xr:uid="{D777A680-6C27-4858-96B8-5ABF1449AA04}"/>
    <cellStyle name="Normal 5 3 3" xfId="485" xr:uid="{4722B8ED-4178-4FF9-A2DD-C1EBECA0C5E6}"/>
    <cellStyle name="Normal 5 3 3 2" xfId="486" xr:uid="{12819408-4933-41CE-A605-F0521A3C24CB}"/>
    <cellStyle name="Normal 5 3 3 2 2" xfId="487" xr:uid="{EBB9025C-634D-455D-B439-7CB6F0CA9EBD}"/>
    <cellStyle name="Normal 5 3 3 3" xfId="488" xr:uid="{60E915B8-8D40-40B2-A6AE-FC9F2C0E4DB7}"/>
    <cellStyle name="Normal 5 3 4" xfId="489" xr:uid="{FBA5E1D4-7326-4BBC-9753-18638A0D47B8}"/>
    <cellStyle name="Normal 5 3 4 2" xfId="490" xr:uid="{25F43F66-2840-4DE0-9F47-F469E675D745}"/>
    <cellStyle name="Normal 5 3 5" xfId="491" xr:uid="{8D1F69D9-ACFC-47C0-86E0-D1B9EF225E22}"/>
    <cellStyle name="Normal 5 3 6" xfId="492" xr:uid="{AB04BAB1-F596-49FB-8D3E-822ECD725783}"/>
    <cellStyle name="Normal 5 3 7" xfId="493" xr:uid="{F05BA78C-7A28-4C77-925D-CC8570BB8533}"/>
    <cellStyle name="Normal 6" xfId="494" xr:uid="{433DF2F7-7BDD-4548-825A-9EDD371D6121}"/>
    <cellStyle name="Normal 6 2" xfId="495" xr:uid="{E23DF68F-D3BE-4844-AF85-FD816ACB991A}"/>
    <cellStyle name="Normal 6 2 2" xfId="496" xr:uid="{C9357BE6-4374-4A80-8126-6241BDD8C569}"/>
    <cellStyle name="Normal 6 2 2 2" xfId="497" xr:uid="{C31EB5B5-1C86-4D67-B190-BDEE99D221CF}"/>
    <cellStyle name="Normal 6 2 2 2 2" xfId="498" xr:uid="{848D1A75-5A30-4589-B234-99C146DB9EAF}"/>
    <cellStyle name="Normal 6 2 2 3" xfId="499" xr:uid="{F41C060A-2D03-4148-ABD7-95E5E72ADB02}"/>
    <cellStyle name="Normal 6 2 3" xfId="500" xr:uid="{D6E0D3D9-A546-44D1-A5E8-42EB07026EA1}"/>
    <cellStyle name="Normal 6 2 3 2" xfId="501" xr:uid="{BDDBFEEA-B4C5-4E79-9529-E7AEDFC4868B}"/>
    <cellStyle name="Normal 6 2 3 2 2" xfId="502" xr:uid="{1070CE5B-826F-4A80-AE80-563D7D5B7165}"/>
    <cellStyle name="Normal 6 2 3 3" xfId="503" xr:uid="{66E1D7AD-22A0-445F-B413-12E4A17B9B68}"/>
    <cellStyle name="Normal 6 2 4" xfId="504" xr:uid="{29E3057F-EBD4-4997-B75B-90946AE8A257}"/>
    <cellStyle name="Normal 6 2 4 2" xfId="505" xr:uid="{5F7F6669-D8A1-4564-89CC-612FB4C6AB4F}"/>
    <cellStyle name="Normal 6 2 5" xfId="506" xr:uid="{D81E473A-1670-4007-8F2A-9E329E4642F5}"/>
    <cellStyle name="Normal 6 2 6" xfId="507" xr:uid="{C433F358-338B-43F2-A104-F423B3F47D0F}"/>
    <cellStyle name="Normal 6 2 7" xfId="508" xr:uid="{1AAF9E9F-8F02-4E03-9529-3208930DF2DE}"/>
    <cellStyle name="Normal 6 3" xfId="509" xr:uid="{D658734A-96DF-4DF4-8F04-B4977BAFF1D4}"/>
    <cellStyle name="Normal 6 3 2" xfId="510" xr:uid="{E94FFDCE-F0AA-4BD5-A1D7-670E7C2455EE}"/>
    <cellStyle name="Normal 6 3 2 2" xfId="511" xr:uid="{DD01712F-5C29-4529-83C0-4145EB9070A2}"/>
    <cellStyle name="Normal 6 3 3" xfId="512" xr:uid="{53685441-60C9-4B69-A352-747B9451089B}"/>
    <cellStyle name="Normal 6 4" xfId="513" xr:uid="{E28AB5A6-6F44-44B4-A6FB-9A0E7422B606}"/>
    <cellStyle name="Normal 6 4 2" xfId="514" xr:uid="{84DD8F99-CDD8-49C1-8AD1-2080CFC28D1F}"/>
    <cellStyle name="Normal 6 4 2 2" xfId="515" xr:uid="{92BCB365-4B46-4F97-9488-12EF1092AE59}"/>
    <cellStyle name="Normal 6 4 3" xfId="516" xr:uid="{D341EE2F-6B3C-4FA4-A0F9-8981669FDC80}"/>
    <cellStyle name="Normal 6 5" xfId="517" xr:uid="{C4962E93-39B7-4BA2-B43B-F567DC9A1898}"/>
    <cellStyle name="Normal 6 5 2" xfId="518" xr:uid="{359B55CB-2FB1-4BCB-BDEE-C62C3733447C}"/>
    <cellStyle name="Normal 6 6" xfId="519" xr:uid="{9292304D-E67B-41EA-AA8F-09366D58D1A5}"/>
    <cellStyle name="Normal 6 7" xfId="520" xr:uid="{83076FE6-F774-40DA-90B6-3A82FB11C7FA}"/>
    <cellStyle name="Normal 6 8" xfId="521" xr:uid="{5CAC21B0-B310-46FC-89D2-86565152D935}"/>
    <cellStyle name="Normal 7" xfId="522" xr:uid="{50891B42-15E6-45F4-821E-05D26F5A5700}"/>
    <cellStyle name="Normal 7 2" xfId="523" xr:uid="{88AC0A32-0DD1-4577-B1A1-A799C35E5A87}"/>
    <cellStyle name="Normal 7 2 2" xfId="524" xr:uid="{F00CC6B5-4F02-44AA-ABFF-E61BB4A8D68A}"/>
    <cellStyle name="Normal 7 2 2 2" xfId="525" xr:uid="{050F9E64-02E8-4A64-AAB8-256FEED29BCC}"/>
    <cellStyle name="Normal 7 2 2 2 2" xfId="526" xr:uid="{DF8DF5CD-3C82-42FF-B6A0-6924D5C91FDB}"/>
    <cellStyle name="Normal 7 2 2 3" xfId="527" xr:uid="{05A865EC-CAD6-49DF-A5A9-F0A4A00178BB}"/>
    <cellStyle name="Normal 7 2 3" xfId="528" xr:uid="{7C597FF7-5911-4671-8F78-E59E7448C8A3}"/>
    <cellStyle name="Normal 7 2 3 2" xfId="529" xr:uid="{C9ADAD7C-4138-4D39-A4D9-8E1462D45CF9}"/>
    <cellStyle name="Normal 7 2 3 2 2" xfId="530" xr:uid="{4A035261-7654-4F30-A55E-19523A99DEBA}"/>
    <cellStyle name="Normal 7 2 3 3" xfId="531" xr:uid="{9D10BDB9-AB60-4025-9A1C-AC540282ABB9}"/>
    <cellStyle name="Normal 7 2 4" xfId="532" xr:uid="{E90F3A5F-4B8D-49C1-9438-38D44546C984}"/>
    <cellStyle name="Normal 7 2 4 2" xfId="533" xr:uid="{05F1A78F-812D-4B9D-8297-DB40F6C053F0}"/>
    <cellStyle name="Normal 7 2 5" xfId="534" xr:uid="{ACEA685B-CDE9-430F-AE0E-DAFB32042719}"/>
    <cellStyle name="Normal 7 2 6" xfId="535" xr:uid="{BD44DA4E-1D37-498C-9C71-21CB3A1655A7}"/>
    <cellStyle name="Normal 7 2 7" xfId="536" xr:uid="{73AC8718-A7B4-4C82-91CA-BD8089DE167B}"/>
    <cellStyle name="Normal 7 3" xfId="537" xr:uid="{4F6FC5BA-1C54-4E04-8628-F4397F5A336D}"/>
    <cellStyle name="Normal 7 3 2" xfId="538" xr:uid="{B6BF9B98-9D1E-4544-BD0C-B0315795B08D}"/>
    <cellStyle name="Normal 7 3 2 2" xfId="539" xr:uid="{1986CBC5-E200-4D85-B0BA-D118F71DCDF8}"/>
    <cellStyle name="Normal 7 3 3" xfId="540" xr:uid="{856A2B4A-3178-4933-9CFB-278D213D0553}"/>
    <cellStyle name="Normal 7 4" xfId="541" xr:uid="{43C45FE9-4D26-43AB-82E0-E0C7696BC5AD}"/>
    <cellStyle name="Normal 7 4 2" xfId="542" xr:uid="{FC925908-0A91-4E33-9152-3B511A9B5687}"/>
    <cellStyle name="Normal 7 4 2 2" xfId="543" xr:uid="{32504412-A99A-46D5-B051-3E6B7CF53EFB}"/>
    <cellStyle name="Normal 7 4 3" xfId="544" xr:uid="{35C1DE21-039C-40BA-9D23-1BD3045AD685}"/>
    <cellStyle name="Normal 7 5" xfId="545" xr:uid="{94B50879-B957-4269-AA00-8134ED36D118}"/>
    <cellStyle name="Normal 7 5 2" xfId="546" xr:uid="{AE088E10-5F9A-438C-8B16-A5410DD3DED5}"/>
    <cellStyle name="Normal 7 6" xfId="547" xr:uid="{239B6434-FC16-4A4B-9476-4ECACA9C41AB}"/>
    <cellStyle name="Normal 7 7" xfId="548" xr:uid="{0A0B3F24-3D35-4AC2-AD92-0939152464C2}"/>
    <cellStyle name="Normal 7 8" xfId="549" xr:uid="{22F16A39-F562-42A7-8DE1-6361B1A258B9}"/>
    <cellStyle name="Normal 8" xfId="550" xr:uid="{E1846E8E-BA4A-40A3-BF55-418B78DFA62D}"/>
    <cellStyle name="Normal 8 2" xfId="551" xr:uid="{15DC35B0-AC3C-4C17-884E-B4988055084C}"/>
    <cellStyle name="Normal 8 2 2" xfId="552" xr:uid="{2738540E-F214-489D-97FC-48DC6B1BCE2E}"/>
    <cellStyle name="Normal 8 2 2 2" xfId="553" xr:uid="{E78E74E0-2E3B-449F-B98A-349E56370711}"/>
    <cellStyle name="Normal 8 2 2 2 2" xfId="554" xr:uid="{E52502C1-5BE7-497A-A52C-9B0562A1070C}"/>
    <cellStyle name="Normal 8 2 2 3" xfId="555" xr:uid="{6E550006-C2FF-42B7-B98A-248D06070362}"/>
    <cellStyle name="Normal 8 2 3" xfId="556" xr:uid="{EB1D39B3-08D3-4296-97A5-F6F9EA212398}"/>
    <cellStyle name="Normal 8 2 3 2" xfId="557" xr:uid="{661F8ADE-A3C9-4A93-B536-F18D51240867}"/>
    <cellStyle name="Normal 8 2 3 2 2" xfId="558" xr:uid="{2A087096-50AE-4A77-927C-FB3E28E718B5}"/>
    <cellStyle name="Normal 8 2 3 3" xfId="559" xr:uid="{950DB0E6-1F3A-4231-AC7B-5E0ACD073235}"/>
    <cellStyle name="Normal 8 2 4" xfId="560" xr:uid="{A9A06C7B-64B5-4FC4-ADF0-1CEDF6F38480}"/>
    <cellStyle name="Normal 8 2 4 2" xfId="561" xr:uid="{7080792A-424C-422A-A4F3-F1B499A123EF}"/>
    <cellStyle name="Normal 8 2 5" xfId="562" xr:uid="{AD403B89-8C15-463B-8303-D57E9774C7C6}"/>
    <cellStyle name="Normal 8 2 6" xfId="563" xr:uid="{DEE3AEEF-E563-4194-8B42-8DFF36128B7B}"/>
    <cellStyle name="Normal 8 2 7" xfId="564" xr:uid="{19F6596C-7CEE-4DE5-9EE5-88EF072C585C}"/>
    <cellStyle name="Normal 8 3" xfId="565" xr:uid="{89D94653-3DBD-4723-A48B-8E9597C860BD}"/>
    <cellStyle name="Normal 8 3 2" xfId="566" xr:uid="{FB06284C-E647-45C2-90D3-9CCDA061169E}"/>
    <cellStyle name="Normal 8 3 2 2" xfId="567" xr:uid="{88A1935E-158B-4BCC-8F59-6695D96167D2}"/>
    <cellStyle name="Normal 8 3 3" xfId="568" xr:uid="{1CD17580-F9A0-4341-A97B-95BE460D0B83}"/>
    <cellStyle name="Normal 8 4" xfId="569" xr:uid="{E15E12F4-32E5-43BF-915B-7CDDE89110F4}"/>
    <cellStyle name="Normal 8 4 2" xfId="570" xr:uid="{17046917-DB78-47C4-A124-E22CC7A1176E}"/>
    <cellStyle name="Normal 8 4 2 2" xfId="571" xr:uid="{88A25ED0-3161-4149-92C2-4F377EBA09AC}"/>
    <cellStyle name="Normal 8 4 3" xfId="572" xr:uid="{4B8929F1-0633-43EF-930A-89D0EE8C40F1}"/>
    <cellStyle name="Normal 8 5" xfId="573" xr:uid="{91ECDB72-3C8E-45BA-9189-EFEF463E5A11}"/>
    <cellStyle name="Normal 8 5 2" xfId="574" xr:uid="{19239F31-3E02-4BC4-8D66-89E646EC4609}"/>
    <cellStyle name="Normal 8 6" xfId="575" xr:uid="{A76FA24E-94C2-4A9C-BCD0-304DE0F6C80C}"/>
    <cellStyle name="Normal 8 7" xfId="576" xr:uid="{B17E85BA-C751-4BA7-B87C-7E42B5AB687E}"/>
    <cellStyle name="Normal 8 8" xfId="577" xr:uid="{5AFCCFF5-EC30-48AA-A37B-E11BCD3076E7}"/>
    <cellStyle name="Normal 9" xfId="578" xr:uid="{B846F48E-F432-435B-B63C-8C04B78D2BA3}"/>
    <cellStyle name="Normal 9 2" xfId="579" xr:uid="{E854862F-6880-4946-B701-FB3FE3D4967A}"/>
    <cellStyle name="Normal 9 2 2" xfId="580" xr:uid="{C40D7E49-F38F-418F-94F6-E12E4605A52F}"/>
    <cellStyle name="Normal 9 2 2 2" xfId="581" xr:uid="{6284D530-57BE-4C6B-9EA9-BAE871EAAED1}"/>
    <cellStyle name="Normal 9 2 2 2 2" xfId="582" xr:uid="{E15396D1-CF0D-4E99-A7DB-AD370BE8528B}"/>
    <cellStyle name="Normal 9 2 2 3" xfId="583" xr:uid="{4DA50F68-A2C4-4B7B-BFA8-AF9222CA4128}"/>
    <cellStyle name="Normal 9 2 3" xfId="584" xr:uid="{C27AAF43-7735-4134-968A-151327976B6F}"/>
    <cellStyle name="Normal 9 2 3 2" xfId="585" xr:uid="{38B3EDE3-6C21-418C-AC93-CCB124AC8367}"/>
    <cellStyle name="Normal 9 2 3 2 2" xfId="586" xr:uid="{1F246B7E-10E0-44F8-AE18-66BF0419FA7E}"/>
    <cellStyle name="Normal 9 2 3 3" xfId="587" xr:uid="{3088B474-34A8-4769-8883-382EFF711C5D}"/>
    <cellStyle name="Normal 9 2 4" xfId="588" xr:uid="{E0A86A98-4F9E-4E04-961B-7704F721B2FE}"/>
    <cellStyle name="Normal 9 2 4 2" xfId="589" xr:uid="{C99351FB-3932-4C93-A82A-5E2FA09EC5ED}"/>
    <cellStyle name="Normal 9 2 5" xfId="590" xr:uid="{44E54B0D-146F-4369-BB7C-0EC0433F24A6}"/>
    <cellStyle name="Normal 9 2 6" xfId="591" xr:uid="{8B7AC384-4167-44F2-963E-4DEE8B8B4BE3}"/>
    <cellStyle name="Normal 9 2 7" xfId="592" xr:uid="{44E0311A-03BB-48AF-9B29-1C248F879E31}"/>
    <cellStyle name="Normal 9 3" xfId="593" xr:uid="{B2542B0A-8F0E-4086-AC78-669947DD3AED}"/>
    <cellStyle name="Normal 9 3 2" xfId="594" xr:uid="{11C90CC3-E663-4128-BE86-0609EDC6BE6A}"/>
    <cellStyle name="Normal 9 3 2 2" xfId="595" xr:uid="{51FF1EF5-534C-4708-A26C-122FAD5EB3C0}"/>
    <cellStyle name="Normal 9 3 3" xfId="596" xr:uid="{2792E6E8-72C1-4C0E-8B40-185DD4A07BF0}"/>
    <cellStyle name="Normal 9 4" xfId="597" xr:uid="{386FCBB0-E2CA-4A24-B3D8-F17648A8520E}"/>
    <cellStyle name="Normal 9 4 2" xfId="598" xr:uid="{409CD9B4-F81F-40EC-B643-E2E9853EA10A}"/>
    <cellStyle name="Normal 9 4 2 2" xfId="599" xr:uid="{B07D3025-63E6-4438-87C0-E289FE170C78}"/>
    <cellStyle name="Normal 9 4 3" xfId="600" xr:uid="{5CCB5046-92B4-42F8-B653-FE832E03EBC0}"/>
    <cellStyle name="Normal 9 5" xfId="601" xr:uid="{5A8712E0-8928-4015-A934-F93C0687782E}"/>
    <cellStyle name="Normal 9 5 2" xfId="602" xr:uid="{91572113-1696-425F-A8FF-97C8C2F24EF1}"/>
    <cellStyle name="Normal 9 6" xfId="603" xr:uid="{BED3F808-A97F-4098-A462-6F1FA99AC363}"/>
    <cellStyle name="Normal 9 7" xfId="604" xr:uid="{3BAD1682-5034-4296-9DC6-7B2501965CF5}"/>
    <cellStyle name="Normal 9 8" xfId="605" xr:uid="{197C249C-D918-4C4F-8CB6-3674A79FF169}"/>
    <cellStyle name="Normal_Sheet1" xfId="10" xr:uid="{696A1A35-0B9B-4259-9300-7A4119D124DE}"/>
    <cellStyle name="Note 2" xfId="606" xr:uid="{AD0EA0E3-2595-4CB3-AC73-4CE2D5BBCAAC}"/>
    <cellStyle name="Note 2 2" xfId="607" xr:uid="{D4EDFF2F-3F05-4DF7-B275-C763999149A8}"/>
    <cellStyle name="Note 3" xfId="608" xr:uid="{AA064510-52E0-4F9E-B28F-F3029CDAF7A3}"/>
    <cellStyle name="Note 4" xfId="609" xr:uid="{A46D9833-D32E-499C-AA6E-70189CE0563F}"/>
    <cellStyle name="Note 4 2" xfId="610" xr:uid="{134120E0-D5F9-4658-80FE-9FCA5CB41250}"/>
    <cellStyle name="Note 4 2 2" xfId="611" xr:uid="{0D9E99FD-6267-4760-BD31-86C30D5DECC6}"/>
    <cellStyle name="Note 4 2 2 2" xfId="612" xr:uid="{93DA1ACD-019C-4301-86DC-FE947A2B36E6}"/>
    <cellStyle name="Note 4 2 3" xfId="613" xr:uid="{8AE45FA8-C8E5-4C27-914D-29703883EA0F}"/>
    <cellStyle name="Note 4 3" xfId="614" xr:uid="{0AEFF060-D7DC-4C37-AD99-59D7D14E66FC}"/>
    <cellStyle name="Note 4 3 2" xfId="615" xr:uid="{50007BE4-1563-47C5-9817-02D21818849A}"/>
    <cellStyle name="Note 4 3 2 2" xfId="616" xr:uid="{153CD89D-255A-4C95-9240-7675F9872E80}"/>
    <cellStyle name="Note 4 3 3" xfId="617" xr:uid="{4899055F-BCDB-43CE-B852-4A206176BA6A}"/>
    <cellStyle name="Note 4 4" xfId="618" xr:uid="{178CB84B-74FD-47DC-8F12-D21729584696}"/>
    <cellStyle name="Note 4 4 2" xfId="619" xr:uid="{654835AB-1ADE-476A-B32A-F8695BBCCD3D}"/>
    <cellStyle name="Note 4 5" xfId="620" xr:uid="{D2097F4B-6871-4EA4-8DDE-D2BBB1EA57E4}"/>
    <cellStyle name="Note 4 6" xfId="621" xr:uid="{4455F54A-C001-42A3-B52E-F2E7971DB0A1}"/>
    <cellStyle name="Note 4 7" xfId="622" xr:uid="{053D11BF-109D-4019-A325-288B281A3B60}"/>
    <cellStyle name="Note 5" xfId="623" xr:uid="{EE3FC808-A5E3-42A2-8B05-3ADAC37455E2}"/>
    <cellStyle name="Note 5 2" xfId="624" xr:uid="{9FF86BFD-EE3F-4B61-9E65-17D0F2C0B08F}"/>
    <cellStyle name="Note 5 2 2" xfId="625" xr:uid="{5CA2E4DC-5E2D-440D-804D-E12796C2D81E}"/>
    <cellStyle name="Note 5 3" xfId="626" xr:uid="{634F4BD5-8548-447F-95C8-6EF6A6776A6F}"/>
    <cellStyle name="Note 6" xfId="627" xr:uid="{0ACA40AD-AA7F-4368-8781-4EE6F3110F2D}"/>
    <cellStyle name="Note 6 2" xfId="628" xr:uid="{466471E2-D875-456F-B8D1-F988F9BE9D50}"/>
    <cellStyle name="Note 6 2 2" xfId="629" xr:uid="{6D5E2336-4161-4FD3-9415-E4E05D87AAF2}"/>
    <cellStyle name="Note 6 3" xfId="630" xr:uid="{7CEBA6CA-B950-4EB9-A9A6-87610D1ABCAD}"/>
    <cellStyle name="Note 7" xfId="631" xr:uid="{E9547ACB-27AA-4528-9E01-5C826C168143}"/>
    <cellStyle name="Note 7 2" xfId="632" xr:uid="{0D1F36E9-56DE-4868-B858-ED08A61CD02A}"/>
    <cellStyle name="Note 7 2 2" xfId="633" xr:uid="{43D05114-6DCD-4C2E-B4E9-57B2B0C99C08}"/>
    <cellStyle name="Note 7 3" xfId="634" xr:uid="{4832E2CD-9CA5-4CD2-A200-0D0B1FE3E1A4}"/>
    <cellStyle name="OPSKRIF" xfId="635" xr:uid="{B67DEAB7-0269-4609-8F0F-50E50700065E}"/>
    <cellStyle name="Output 2" xfId="636" xr:uid="{9D13377D-C8EF-47D2-8EB4-565C3E2A2D45}"/>
    <cellStyle name="Percent" xfId="662" builtinId="5"/>
    <cellStyle name="Percent 2" xfId="637" xr:uid="{1F1E2DF1-6BF4-415E-B44C-207FD9F9D095}"/>
    <cellStyle name="Percent 3" xfId="638" xr:uid="{182AD79F-761E-4511-938E-6E1D04A84573}"/>
    <cellStyle name="Percent 3 2" xfId="639" xr:uid="{079DD98F-ABB1-4185-BB3A-F8862D16611F}"/>
    <cellStyle name="Percent 3 3" xfId="640" xr:uid="{27E1FA28-120D-4445-A139-B2C0051A67FD}"/>
    <cellStyle name="Percent 3 3 2" xfId="641" xr:uid="{3115B529-9799-4648-B5FF-68DD9A6C4B1E}"/>
    <cellStyle name="Percent 3 3 2 2" xfId="642" xr:uid="{B5B561EE-D21F-4A1F-80EC-8101FE9275DD}"/>
    <cellStyle name="Percent 3 3 2 2 2" xfId="643" xr:uid="{CD17AD9C-8DCB-4727-8E60-601D7B84F187}"/>
    <cellStyle name="Percent 3 3 2 3" xfId="644" xr:uid="{61345D50-872D-42DC-AA37-F2B5B9494A36}"/>
    <cellStyle name="Percent 3 3 3" xfId="645" xr:uid="{19E7B0F9-049B-488A-96C5-1560C9F283C6}"/>
    <cellStyle name="Percent 3 3 3 2" xfId="646" xr:uid="{9498B8F0-58CB-43F9-B60A-DFD5199E7D7D}"/>
    <cellStyle name="Percent 3 3 3 2 2" xfId="647" xr:uid="{DF4E2526-02DD-48CF-AE4E-5A6A6D21CEE8}"/>
    <cellStyle name="Percent 3 3 3 3" xfId="648" xr:uid="{5795C101-0BC6-4880-ABD5-20AC2C02A4DA}"/>
    <cellStyle name="Percent 3 3 4" xfId="649" xr:uid="{7B0A8CFC-418C-4E37-A625-5E98954B559D}"/>
    <cellStyle name="Percent 3 3 4 2" xfId="650" xr:uid="{C573CEEC-6DE6-4EAB-AB12-6F09AC5AC28A}"/>
    <cellStyle name="Percent 3 3 5" xfId="651" xr:uid="{19A29E14-0BCF-478D-809B-F515DAA17C63}"/>
    <cellStyle name="Percent 3 3 6" xfId="652" xr:uid="{402B48AA-ADF2-4901-92A0-06F3FDCD5FDC}"/>
    <cellStyle name="Percent 3 3 7" xfId="653" xr:uid="{38F9A035-50B5-46F2-A8C5-1A9A7FABDBC2}"/>
    <cellStyle name="Percent 4" xfId="654" xr:uid="{4AB35438-117E-46C5-A120-DC841FB427C3}"/>
    <cellStyle name="Price Schedule" xfId="655" xr:uid="{47A79579-44BB-431A-B0DD-75B67572805A}"/>
    <cellStyle name="ROWHIEGHT1" xfId="661" xr:uid="{774D32AA-709B-41A6-BB68-4050AA066306}"/>
    <cellStyle name="Title 2" xfId="656" xr:uid="{5A0AE01D-6A7C-41FD-B099-CB0DE3CC0D36}"/>
    <cellStyle name="Total 2" xfId="657" xr:uid="{1EE835A9-B8C1-497C-85A3-7E7B5ECB2932}"/>
    <cellStyle name="Warning Text 2" xfId="658" xr:uid="{A9A96889-E6CD-4D76-BCCB-7D6671F074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jhb.hatchworkshare.com/livelinkdav/nodes/57220743/H357555-00000-200-076-0002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tchengineering-my.sharepoint.com/Users/mang76625/AppData/Roaming/OpenText/OTEdit/jhb_hatchworkshare_com-livelink/c56990767/Copy%20of%20H357555-00000-200-076-0002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
      <sheetName val="Summary"/>
      <sheetName val="1 - P &amp; G's"/>
      <sheetName val="2.1 - Civil - Site Clear"/>
      <sheetName val="2.2 - Civil New MCC for 6 Belts"/>
      <sheetName val="2.3 - Civil New MCC for 4 Belts"/>
      <sheetName val="2.4 Civil Solar Battery Room"/>
      <sheetName val="2.5 - Civil Structural Supports"/>
      <sheetName val="3.1 - Mech Poly, Water &amp; Sludge"/>
      <sheetName val="3.2 -  Mech. New Belt Press "/>
      <sheetName val="3.3 Mech. Belt Press Refurb"/>
      <sheetName val="4 -  Electical Dewatering Gen"/>
      <sheetName val="5 - Instr and Control"/>
      <sheetName val="6 - Testing &amp; Commissioning"/>
    </sheetNames>
    <sheetDataSet>
      <sheetData sheetId="0" refreshError="1"/>
      <sheetData sheetId="1" refreshError="1"/>
      <sheetData sheetId="2" refreshError="1"/>
      <sheetData sheetId="3" refreshError="1"/>
      <sheetData sheetId="4" refreshError="1">
        <row r="45">
          <cell r="E45">
            <v>0.76800000000000002</v>
          </cell>
        </row>
      </sheetData>
      <sheetData sheetId="5" refreshError="1"/>
      <sheetData sheetId="6" refreshError="1"/>
      <sheetData sheetId="7" refreshError="1"/>
      <sheetData sheetId="8" refreshError="1"/>
      <sheetData sheetId="9" refreshError="1">
        <row r="5">
          <cell r="C5" t="str">
            <v>SECTION 3.2 : MECHANICAL ENGINEERING - SUPPLY OF NEW BELT PRESS WITH ASSOCIATED EQUIPMENT</v>
          </cell>
        </row>
        <row r="9">
          <cell r="E9">
            <v>10</v>
          </cell>
          <cell r="H9">
            <v>10</v>
          </cell>
          <cell r="K9">
            <v>6</v>
          </cell>
        </row>
      </sheetData>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
      <sheetName val="Summary"/>
      <sheetName val="1 - P &amp; G's"/>
      <sheetName val="2.1 - Civil - Site Clear"/>
      <sheetName val="2.2 - Civil New MCC for 6 Belts"/>
      <sheetName val="2.3 - Civil New MCC for 4 Belts"/>
      <sheetName val="2.4 Civil Solar Battery Room"/>
      <sheetName val="2.5 - Civil Structural Supports"/>
      <sheetName val="3.1 - Mech Poly, Water &amp; Sludge"/>
      <sheetName val="3.2 -  Mech. New Belt Press "/>
      <sheetName val="3.3 Mech. Belt Press Refurb"/>
      <sheetName val="4 -  Electical Dewatering Gen"/>
      <sheetName val="5 - Instr and Control"/>
      <sheetName val="6 - Testing &amp; Commissio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H2" t="e">
            <v>#REF!</v>
          </cell>
          <cell r="K2" t="e">
            <v>#REF!</v>
          </cell>
        </row>
      </sheetData>
      <sheetData sheetId="9" refreshError="1">
        <row r="9">
          <cell r="E9">
            <v>10</v>
          </cell>
          <cell r="H9">
            <v>10</v>
          </cell>
          <cell r="K9">
            <v>6</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E6B95-9F25-4696-AAAB-A4AB67D42B42}">
  <dimension ref="A1:G393"/>
  <sheetViews>
    <sheetView showGridLines="0" view="pageBreakPreview" zoomScaleNormal="100" zoomScaleSheetLayoutView="100" workbookViewId="0">
      <selection activeCell="J13" sqref="J13"/>
    </sheetView>
  </sheetViews>
  <sheetFormatPr defaultColWidth="9.109375" defaultRowHeight="13.2"/>
  <cols>
    <col min="1" max="1" width="6.6640625" style="551" customWidth="1"/>
    <col min="2" max="2" width="7.6640625" style="551" customWidth="1"/>
    <col min="3" max="3" width="60.5546875" style="551" customWidth="1"/>
    <col min="4" max="4" width="15.44140625" style="551" customWidth="1"/>
    <col min="5" max="16384" width="9.109375" style="551"/>
  </cols>
  <sheetData>
    <row r="1" spans="1:6" ht="12.75" customHeight="1">
      <c r="A1" s="547"/>
      <c r="B1" s="548"/>
      <c r="C1" s="549"/>
      <c r="D1" s="549"/>
      <c r="E1" s="550"/>
      <c r="F1" s="550"/>
    </row>
    <row r="2" spans="1:6" ht="12.75" customHeight="1">
      <c r="A2" s="552"/>
      <c r="B2" s="553"/>
      <c r="C2" s="554"/>
      <c r="D2" s="554"/>
    </row>
    <row r="3" spans="1:6" ht="14.4">
      <c r="A3" s="552" t="s">
        <v>1878</v>
      </c>
      <c r="B3" s="553"/>
      <c r="C3" s="554"/>
      <c r="D3" s="554"/>
    </row>
    <row r="4" spans="1:6" ht="14.4">
      <c r="A4" s="552"/>
      <c r="B4" s="553"/>
      <c r="C4" s="554"/>
      <c r="D4" s="554"/>
    </row>
    <row r="5" spans="1:6" ht="14.4">
      <c r="A5" s="555"/>
      <c r="B5" s="553"/>
      <c r="C5" s="556"/>
      <c r="D5" s="556"/>
    </row>
    <row r="6" spans="1:6" ht="14.4">
      <c r="A6" s="557" t="s">
        <v>1879</v>
      </c>
      <c r="B6" s="553"/>
      <c r="C6" s="556"/>
      <c r="D6" s="556"/>
    </row>
    <row r="7" spans="1:6" ht="22.8">
      <c r="A7" s="555"/>
      <c r="B7" s="553"/>
      <c r="C7" s="558"/>
      <c r="D7" s="559"/>
    </row>
    <row r="8" spans="1:6" ht="57.6" customHeight="1">
      <c r="A8" s="609" t="s">
        <v>1851</v>
      </c>
      <c r="B8" s="609"/>
      <c r="C8" s="609"/>
      <c r="D8" s="560" t="s">
        <v>1962</v>
      </c>
    </row>
    <row r="9" spans="1:6" ht="57.6" customHeight="1">
      <c r="A9" s="609" t="s">
        <v>1880</v>
      </c>
      <c r="B9" s="609"/>
      <c r="C9" s="609"/>
      <c r="D9" s="560" t="s">
        <v>1963</v>
      </c>
    </row>
    <row r="10" spans="1:6" ht="57.6" customHeight="1">
      <c r="A10" s="609" t="s">
        <v>1881</v>
      </c>
      <c r="B10" s="609"/>
      <c r="C10" s="609"/>
      <c r="D10" s="560" t="s">
        <v>1974</v>
      </c>
    </row>
    <row r="11" spans="1:6" ht="57.6" customHeight="1">
      <c r="A11" s="609" t="s">
        <v>1882</v>
      </c>
      <c r="B11" s="609"/>
      <c r="C11" s="609"/>
      <c r="D11" s="560" t="s">
        <v>1975</v>
      </c>
    </row>
    <row r="12" spans="1:6" ht="57.6" customHeight="1">
      <c r="A12" s="609" t="s">
        <v>1883</v>
      </c>
      <c r="B12" s="609"/>
      <c r="C12" s="609"/>
      <c r="D12" s="560" t="s">
        <v>1976</v>
      </c>
    </row>
    <row r="13" spans="1:6" ht="57.6" customHeight="1">
      <c r="A13" s="609" t="s">
        <v>1884</v>
      </c>
      <c r="B13" s="609"/>
      <c r="C13" s="609"/>
      <c r="D13" s="560" t="s">
        <v>1977</v>
      </c>
    </row>
    <row r="14" spans="1:6" ht="57.6" customHeight="1">
      <c r="A14" s="609" t="s">
        <v>0</v>
      </c>
      <c r="B14" s="609"/>
      <c r="C14" s="609"/>
      <c r="D14" s="560" t="s">
        <v>1978</v>
      </c>
    </row>
    <row r="15" spans="1:6" ht="22.8">
      <c r="A15" s="552"/>
      <c r="B15" s="553"/>
      <c r="C15" s="561"/>
      <c r="D15" s="561"/>
    </row>
    <row r="16" spans="1:6" ht="22.8">
      <c r="A16" s="562"/>
      <c r="B16"/>
      <c r="C16" s="563"/>
      <c r="D16" s="563"/>
    </row>
    <row r="17" spans="1:7" ht="22.8">
      <c r="A17" s="563"/>
      <c r="B17" s="563"/>
      <c r="C17" s="563"/>
      <c r="D17" s="563"/>
    </row>
    <row r="18" spans="1:7" ht="22.8">
      <c r="A18" s="564"/>
      <c r="B18" s="564"/>
      <c r="C18" s="564"/>
      <c r="D18" s="564"/>
    </row>
    <row r="19" spans="1:7">
      <c r="A19" s="565"/>
      <c r="B19" s="565"/>
      <c r="C19" s="565"/>
      <c r="D19" s="565"/>
    </row>
    <row r="20" spans="1:7" ht="14.4">
      <c r="A20" s="565"/>
      <c r="B20" s="565"/>
      <c r="C20" s="566"/>
      <c r="D20" s="567"/>
      <c r="E20"/>
      <c r="F20"/>
      <c r="G20"/>
    </row>
    <row r="21" spans="1:7" ht="14.4">
      <c r="A21" s="565"/>
      <c r="B21" s="565"/>
      <c r="C21" s="567"/>
      <c r="D21" s="568"/>
      <c r="E21"/>
      <c r="F21"/>
      <c r="G21"/>
    </row>
    <row r="22" spans="1:7" ht="164.4" customHeight="1">
      <c r="A22" s="565"/>
      <c r="B22" s="565"/>
      <c r="C22" s="565"/>
      <c r="D22" s="569"/>
      <c r="E22"/>
      <c r="F22"/>
    </row>
    <row r="23" spans="1:7" ht="14.4">
      <c r="A23" s="565"/>
      <c r="B23" s="565"/>
      <c r="C23" s="565"/>
      <c r="D23" s="569"/>
      <c r="E23"/>
      <c r="F23"/>
      <c r="G23"/>
    </row>
    <row r="24" spans="1:7" ht="30" customHeight="1">
      <c r="A24" s="565"/>
      <c r="B24" s="565"/>
      <c r="C24" s="570"/>
      <c r="D24" s="570"/>
      <c r="E24"/>
      <c r="F24"/>
      <c r="G24"/>
    </row>
    <row r="25" spans="1:7" ht="30" customHeight="1">
      <c r="A25" s="565"/>
      <c r="B25" s="565"/>
      <c r="C25" s="570"/>
      <c r="D25" s="570"/>
      <c r="E25"/>
      <c r="F25"/>
      <c r="G25"/>
    </row>
    <row r="26" spans="1:7" ht="30" customHeight="1">
      <c r="A26" s="565"/>
      <c r="B26" s="565"/>
      <c r="C26" s="570"/>
      <c r="D26" s="570"/>
      <c r="E26"/>
      <c r="F26"/>
      <c r="G26"/>
    </row>
    <row r="27" spans="1:7" ht="30" customHeight="1">
      <c r="A27" s="565"/>
      <c r="B27" s="565"/>
      <c r="C27" s="570"/>
      <c r="D27" s="570"/>
      <c r="E27"/>
      <c r="F27"/>
      <c r="G27"/>
    </row>
    <row r="28" spans="1:7" ht="30" customHeight="1">
      <c r="A28" s="565"/>
      <c r="B28" s="565"/>
      <c r="C28" s="570"/>
      <c r="D28" s="570"/>
      <c r="E28"/>
      <c r="F28"/>
      <c r="G28"/>
    </row>
    <row r="29" spans="1:7" ht="23.25" customHeight="1">
      <c r="A29" s="565"/>
      <c r="B29" s="565"/>
      <c r="C29" s="570"/>
      <c r="D29" s="570"/>
      <c r="E29"/>
      <c r="F29"/>
      <c r="G29"/>
    </row>
    <row r="30" spans="1:7">
      <c r="A30" s="565"/>
      <c r="B30" s="565"/>
      <c r="C30" s="565"/>
      <c r="D30" s="569"/>
    </row>
    <row r="31" spans="1:7">
      <c r="A31" s="19"/>
      <c r="B31" s="19"/>
    </row>
    <row r="32" spans="1:7">
      <c r="A32" s="19"/>
      <c r="B32" s="19"/>
    </row>
    <row r="33" spans="1:4">
      <c r="A33" s="19"/>
      <c r="B33" s="19"/>
    </row>
    <row r="34" spans="1:4">
      <c r="A34" s="571"/>
      <c r="B34" s="571"/>
    </row>
    <row r="35" spans="1:4">
      <c r="A35" s="571"/>
      <c r="B35" s="571"/>
    </row>
    <row r="40" spans="1:4" ht="15.75" customHeight="1">
      <c r="A40" s="572"/>
      <c r="B40" s="572"/>
      <c r="C40" s="572"/>
      <c r="D40" s="572"/>
    </row>
    <row r="41" spans="1:4" ht="12.75" customHeight="1">
      <c r="A41" s="572"/>
      <c r="B41" s="572"/>
      <c r="C41" s="572"/>
      <c r="D41" s="572"/>
    </row>
    <row r="389" spans="3:3" ht="13.8">
      <c r="C389" s="573"/>
    </row>
    <row r="391" spans="3:3" ht="13.8">
      <c r="C391" s="573"/>
    </row>
    <row r="393" spans="3:3" ht="13.8">
      <c r="C393" s="573"/>
    </row>
  </sheetData>
  <mergeCells count="7">
    <mergeCell ref="A14:C14"/>
    <mergeCell ref="A13:C13"/>
    <mergeCell ref="A8:C8"/>
    <mergeCell ref="A9:C9"/>
    <mergeCell ref="A10:C10"/>
    <mergeCell ref="A11:C11"/>
    <mergeCell ref="A12:C12"/>
  </mergeCells>
  <pageMargins left="0.70866141732283505" right="0.70866141732283505" top="1.2992125984252001" bottom="0.74803149606299202" header="0.31496062992126" footer="0.31496062992126"/>
  <pageSetup paperSize="9" scale="73" firstPageNumber="9"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colBreaks count="1" manualBreakCount="1">
    <brk id="7" max="27"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9BD2-3919-45AF-B0D6-527B8FD5A90F}">
  <sheetPr>
    <tabColor rgb="FFFFFF00"/>
  </sheetPr>
  <dimension ref="A1:I331"/>
  <sheetViews>
    <sheetView view="pageLayout" topLeftCell="A10" zoomScale="110" zoomScaleNormal="100" zoomScaleSheetLayoutView="100" zoomScalePageLayoutView="110" workbookViewId="0">
      <selection activeCell="J13" sqref="J13"/>
    </sheetView>
  </sheetViews>
  <sheetFormatPr defaultColWidth="9.109375" defaultRowHeight="13.8"/>
  <cols>
    <col min="1" max="1" width="7.44140625" style="88" customWidth="1"/>
    <col min="2" max="2" width="9" style="89" customWidth="1"/>
    <col min="3" max="3" width="55" style="90" customWidth="1"/>
    <col min="4" max="4" width="6.44140625" style="91" customWidth="1"/>
    <col min="5" max="5" width="7.44140625" style="92" bestFit="1" customWidth="1"/>
    <col min="6" max="6" width="12.88671875" style="44" customWidth="1"/>
    <col min="7" max="7" width="16.109375" style="88" customWidth="1"/>
    <col min="8" max="16384" width="9.109375" style="44"/>
  </cols>
  <sheetData>
    <row r="1" spans="1:9" ht="22.5" customHeight="1">
      <c r="A1" s="659" t="s">
        <v>1691</v>
      </c>
      <c r="B1" s="659"/>
      <c r="C1" s="659"/>
      <c r="D1" s="659"/>
      <c r="E1" s="659"/>
      <c r="F1" s="659"/>
      <c r="G1" s="659"/>
    </row>
    <row r="2" spans="1:9" s="50" customFormat="1" ht="27.6">
      <c r="A2" s="45" t="s">
        <v>4</v>
      </c>
      <c r="B2" s="46" t="s">
        <v>5</v>
      </c>
      <c r="C2" s="45" t="s">
        <v>1</v>
      </c>
      <c r="D2" s="47" t="s">
        <v>6</v>
      </c>
      <c r="E2" s="48" t="s">
        <v>7</v>
      </c>
      <c r="F2" s="49" t="s">
        <v>8</v>
      </c>
      <c r="G2" s="47" t="s">
        <v>9</v>
      </c>
    </row>
    <row r="3" spans="1:9" ht="29.25" customHeight="1">
      <c r="A3" s="147">
        <v>4</v>
      </c>
      <c r="B3" s="148"/>
      <c r="C3" s="149" t="s">
        <v>875</v>
      </c>
      <c r="D3" s="147"/>
      <c r="E3" s="150"/>
      <c r="F3" s="177"/>
      <c r="G3" s="178"/>
    </row>
    <row r="4" spans="1:9" ht="15" customHeight="1">
      <c r="A4" s="59"/>
      <c r="B4" s="57"/>
      <c r="C4" s="58"/>
      <c r="D4" s="59"/>
      <c r="E4" s="60"/>
      <c r="F4" s="134"/>
      <c r="G4" s="14"/>
    </row>
    <row r="5" spans="1:9" ht="18" customHeight="1">
      <c r="A5" s="59">
        <v>4.0999999999999996</v>
      </c>
      <c r="B5" s="57" t="s">
        <v>1447</v>
      </c>
      <c r="C5" s="101" t="s">
        <v>876</v>
      </c>
      <c r="D5" s="59"/>
      <c r="E5" s="60"/>
      <c r="F5" s="134"/>
      <c r="G5" s="14"/>
    </row>
    <row r="6" spans="1:9" ht="12.75" customHeight="1">
      <c r="A6" s="59"/>
      <c r="B6" s="57"/>
      <c r="C6" s="101"/>
      <c r="D6" s="59"/>
      <c r="E6" s="60"/>
      <c r="F6" s="134"/>
      <c r="G6" s="14"/>
    </row>
    <row r="7" spans="1:9" ht="27.75" customHeight="1">
      <c r="A7" s="56" t="s">
        <v>877</v>
      </c>
      <c r="B7" s="57" t="s">
        <v>1448</v>
      </c>
      <c r="C7" s="73" t="s">
        <v>1189</v>
      </c>
      <c r="D7" s="64" t="s">
        <v>569</v>
      </c>
      <c r="E7" s="66">
        <v>1</v>
      </c>
      <c r="F7" s="97"/>
      <c r="G7" s="152">
        <v>270000</v>
      </c>
    </row>
    <row r="8" spans="1:9" ht="27" customHeight="1">
      <c r="A8" s="56" t="s">
        <v>878</v>
      </c>
      <c r="B8" s="57"/>
      <c r="C8" s="153" t="s">
        <v>874</v>
      </c>
      <c r="D8" s="154" t="s">
        <v>107</v>
      </c>
      <c r="E8" s="10"/>
      <c r="F8" s="97"/>
      <c r="G8" s="179"/>
    </row>
    <row r="9" spans="1:9" ht="18" customHeight="1">
      <c r="A9" s="59" t="s">
        <v>884</v>
      </c>
      <c r="B9" s="57" t="s">
        <v>1449</v>
      </c>
      <c r="C9" s="156" t="s">
        <v>879</v>
      </c>
      <c r="D9" s="157"/>
      <c r="E9" s="70"/>
      <c r="F9" s="97"/>
      <c r="G9" s="179"/>
    </row>
    <row r="10" spans="1:9" ht="18" customHeight="1">
      <c r="A10" s="59" t="s">
        <v>886</v>
      </c>
      <c r="B10" s="57"/>
      <c r="C10" s="131" t="s">
        <v>880</v>
      </c>
      <c r="D10" s="64" t="s">
        <v>363</v>
      </c>
      <c r="E10" s="158">
        <v>1</v>
      </c>
      <c r="F10" s="97"/>
      <c r="G10" s="179"/>
    </row>
    <row r="11" spans="1:9" ht="18" customHeight="1">
      <c r="A11" s="59" t="s">
        <v>888</v>
      </c>
      <c r="B11" s="159"/>
      <c r="C11" s="131" t="s">
        <v>881</v>
      </c>
      <c r="D11" s="64" t="s">
        <v>363</v>
      </c>
      <c r="E11" s="158">
        <v>1</v>
      </c>
      <c r="F11" s="97"/>
      <c r="G11" s="179"/>
    </row>
    <row r="12" spans="1:9" ht="18" customHeight="1">
      <c r="A12" s="59" t="s">
        <v>890</v>
      </c>
      <c r="B12" s="159"/>
      <c r="C12" s="131" t="s">
        <v>882</v>
      </c>
      <c r="D12" s="64" t="s">
        <v>363</v>
      </c>
      <c r="E12" s="158">
        <v>1</v>
      </c>
      <c r="F12" s="97"/>
      <c r="G12" s="179"/>
    </row>
    <row r="13" spans="1:9" ht="18" customHeight="1">
      <c r="A13" s="59" t="s">
        <v>892</v>
      </c>
      <c r="B13" s="159"/>
      <c r="C13" s="131" t="s">
        <v>883</v>
      </c>
      <c r="D13" s="105" t="s">
        <v>15</v>
      </c>
      <c r="E13" s="106">
        <v>1</v>
      </c>
      <c r="F13" s="97"/>
      <c r="G13" s="179"/>
      <c r="H13" s="75"/>
      <c r="I13" s="75"/>
    </row>
    <row r="14" spans="1:9" ht="18" customHeight="1">
      <c r="A14" s="59" t="s">
        <v>894</v>
      </c>
      <c r="B14" s="159"/>
      <c r="C14" s="131" t="s">
        <v>1472</v>
      </c>
      <c r="D14" s="105" t="s">
        <v>15</v>
      </c>
      <c r="E14" s="106">
        <v>2</v>
      </c>
      <c r="F14" s="97"/>
      <c r="G14" s="179"/>
      <c r="H14" s="75"/>
      <c r="I14" s="75"/>
    </row>
    <row r="15" spans="1:9" ht="18" customHeight="1">
      <c r="A15" s="59" t="s">
        <v>1469</v>
      </c>
      <c r="B15" s="159"/>
      <c r="C15" s="131" t="s">
        <v>1471</v>
      </c>
      <c r="D15" s="105" t="s">
        <v>15</v>
      </c>
      <c r="E15" s="106">
        <v>1</v>
      </c>
      <c r="F15" s="97"/>
      <c r="G15" s="179"/>
      <c r="H15" s="75"/>
      <c r="I15" s="75"/>
    </row>
    <row r="16" spans="1:9" ht="14.25" customHeight="1">
      <c r="A16" s="59"/>
      <c r="B16" s="71"/>
      <c r="C16" s="85"/>
      <c r="D16" s="85"/>
      <c r="E16" s="85"/>
      <c r="F16" s="97"/>
      <c r="G16" s="179"/>
    </row>
    <row r="17" spans="1:9" ht="18" customHeight="1">
      <c r="A17" s="59" t="s">
        <v>897</v>
      </c>
      <c r="B17" s="57" t="s">
        <v>1449</v>
      </c>
      <c r="C17" s="160" t="s">
        <v>885</v>
      </c>
      <c r="D17" s="105"/>
      <c r="E17" s="106"/>
      <c r="F17" s="97"/>
      <c r="G17" s="179"/>
      <c r="H17" s="75"/>
      <c r="I17" s="75"/>
    </row>
    <row r="18" spans="1:9" ht="18" customHeight="1">
      <c r="A18" s="59" t="s">
        <v>899</v>
      </c>
      <c r="B18" s="159"/>
      <c r="C18" s="123" t="s">
        <v>887</v>
      </c>
      <c r="D18" s="105" t="s">
        <v>363</v>
      </c>
      <c r="E18" s="106">
        <v>1</v>
      </c>
      <c r="F18" s="97"/>
      <c r="G18" s="179"/>
      <c r="H18" s="75"/>
      <c r="I18" s="75"/>
    </row>
    <row r="19" spans="1:9" ht="18" customHeight="1">
      <c r="A19" s="59" t="s">
        <v>901</v>
      </c>
      <c r="B19" s="159"/>
      <c r="C19" s="123" t="s">
        <v>889</v>
      </c>
      <c r="D19" s="105" t="s">
        <v>363</v>
      </c>
      <c r="E19" s="106">
        <v>1</v>
      </c>
      <c r="F19" s="97"/>
      <c r="G19" s="179"/>
      <c r="H19" s="75"/>
      <c r="I19" s="75"/>
    </row>
    <row r="20" spans="1:9" ht="18" customHeight="1">
      <c r="A20" s="59" t="s">
        <v>1190</v>
      </c>
      <c r="B20" s="159"/>
      <c r="C20" s="123" t="s">
        <v>891</v>
      </c>
      <c r="D20" s="105" t="s">
        <v>363</v>
      </c>
      <c r="E20" s="106">
        <v>1</v>
      </c>
      <c r="F20" s="97"/>
      <c r="G20" s="179"/>
      <c r="H20" s="75"/>
      <c r="I20" s="75"/>
    </row>
    <row r="21" spans="1:9" ht="18" customHeight="1">
      <c r="A21" s="59" t="s">
        <v>1191</v>
      </c>
      <c r="B21" s="159"/>
      <c r="C21" s="123" t="s">
        <v>893</v>
      </c>
      <c r="D21" s="105" t="s">
        <v>363</v>
      </c>
      <c r="E21" s="106">
        <v>12</v>
      </c>
      <c r="F21" s="97"/>
      <c r="G21" s="179"/>
      <c r="H21" s="75"/>
      <c r="I21" s="75"/>
    </row>
    <row r="22" spans="1:9" ht="14.4">
      <c r="A22" s="59" t="s">
        <v>1192</v>
      </c>
      <c r="B22" s="159"/>
      <c r="C22" s="123" t="s">
        <v>895</v>
      </c>
      <c r="D22" s="105" t="s">
        <v>363</v>
      </c>
      <c r="E22" s="106">
        <v>1</v>
      </c>
      <c r="F22" s="97"/>
      <c r="G22" s="179"/>
      <c r="H22" s="75"/>
      <c r="I22" s="75"/>
    </row>
    <row r="23" spans="1:9" ht="18" customHeight="1">
      <c r="A23" s="59" t="s">
        <v>1193</v>
      </c>
      <c r="B23" s="159"/>
      <c r="C23" s="123" t="s">
        <v>896</v>
      </c>
      <c r="D23" s="105" t="s">
        <v>363</v>
      </c>
      <c r="E23" s="106">
        <v>1</v>
      </c>
      <c r="F23" s="97"/>
      <c r="G23" s="179"/>
      <c r="H23" s="75"/>
      <c r="I23" s="75"/>
    </row>
    <row r="24" spans="1:9" ht="18" customHeight="1">
      <c r="A24" s="161"/>
      <c r="B24" s="159"/>
      <c r="C24" s="123"/>
      <c r="D24" s="105"/>
      <c r="E24" s="106"/>
      <c r="F24" s="97"/>
      <c r="G24" s="179"/>
      <c r="H24" s="75"/>
      <c r="I24" s="75"/>
    </row>
    <row r="25" spans="1:9" ht="18" customHeight="1">
      <c r="A25" s="59" t="s">
        <v>903</v>
      </c>
      <c r="B25" s="57"/>
      <c r="C25" s="160" t="s">
        <v>898</v>
      </c>
      <c r="D25" s="105"/>
      <c r="E25" s="106"/>
      <c r="F25" s="97"/>
      <c r="G25" s="179"/>
      <c r="H25" s="75"/>
      <c r="I25" s="75"/>
    </row>
    <row r="26" spans="1:9" ht="18" customHeight="1">
      <c r="A26" s="59" t="s">
        <v>905</v>
      </c>
      <c r="B26" s="57" t="s">
        <v>1450</v>
      </c>
      <c r="C26" s="123" t="s">
        <v>900</v>
      </c>
      <c r="D26" s="105" t="s">
        <v>363</v>
      </c>
      <c r="E26" s="106">
        <v>5</v>
      </c>
      <c r="F26" s="97"/>
      <c r="G26" s="179"/>
      <c r="H26" s="75"/>
      <c r="I26" s="75"/>
    </row>
    <row r="27" spans="1:9" ht="18" customHeight="1">
      <c r="A27" s="59" t="s">
        <v>1194</v>
      </c>
      <c r="B27" s="159"/>
      <c r="C27" s="123" t="s">
        <v>902</v>
      </c>
      <c r="D27" s="105" t="s">
        <v>363</v>
      </c>
      <c r="E27" s="106">
        <v>12</v>
      </c>
      <c r="F27" s="97"/>
      <c r="G27" s="179"/>
      <c r="H27" s="75"/>
      <c r="I27" s="75"/>
    </row>
    <row r="28" spans="1:9" ht="18" customHeight="1">
      <c r="A28" s="161"/>
      <c r="B28" s="159"/>
      <c r="C28" s="123"/>
      <c r="D28" s="105"/>
      <c r="E28" s="106"/>
      <c r="F28" s="97"/>
      <c r="G28" s="179"/>
      <c r="H28" s="75"/>
      <c r="I28" s="75"/>
    </row>
    <row r="29" spans="1:9" ht="18" customHeight="1">
      <c r="A29" s="59" t="s">
        <v>907</v>
      </c>
      <c r="B29" s="159"/>
      <c r="C29" s="160" t="s">
        <v>904</v>
      </c>
      <c r="D29" s="105"/>
      <c r="E29" s="106"/>
      <c r="F29" s="97"/>
      <c r="G29" s="179"/>
      <c r="H29" s="75"/>
      <c r="I29" s="75"/>
    </row>
    <row r="30" spans="1:9" ht="18" customHeight="1">
      <c r="A30" s="59" t="s">
        <v>909</v>
      </c>
      <c r="B30" s="159"/>
      <c r="C30" s="123" t="s">
        <v>906</v>
      </c>
      <c r="D30" s="105" t="s">
        <v>363</v>
      </c>
      <c r="E30" s="106">
        <v>4</v>
      </c>
      <c r="F30" s="97"/>
      <c r="G30" s="179"/>
      <c r="H30" s="75"/>
      <c r="I30" s="75"/>
    </row>
    <row r="31" spans="1:9" ht="14.25" customHeight="1">
      <c r="A31" s="161"/>
      <c r="B31" s="159"/>
      <c r="C31" s="123"/>
      <c r="D31" s="105"/>
      <c r="E31" s="106"/>
      <c r="F31" s="97"/>
      <c r="G31" s="179"/>
      <c r="H31" s="75"/>
      <c r="I31" s="75"/>
    </row>
    <row r="32" spans="1:9" ht="18" customHeight="1">
      <c r="A32" s="59" t="s">
        <v>913</v>
      </c>
      <c r="B32" s="57" t="s">
        <v>1451</v>
      </c>
      <c r="C32" s="160" t="s">
        <v>908</v>
      </c>
      <c r="D32" s="105"/>
      <c r="E32" s="106"/>
      <c r="F32" s="97"/>
      <c r="G32" s="179"/>
      <c r="H32" s="75"/>
      <c r="I32" s="75"/>
    </row>
    <row r="33" spans="1:9" ht="45.75" customHeight="1">
      <c r="A33" s="59" t="s">
        <v>915</v>
      </c>
      <c r="B33" s="159"/>
      <c r="C33" s="585" t="s">
        <v>1926</v>
      </c>
      <c r="D33" s="105" t="s">
        <v>15</v>
      </c>
      <c r="E33" s="106">
        <v>1</v>
      </c>
      <c r="F33" s="97"/>
      <c r="G33" s="179"/>
      <c r="H33" s="75"/>
      <c r="I33" s="75"/>
    </row>
    <row r="34" spans="1:9" ht="18" customHeight="1">
      <c r="A34" s="59" t="s">
        <v>917</v>
      </c>
      <c r="B34" s="159"/>
      <c r="C34" s="123" t="s">
        <v>910</v>
      </c>
      <c r="D34" s="105" t="s">
        <v>15</v>
      </c>
      <c r="E34" s="106">
        <v>1</v>
      </c>
      <c r="F34" s="97"/>
      <c r="G34" s="179"/>
      <c r="H34" s="75"/>
      <c r="I34" s="75"/>
    </row>
    <row r="35" spans="1:9" ht="18" customHeight="1">
      <c r="A35" s="59" t="s">
        <v>919</v>
      </c>
      <c r="B35" s="159"/>
      <c r="C35" s="123" t="s">
        <v>911</v>
      </c>
      <c r="D35" s="105" t="s">
        <v>15</v>
      </c>
      <c r="E35" s="106">
        <v>1</v>
      </c>
      <c r="F35" s="97"/>
      <c r="G35" s="179"/>
      <c r="H35" s="75"/>
      <c r="I35" s="75"/>
    </row>
    <row r="36" spans="1:9" ht="18" customHeight="1">
      <c r="A36" s="59" t="s">
        <v>921</v>
      </c>
      <c r="B36" s="159"/>
      <c r="C36" s="123" t="s">
        <v>912</v>
      </c>
      <c r="D36" s="105" t="s">
        <v>15</v>
      </c>
      <c r="E36" s="106">
        <v>1</v>
      </c>
      <c r="F36" s="97"/>
      <c r="G36" s="179"/>
      <c r="H36" s="75"/>
      <c r="I36" s="75"/>
    </row>
    <row r="37" spans="1:9" ht="18" customHeight="1">
      <c r="A37" s="59" t="s">
        <v>1925</v>
      </c>
      <c r="B37" s="159"/>
      <c r="C37" s="123" t="s">
        <v>1924</v>
      </c>
      <c r="D37" s="105" t="s">
        <v>15</v>
      </c>
      <c r="E37" s="106">
        <v>1</v>
      </c>
      <c r="F37" s="97"/>
      <c r="G37" s="179"/>
      <c r="H37" s="75"/>
      <c r="I37" s="75"/>
    </row>
    <row r="38" spans="1:9" ht="12.75" customHeight="1">
      <c r="A38" s="161"/>
      <c r="B38" s="159"/>
      <c r="C38" s="123"/>
      <c r="D38" s="105"/>
      <c r="E38" s="106"/>
      <c r="F38" s="97"/>
      <c r="G38" s="179"/>
      <c r="H38" s="75"/>
      <c r="I38" s="75"/>
    </row>
    <row r="39" spans="1:9" ht="18" customHeight="1">
      <c r="A39" s="59" t="s">
        <v>928</v>
      </c>
      <c r="B39" s="57" t="s">
        <v>1452</v>
      </c>
      <c r="C39" s="160" t="s">
        <v>914</v>
      </c>
      <c r="D39" s="105"/>
      <c r="E39" s="106"/>
      <c r="F39" s="97"/>
      <c r="G39" s="179"/>
    </row>
    <row r="40" spans="1:9" ht="18" customHeight="1">
      <c r="A40" s="59" t="s">
        <v>930</v>
      </c>
      <c r="B40" s="108"/>
      <c r="C40" s="131" t="s">
        <v>916</v>
      </c>
      <c r="D40" s="105" t="s">
        <v>303</v>
      </c>
      <c r="E40" s="106">
        <v>450</v>
      </c>
      <c r="F40" s="97"/>
      <c r="G40" s="180"/>
      <c r="H40" s="75"/>
      <c r="I40" s="75"/>
    </row>
    <row r="41" spans="1:9" ht="18" customHeight="1">
      <c r="A41" s="59" t="s">
        <v>931</v>
      </c>
      <c r="B41" s="108"/>
      <c r="C41" s="131" t="s">
        <v>918</v>
      </c>
      <c r="D41" s="105" t="s">
        <v>303</v>
      </c>
      <c r="E41" s="106">
        <v>100</v>
      </c>
      <c r="F41" s="97"/>
      <c r="G41" s="180"/>
      <c r="H41" s="75"/>
      <c r="I41" s="75"/>
    </row>
    <row r="42" spans="1:9" ht="18" customHeight="1">
      <c r="A42" s="59" t="s">
        <v>932</v>
      </c>
      <c r="B42" s="108"/>
      <c r="C42" s="131" t="s">
        <v>920</v>
      </c>
      <c r="D42" s="105" t="s">
        <v>303</v>
      </c>
      <c r="E42" s="106">
        <v>150</v>
      </c>
      <c r="F42" s="97"/>
      <c r="G42" s="179"/>
      <c r="H42" s="75"/>
      <c r="I42" s="75"/>
    </row>
    <row r="43" spans="1:9" ht="18" customHeight="1">
      <c r="A43" s="59" t="s">
        <v>933</v>
      </c>
      <c r="B43" s="108"/>
      <c r="C43" s="131" t="s">
        <v>922</v>
      </c>
      <c r="D43" s="105" t="s">
        <v>303</v>
      </c>
      <c r="E43" s="106">
        <v>200</v>
      </c>
      <c r="F43" s="97"/>
      <c r="G43" s="179"/>
      <c r="H43" s="75"/>
      <c r="I43" s="75"/>
    </row>
    <row r="44" spans="1:9" ht="18" customHeight="1">
      <c r="A44" s="59" t="s">
        <v>934</v>
      </c>
      <c r="B44" s="108"/>
      <c r="C44" s="131" t="s">
        <v>923</v>
      </c>
      <c r="D44" s="105" t="s">
        <v>303</v>
      </c>
      <c r="E44" s="106">
        <v>6050</v>
      </c>
      <c r="F44" s="97"/>
      <c r="G44" s="179"/>
      <c r="H44" s="75"/>
      <c r="I44" s="75"/>
    </row>
    <row r="45" spans="1:9" ht="18" customHeight="1">
      <c r="A45" s="59" t="s">
        <v>935</v>
      </c>
      <c r="B45" s="108"/>
      <c r="C45" s="131" t="s">
        <v>924</v>
      </c>
      <c r="D45" s="105" t="s">
        <v>303</v>
      </c>
      <c r="E45" s="106">
        <v>1250</v>
      </c>
      <c r="F45" s="97"/>
      <c r="G45" s="179"/>
      <c r="H45" s="75"/>
      <c r="I45" s="75"/>
    </row>
    <row r="46" spans="1:9" ht="18" customHeight="1">
      <c r="A46" s="59" t="s">
        <v>936</v>
      </c>
      <c r="B46" s="108"/>
      <c r="C46" s="131" t="s">
        <v>925</v>
      </c>
      <c r="D46" s="105" t="s">
        <v>303</v>
      </c>
      <c r="E46" s="106">
        <v>620</v>
      </c>
      <c r="F46" s="97"/>
      <c r="G46" s="179"/>
      <c r="H46" s="75"/>
      <c r="I46" s="75"/>
    </row>
    <row r="47" spans="1:9" ht="18" customHeight="1">
      <c r="A47" s="59" t="s">
        <v>937</v>
      </c>
      <c r="B47" s="108"/>
      <c r="C47" s="131" t="s">
        <v>926</v>
      </c>
      <c r="D47" s="105" t="s">
        <v>303</v>
      </c>
      <c r="E47" s="106">
        <v>600</v>
      </c>
      <c r="F47" s="97"/>
      <c r="G47" s="179"/>
      <c r="H47" s="75"/>
      <c r="I47" s="75"/>
    </row>
    <row r="48" spans="1:9" ht="18" customHeight="1">
      <c r="A48" s="59" t="s">
        <v>938</v>
      </c>
      <c r="B48" s="108"/>
      <c r="C48" s="131" t="s">
        <v>927</v>
      </c>
      <c r="D48" s="105" t="s">
        <v>303</v>
      </c>
      <c r="E48" s="106">
        <v>600</v>
      </c>
      <c r="F48" s="97"/>
      <c r="G48" s="179"/>
      <c r="H48" s="75"/>
      <c r="I48" s="75"/>
    </row>
    <row r="49" spans="1:9" s="75" customFormat="1" ht="18" customHeight="1">
      <c r="A49" s="622" t="s">
        <v>88</v>
      </c>
      <c r="B49" s="623"/>
      <c r="C49" s="623"/>
      <c r="D49" s="113"/>
      <c r="E49" s="113"/>
      <c r="F49" s="144"/>
      <c r="G49" s="176"/>
    </row>
    <row r="50" spans="1:9" s="75" customFormat="1" ht="18" customHeight="1">
      <c r="A50" s="644" t="s">
        <v>89</v>
      </c>
      <c r="B50" s="645"/>
      <c r="C50" s="646"/>
      <c r="D50" s="115"/>
      <c r="E50" s="162"/>
      <c r="F50" s="176"/>
      <c r="G50" s="176"/>
    </row>
    <row r="51" spans="1:9" ht="18" customHeight="1">
      <c r="A51" s="161"/>
      <c r="B51" s="159"/>
      <c r="C51" s="131"/>
      <c r="D51" s="105"/>
      <c r="E51" s="106"/>
      <c r="F51" s="97"/>
      <c r="G51" s="179"/>
      <c r="H51" s="75"/>
      <c r="I51" s="75"/>
    </row>
    <row r="52" spans="1:9" s="75" customFormat="1" ht="18" customHeight="1">
      <c r="A52" s="59" t="s">
        <v>939</v>
      </c>
      <c r="B52" s="57" t="s">
        <v>1453</v>
      </c>
      <c r="C52" s="160" t="s">
        <v>929</v>
      </c>
      <c r="D52" s="105"/>
      <c r="E52" s="106"/>
      <c r="F52" s="97"/>
      <c r="G52" s="179"/>
    </row>
    <row r="53" spans="1:9" ht="18" customHeight="1">
      <c r="A53" s="59" t="s">
        <v>941</v>
      </c>
      <c r="B53" s="108"/>
      <c r="C53" s="131" t="s">
        <v>916</v>
      </c>
      <c r="D53" s="105" t="s">
        <v>363</v>
      </c>
      <c r="E53" s="106">
        <v>6</v>
      </c>
      <c r="F53" s="97"/>
      <c r="G53" s="179"/>
      <c r="H53" s="75"/>
      <c r="I53" s="75"/>
    </row>
    <row r="54" spans="1:9" ht="18" customHeight="1">
      <c r="A54" s="59" t="s">
        <v>943</v>
      </c>
      <c r="B54" s="108"/>
      <c r="C54" s="131" t="s">
        <v>918</v>
      </c>
      <c r="D54" s="105" t="s">
        <v>363</v>
      </c>
      <c r="E54" s="106">
        <v>4</v>
      </c>
      <c r="F54" s="97"/>
      <c r="G54" s="179"/>
      <c r="H54" s="75"/>
      <c r="I54" s="75"/>
    </row>
    <row r="55" spans="1:9" ht="18" customHeight="1">
      <c r="A55" s="59" t="s">
        <v>945</v>
      </c>
      <c r="B55" s="108"/>
      <c r="C55" s="131" t="s">
        <v>920</v>
      </c>
      <c r="D55" s="105" t="s">
        <v>363</v>
      </c>
      <c r="E55" s="106">
        <v>6</v>
      </c>
      <c r="F55" s="97"/>
      <c r="G55" s="179"/>
      <c r="H55" s="75"/>
      <c r="I55" s="75"/>
    </row>
    <row r="56" spans="1:9" ht="18" customHeight="1">
      <c r="A56" s="59" t="s">
        <v>947</v>
      </c>
      <c r="B56" s="108"/>
      <c r="C56" s="131" t="s">
        <v>922</v>
      </c>
      <c r="D56" s="105" t="s">
        <v>363</v>
      </c>
      <c r="E56" s="106">
        <v>8</v>
      </c>
      <c r="F56" s="97"/>
      <c r="G56" s="179"/>
      <c r="H56" s="75"/>
      <c r="I56" s="75"/>
    </row>
    <row r="57" spans="1:9" ht="18" customHeight="1">
      <c r="A57" s="59" t="s">
        <v>1195</v>
      </c>
      <c r="B57" s="108"/>
      <c r="C57" s="131" t="s">
        <v>923</v>
      </c>
      <c r="D57" s="105" t="s">
        <v>363</v>
      </c>
      <c r="E57" s="106">
        <v>240</v>
      </c>
      <c r="F57" s="97"/>
      <c r="G57" s="179"/>
      <c r="H57" s="75"/>
      <c r="I57" s="75"/>
    </row>
    <row r="58" spans="1:9" ht="18" customHeight="1">
      <c r="A58" s="59" t="s">
        <v>1196</v>
      </c>
      <c r="B58" s="108"/>
      <c r="C58" s="131" t="s">
        <v>924</v>
      </c>
      <c r="D58" s="105" t="s">
        <v>363</v>
      </c>
      <c r="E58" s="106">
        <v>50</v>
      </c>
      <c r="F58" s="97"/>
      <c r="G58" s="179"/>
      <c r="H58" s="75"/>
      <c r="I58" s="75"/>
    </row>
    <row r="59" spans="1:9" ht="18" customHeight="1">
      <c r="A59" s="59" t="s">
        <v>1197</v>
      </c>
      <c r="B59" s="108"/>
      <c r="C59" s="131" t="s">
        <v>925</v>
      </c>
      <c r="D59" s="105" t="s">
        <v>363</v>
      </c>
      <c r="E59" s="106">
        <v>44</v>
      </c>
      <c r="F59" s="97"/>
      <c r="G59" s="179"/>
      <c r="H59" s="75"/>
      <c r="I59" s="75"/>
    </row>
    <row r="60" spans="1:9" ht="18" customHeight="1">
      <c r="A60" s="59" t="s">
        <v>1198</v>
      </c>
      <c r="B60" s="108"/>
      <c r="C60" s="131" t="s">
        <v>926</v>
      </c>
      <c r="D60" s="105" t="s">
        <v>363</v>
      </c>
      <c r="E60" s="106">
        <v>24</v>
      </c>
      <c r="F60" s="97"/>
      <c r="G60" s="179"/>
      <c r="H60" s="75"/>
      <c r="I60" s="75"/>
    </row>
    <row r="61" spans="1:9" ht="18" customHeight="1">
      <c r="A61" s="59" t="s">
        <v>1199</v>
      </c>
      <c r="B61" s="108"/>
      <c r="C61" s="131" t="s">
        <v>927</v>
      </c>
      <c r="D61" s="105" t="s">
        <v>363</v>
      </c>
      <c r="E61" s="106">
        <v>24</v>
      </c>
      <c r="F61" s="97"/>
      <c r="G61" s="179"/>
      <c r="H61" s="75"/>
      <c r="I61" s="75"/>
    </row>
    <row r="62" spans="1:9" ht="18" customHeight="1">
      <c r="A62" s="161"/>
      <c r="B62" s="159"/>
      <c r="C62" s="131"/>
      <c r="D62" s="105"/>
      <c r="E62" s="106"/>
      <c r="F62" s="97"/>
      <c r="G62" s="179"/>
      <c r="H62" s="75"/>
      <c r="I62" s="75"/>
    </row>
    <row r="63" spans="1:9" s="75" customFormat="1" ht="18" customHeight="1">
      <c r="A63" s="59" t="s">
        <v>949</v>
      </c>
      <c r="B63" s="57" t="s">
        <v>1452</v>
      </c>
      <c r="C63" s="160" t="s">
        <v>940</v>
      </c>
      <c r="D63" s="105"/>
      <c r="E63" s="106"/>
      <c r="F63" s="97"/>
      <c r="G63" s="179"/>
    </row>
    <row r="64" spans="1:9" s="75" customFormat="1" ht="18" customHeight="1">
      <c r="A64" s="59" t="s">
        <v>951</v>
      </c>
      <c r="B64" s="159"/>
      <c r="C64" s="131" t="s">
        <v>942</v>
      </c>
      <c r="D64" s="105" t="s">
        <v>303</v>
      </c>
      <c r="E64" s="106">
        <v>450</v>
      </c>
      <c r="F64" s="97"/>
      <c r="G64" s="179"/>
    </row>
    <row r="65" spans="1:7" s="75" customFormat="1" ht="18" customHeight="1">
      <c r="A65" s="59" t="s">
        <v>952</v>
      </c>
      <c r="B65" s="159"/>
      <c r="C65" s="131" t="s">
        <v>944</v>
      </c>
      <c r="D65" s="105" t="s">
        <v>303</v>
      </c>
      <c r="E65" s="106">
        <v>150</v>
      </c>
      <c r="F65" s="97"/>
      <c r="G65" s="179"/>
    </row>
    <row r="66" spans="1:7" s="75" customFormat="1" ht="18" customHeight="1">
      <c r="A66" s="59" t="s">
        <v>953</v>
      </c>
      <c r="B66" s="159"/>
      <c r="C66" s="131" t="s">
        <v>946</v>
      </c>
      <c r="D66" s="105" t="s">
        <v>303</v>
      </c>
      <c r="E66" s="106">
        <v>200</v>
      </c>
      <c r="F66" s="97"/>
      <c r="G66" s="179"/>
    </row>
    <row r="67" spans="1:7" s="75" customFormat="1" ht="18" customHeight="1">
      <c r="A67" s="59" t="s">
        <v>954</v>
      </c>
      <c r="B67" s="159"/>
      <c r="C67" s="131" t="s">
        <v>948</v>
      </c>
      <c r="D67" s="105" t="s">
        <v>303</v>
      </c>
      <c r="E67" s="106">
        <v>1600</v>
      </c>
      <c r="F67" s="97"/>
      <c r="G67" s="179"/>
    </row>
    <row r="68" spans="1:7" s="75" customFormat="1" ht="18" customHeight="1">
      <c r="A68" s="161"/>
      <c r="B68" s="159"/>
      <c r="C68" s="111"/>
      <c r="D68" s="105"/>
      <c r="E68" s="119"/>
      <c r="F68" s="181"/>
      <c r="G68" s="182"/>
    </row>
    <row r="69" spans="1:7" s="75" customFormat="1" ht="18" customHeight="1">
      <c r="A69" s="59" t="s">
        <v>955</v>
      </c>
      <c r="B69" s="57" t="s">
        <v>1453</v>
      </c>
      <c r="C69" s="160" t="s">
        <v>950</v>
      </c>
      <c r="D69" s="105"/>
      <c r="E69" s="119"/>
      <c r="F69" s="143"/>
      <c r="G69" s="182"/>
    </row>
    <row r="70" spans="1:7" s="75" customFormat="1" ht="18" customHeight="1">
      <c r="A70" s="59" t="s">
        <v>957</v>
      </c>
      <c r="B70" s="159"/>
      <c r="C70" s="131" t="s">
        <v>942</v>
      </c>
      <c r="D70" s="105" t="s">
        <v>363</v>
      </c>
      <c r="E70" s="119">
        <v>6</v>
      </c>
      <c r="F70" s="97"/>
      <c r="G70" s="179"/>
    </row>
    <row r="71" spans="1:7" s="75" customFormat="1" ht="18" customHeight="1">
      <c r="A71" s="59" t="s">
        <v>959</v>
      </c>
      <c r="B71" s="159"/>
      <c r="C71" s="131" t="s">
        <v>944</v>
      </c>
      <c r="D71" s="105" t="s">
        <v>363</v>
      </c>
      <c r="E71" s="119">
        <v>6</v>
      </c>
      <c r="F71" s="97"/>
      <c r="G71" s="179"/>
    </row>
    <row r="72" spans="1:7" s="75" customFormat="1" ht="18" customHeight="1">
      <c r="A72" s="59" t="s">
        <v>961</v>
      </c>
      <c r="B72" s="159"/>
      <c r="C72" s="131" t="s">
        <v>946</v>
      </c>
      <c r="D72" s="105" t="s">
        <v>363</v>
      </c>
      <c r="E72" s="119">
        <v>8</v>
      </c>
      <c r="F72" s="97"/>
      <c r="G72" s="179"/>
    </row>
    <row r="73" spans="1:7" s="75" customFormat="1" ht="18" customHeight="1">
      <c r="A73" s="59" t="s">
        <v>963</v>
      </c>
      <c r="B73" s="159"/>
      <c r="C73" s="131" t="s">
        <v>948</v>
      </c>
      <c r="D73" s="105" t="s">
        <v>363</v>
      </c>
      <c r="E73" s="119">
        <v>64</v>
      </c>
      <c r="F73" s="97"/>
      <c r="G73" s="179"/>
    </row>
    <row r="74" spans="1:7" s="75" customFormat="1" ht="18" customHeight="1">
      <c r="A74" s="161"/>
      <c r="B74" s="159"/>
      <c r="C74" s="163"/>
      <c r="D74" s="105"/>
      <c r="E74" s="106"/>
      <c r="F74" s="97"/>
      <c r="G74" s="179"/>
    </row>
    <row r="75" spans="1:7" s="164" customFormat="1" ht="18" customHeight="1">
      <c r="A75" s="59" t="s">
        <v>965</v>
      </c>
      <c r="B75" s="57" t="s">
        <v>1454</v>
      </c>
      <c r="C75" s="111" t="s">
        <v>956</v>
      </c>
      <c r="D75" s="64"/>
      <c r="E75" s="106"/>
      <c r="F75" s="97"/>
      <c r="G75" s="179"/>
    </row>
    <row r="76" spans="1:7" s="164" customFormat="1" ht="18" customHeight="1">
      <c r="A76" s="59" t="s">
        <v>967</v>
      </c>
      <c r="B76" s="159"/>
      <c r="C76" s="131" t="s">
        <v>958</v>
      </c>
      <c r="D76" s="105" t="s">
        <v>303</v>
      </c>
      <c r="E76" s="119">
        <v>500</v>
      </c>
      <c r="F76" s="97"/>
      <c r="G76" s="179"/>
    </row>
    <row r="77" spans="1:7" s="75" customFormat="1" ht="18" customHeight="1">
      <c r="A77" s="59" t="s">
        <v>1200</v>
      </c>
      <c r="B77" s="159"/>
      <c r="C77" s="131" t="s">
        <v>960</v>
      </c>
      <c r="D77" s="105" t="s">
        <v>303</v>
      </c>
      <c r="E77" s="106">
        <v>20</v>
      </c>
      <c r="F77" s="97"/>
      <c r="G77" s="179"/>
    </row>
    <row r="78" spans="1:7" s="75" customFormat="1" ht="18" customHeight="1">
      <c r="A78" s="59" t="s">
        <v>1201</v>
      </c>
      <c r="B78" s="159"/>
      <c r="C78" s="131" t="s">
        <v>962</v>
      </c>
      <c r="D78" s="105" t="s">
        <v>363</v>
      </c>
      <c r="E78" s="106">
        <v>10</v>
      </c>
      <c r="F78" s="97"/>
      <c r="G78" s="179"/>
    </row>
    <row r="79" spans="1:7" s="75" customFormat="1" ht="18" customHeight="1">
      <c r="A79" s="59" t="s">
        <v>1202</v>
      </c>
      <c r="B79" s="159"/>
      <c r="C79" s="163" t="s">
        <v>964</v>
      </c>
      <c r="D79" s="105" t="s">
        <v>303</v>
      </c>
      <c r="E79" s="106">
        <v>500</v>
      </c>
      <c r="F79" s="97"/>
      <c r="G79" s="179"/>
    </row>
    <row r="80" spans="1:7" s="75" customFormat="1" ht="18" customHeight="1">
      <c r="A80" s="161"/>
      <c r="B80" s="159"/>
      <c r="C80" s="163"/>
      <c r="D80" s="105"/>
      <c r="E80" s="106"/>
      <c r="F80" s="97"/>
      <c r="G80" s="179"/>
    </row>
    <row r="81" spans="1:7" s="75" customFormat="1" ht="18" customHeight="1">
      <c r="A81" s="59" t="s">
        <v>970</v>
      </c>
      <c r="B81" s="57" t="s">
        <v>1452</v>
      </c>
      <c r="C81" s="111" t="s">
        <v>966</v>
      </c>
      <c r="D81" s="105"/>
      <c r="E81" s="106"/>
      <c r="F81" s="97"/>
      <c r="G81" s="179"/>
    </row>
    <row r="82" spans="1:7" s="75" customFormat="1" ht="18" customHeight="1">
      <c r="A82" s="59" t="s">
        <v>972</v>
      </c>
      <c r="B82" s="159"/>
      <c r="C82" s="163" t="s">
        <v>968</v>
      </c>
      <c r="D82" s="105" t="s">
        <v>969</v>
      </c>
      <c r="E82" s="106">
        <v>3</v>
      </c>
      <c r="F82" s="97"/>
      <c r="G82" s="179"/>
    </row>
    <row r="83" spans="1:7" s="75" customFormat="1" ht="18" customHeight="1">
      <c r="A83" s="59"/>
      <c r="B83" s="159"/>
      <c r="C83" s="163"/>
      <c r="D83" s="105"/>
      <c r="E83" s="106"/>
      <c r="F83" s="97"/>
      <c r="G83" s="179"/>
    </row>
    <row r="84" spans="1:7" s="75" customFormat="1" ht="18" customHeight="1">
      <c r="A84" s="59" t="s">
        <v>973</v>
      </c>
      <c r="B84" s="57" t="s">
        <v>1452</v>
      </c>
      <c r="C84" s="111" t="s">
        <v>971</v>
      </c>
      <c r="D84" s="105"/>
      <c r="E84" s="106"/>
      <c r="F84" s="97"/>
      <c r="G84" s="179"/>
    </row>
    <row r="85" spans="1:7" s="75" customFormat="1" ht="18" customHeight="1">
      <c r="A85" s="59" t="s">
        <v>975</v>
      </c>
      <c r="B85" s="159"/>
      <c r="C85" s="163" t="s">
        <v>968</v>
      </c>
      <c r="D85" s="105" t="s">
        <v>969</v>
      </c>
      <c r="E85" s="106">
        <v>3</v>
      </c>
      <c r="F85" s="97"/>
      <c r="G85" s="179"/>
    </row>
    <row r="86" spans="1:7" s="75" customFormat="1" ht="18" customHeight="1">
      <c r="A86" s="161"/>
      <c r="B86" s="159"/>
      <c r="C86" s="163"/>
      <c r="D86" s="105"/>
      <c r="E86" s="106"/>
      <c r="F86" s="97"/>
      <c r="G86" s="179"/>
    </row>
    <row r="87" spans="1:7" s="75" customFormat="1" ht="18" customHeight="1">
      <c r="A87" s="59" t="s">
        <v>981</v>
      </c>
      <c r="B87" s="57" t="s">
        <v>1455</v>
      </c>
      <c r="C87" s="111" t="s">
        <v>974</v>
      </c>
      <c r="D87" s="105"/>
      <c r="E87" s="106"/>
      <c r="F87" s="97"/>
      <c r="G87" s="179"/>
    </row>
    <row r="88" spans="1:7" s="75" customFormat="1" ht="18" customHeight="1">
      <c r="A88" s="59" t="s">
        <v>983</v>
      </c>
      <c r="B88" s="159"/>
      <c r="C88" s="163" t="s">
        <v>976</v>
      </c>
      <c r="D88" s="105" t="s">
        <v>977</v>
      </c>
      <c r="E88" s="106">
        <v>10</v>
      </c>
      <c r="F88" s="97"/>
      <c r="G88" s="179"/>
    </row>
    <row r="89" spans="1:7" s="75" customFormat="1" ht="18" customHeight="1">
      <c r="A89" s="59" t="s">
        <v>985</v>
      </c>
      <c r="B89" s="159"/>
      <c r="C89" s="163" t="s">
        <v>978</v>
      </c>
      <c r="D89" s="105" t="s">
        <v>977</v>
      </c>
      <c r="E89" s="106">
        <v>5</v>
      </c>
      <c r="F89" s="97"/>
      <c r="G89" s="179"/>
    </row>
    <row r="90" spans="1:7" s="75" customFormat="1" ht="18" customHeight="1">
      <c r="A90" s="59" t="s">
        <v>987</v>
      </c>
      <c r="B90" s="159"/>
      <c r="C90" s="163" t="s">
        <v>979</v>
      </c>
      <c r="D90" s="105" t="s">
        <v>977</v>
      </c>
      <c r="E90" s="106">
        <v>6</v>
      </c>
      <c r="F90" s="97"/>
      <c r="G90" s="179"/>
    </row>
    <row r="91" spans="1:7" s="75" customFormat="1" ht="18" customHeight="1">
      <c r="A91" s="59" t="s">
        <v>989</v>
      </c>
      <c r="B91" s="159"/>
      <c r="C91" s="163" t="s">
        <v>980</v>
      </c>
      <c r="D91" s="105" t="s">
        <v>977</v>
      </c>
      <c r="E91" s="106">
        <v>3</v>
      </c>
      <c r="F91" s="97"/>
      <c r="G91" s="179"/>
    </row>
    <row r="92" spans="1:7" s="75" customFormat="1" ht="18" customHeight="1">
      <c r="A92" s="165"/>
      <c r="B92" s="159"/>
      <c r="C92" s="163"/>
      <c r="D92" s="105"/>
      <c r="E92" s="106"/>
      <c r="F92" s="97"/>
      <c r="G92" s="179"/>
    </row>
    <row r="93" spans="1:7" s="75" customFormat="1" ht="18" customHeight="1">
      <c r="A93" s="161"/>
      <c r="B93" s="159"/>
      <c r="C93" s="163"/>
      <c r="D93" s="105"/>
      <c r="E93" s="106"/>
      <c r="F93" s="97"/>
      <c r="G93" s="179"/>
    </row>
    <row r="94" spans="1:7" s="75" customFormat="1" ht="18" customHeight="1">
      <c r="A94" s="627" t="s">
        <v>88</v>
      </c>
      <c r="B94" s="628"/>
      <c r="C94" s="628"/>
      <c r="D94" s="113"/>
      <c r="E94" s="114"/>
      <c r="F94" s="144"/>
      <c r="G94" s="176"/>
    </row>
    <row r="95" spans="1:7" s="75" customFormat="1" ht="18" customHeight="1">
      <c r="A95" s="644" t="s">
        <v>89</v>
      </c>
      <c r="B95" s="645"/>
      <c r="C95" s="646"/>
      <c r="D95" s="115"/>
      <c r="E95" s="116"/>
      <c r="F95" s="145"/>
      <c r="G95" s="176"/>
    </row>
    <row r="96" spans="1:7" s="75" customFormat="1" ht="18" customHeight="1">
      <c r="A96" s="59" t="s">
        <v>992</v>
      </c>
      <c r="B96" s="57" t="s">
        <v>1455</v>
      </c>
      <c r="C96" s="111" t="s">
        <v>982</v>
      </c>
      <c r="D96" s="105"/>
      <c r="E96" s="106"/>
      <c r="F96" s="97"/>
      <c r="G96" s="179"/>
    </row>
    <row r="97" spans="1:7" s="75" customFormat="1" ht="18" customHeight="1">
      <c r="A97" s="59" t="s">
        <v>994</v>
      </c>
      <c r="B97" s="159"/>
      <c r="C97" s="163" t="s">
        <v>984</v>
      </c>
      <c r="D97" s="105" t="s">
        <v>977</v>
      </c>
      <c r="E97" s="106">
        <v>30</v>
      </c>
      <c r="F97" s="97"/>
      <c r="G97" s="179"/>
    </row>
    <row r="98" spans="1:7" s="75" customFormat="1" ht="18" customHeight="1">
      <c r="A98" s="59" t="s">
        <v>996</v>
      </c>
      <c r="B98" s="159"/>
      <c r="C98" s="163" t="s">
        <v>986</v>
      </c>
      <c r="D98" s="105" t="s">
        <v>977</v>
      </c>
      <c r="E98" s="106">
        <v>57</v>
      </c>
      <c r="F98" s="97"/>
      <c r="G98" s="179"/>
    </row>
    <row r="99" spans="1:7" s="75" customFormat="1" ht="18" customHeight="1">
      <c r="A99" s="59" t="s">
        <v>998</v>
      </c>
      <c r="B99" s="159"/>
      <c r="C99" s="163" t="s">
        <v>988</v>
      </c>
      <c r="D99" s="105" t="s">
        <v>977</v>
      </c>
      <c r="E99" s="106">
        <v>40</v>
      </c>
      <c r="F99" s="97"/>
      <c r="G99" s="179"/>
    </row>
    <row r="100" spans="1:7" s="75" customFormat="1" ht="18" customHeight="1">
      <c r="A100" s="59" t="s">
        <v>1000</v>
      </c>
      <c r="B100" s="159"/>
      <c r="C100" s="163" t="s">
        <v>990</v>
      </c>
      <c r="D100" s="105" t="s">
        <v>977</v>
      </c>
      <c r="E100" s="106">
        <v>10</v>
      </c>
      <c r="F100" s="97"/>
      <c r="G100" s="179"/>
    </row>
    <row r="101" spans="1:7" s="75" customFormat="1" ht="18" customHeight="1">
      <c r="A101" s="59" t="s">
        <v>1002</v>
      </c>
      <c r="B101" s="159"/>
      <c r="C101" s="163" t="s">
        <v>991</v>
      </c>
      <c r="D101" s="105" t="s">
        <v>977</v>
      </c>
      <c r="E101" s="106">
        <v>57</v>
      </c>
      <c r="F101" s="97"/>
      <c r="G101" s="179"/>
    </row>
    <row r="102" spans="1:7" s="75" customFormat="1" ht="18" customHeight="1">
      <c r="A102" s="161"/>
      <c r="B102" s="159"/>
      <c r="C102" s="163"/>
      <c r="D102" s="105"/>
      <c r="E102" s="106"/>
      <c r="F102" s="97"/>
      <c r="G102" s="179"/>
    </row>
    <row r="103" spans="1:7" s="75" customFormat="1" ht="18" customHeight="1">
      <c r="A103" s="59" t="s">
        <v>1005</v>
      </c>
      <c r="B103" s="57" t="s">
        <v>1455</v>
      </c>
      <c r="C103" s="111" t="s">
        <v>993</v>
      </c>
      <c r="D103" s="105"/>
      <c r="E103" s="106"/>
      <c r="F103" s="97"/>
      <c r="G103" s="179"/>
    </row>
    <row r="104" spans="1:7" s="75" customFormat="1" ht="18" customHeight="1">
      <c r="A104" s="59" t="s">
        <v>1007</v>
      </c>
      <c r="B104" s="159"/>
      <c r="C104" s="163" t="s">
        <v>995</v>
      </c>
      <c r="D104" s="105" t="s">
        <v>977</v>
      </c>
      <c r="E104" s="106">
        <v>12</v>
      </c>
      <c r="F104" s="97"/>
      <c r="G104" s="179"/>
    </row>
    <row r="105" spans="1:7" s="75" customFormat="1" ht="18" customHeight="1">
      <c r="A105" s="59" t="s">
        <v>1009</v>
      </c>
      <c r="B105" s="159"/>
      <c r="C105" s="163" t="s">
        <v>997</v>
      </c>
      <c r="D105" s="105" t="s">
        <v>977</v>
      </c>
      <c r="E105" s="106">
        <v>4</v>
      </c>
      <c r="F105" s="97"/>
      <c r="G105" s="179"/>
    </row>
    <row r="106" spans="1:7" s="75" customFormat="1" ht="18" customHeight="1">
      <c r="A106" s="59" t="s">
        <v>1011</v>
      </c>
      <c r="B106" s="159"/>
      <c r="C106" s="163" t="s">
        <v>999</v>
      </c>
      <c r="D106" s="105" t="s">
        <v>977</v>
      </c>
      <c r="E106" s="106">
        <v>6</v>
      </c>
      <c r="F106" s="97"/>
      <c r="G106" s="179"/>
    </row>
    <row r="107" spans="1:7" s="75" customFormat="1" ht="18" customHeight="1">
      <c r="A107" s="59" t="s">
        <v>1013</v>
      </c>
      <c r="B107" s="159"/>
      <c r="C107" s="163" t="s">
        <v>1001</v>
      </c>
      <c r="D107" s="105" t="s">
        <v>977</v>
      </c>
      <c r="E107" s="106">
        <v>6</v>
      </c>
      <c r="F107" s="97"/>
      <c r="G107" s="179"/>
    </row>
    <row r="108" spans="1:7" s="75" customFormat="1" ht="18" customHeight="1">
      <c r="A108" s="59" t="s">
        <v>1015</v>
      </c>
      <c r="B108" s="159"/>
      <c r="C108" s="163" t="s">
        <v>1003</v>
      </c>
      <c r="D108" s="105" t="s">
        <v>977</v>
      </c>
      <c r="E108" s="106">
        <v>32</v>
      </c>
      <c r="F108" s="97"/>
      <c r="G108" s="179"/>
    </row>
    <row r="109" spans="1:7" s="75" customFormat="1" ht="18" customHeight="1">
      <c r="A109" s="59" t="s">
        <v>1017</v>
      </c>
      <c r="B109" s="159"/>
      <c r="C109" s="163" t="s">
        <v>1004</v>
      </c>
      <c r="D109" s="105" t="s">
        <v>977</v>
      </c>
      <c r="E109" s="106">
        <v>5</v>
      </c>
      <c r="F109" s="97"/>
      <c r="G109" s="179"/>
    </row>
    <row r="110" spans="1:7" s="75" customFormat="1" ht="18" customHeight="1">
      <c r="A110" s="161"/>
      <c r="B110" s="159"/>
      <c r="C110" s="163"/>
      <c r="D110" s="105"/>
      <c r="E110" s="106"/>
      <c r="F110" s="97"/>
      <c r="G110" s="179"/>
    </row>
    <row r="111" spans="1:7" s="75" customFormat="1" ht="18" customHeight="1">
      <c r="A111" s="59" t="s">
        <v>1019</v>
      </c>
      <c r="B111" s="57" t="s">
        <v>1468</v>
      </c>
      <c r="C111" s="111" t="s">
        <v>1006</v>
      </c>
      <c r="D111" s="105"/>
      <c r="E111" s="106"/>
      <c r="F111" s="97"/>
      <c r="G111" s="179"/>
    </row>
    <row r="112" spans="1:7" s="75" customFormat="1" ht="18" customHeight="1">
      <c r="A112" s="59" t="s">
        <v>1020</v>
      </c>
      <c r="B112" s="159"/>
      <c r="C112" s="163" t="s">
        <v>1008</v>
      </c>
      <c r="D112" s="105" t="s">
        <v>977</v>
      </c>
      <c r="E112" s="106">
        <v>20</v>
      </c>
      <c r="F112" s="97"/>
      <c r="G112" s="179"/>
    </row>
    <row r="113" spans="1:7" s="75" customFormat="1" ht="18" customHeight="1">
      <c r="A113" s="59" t="s">
        <v>1022</v>
      </c>
      <c r="B113" s="159"/>
      <c r="C113" s="163" t="s">
        <v>1010</v>
      </c>
      <c r="D113" s="105" t="s">
        <v>977</v>
      </c>
      <c r="E113" s="106">
        <v>32</v>
      </c>
      <c r="F113" s="97"/>
      <c r="G113" s="179"/>
    </row>
    <row r="114" spans="1:7" s="75" customFormat="1" ht="18" customHeight="1">
      <c r="A114" s="59" t="s">
        <v>1024</v>
      </c>
      <c r="B114" s="159"/>
      <c r="C114" s="163" t="s">
        <v>1012</v>
      </c>
      <c r="D114" s="105" t="s">
        <v>977</v>
      </c>
      <c r="E114" s="106">
        <v>10</v>
      </c>
      <c r="F114" s="97"/>
      <c r="G114" s="179"/>
    </row>
    <row r="115" spans="1:7" s="75" customFormat="1" ht="18" customHeight="1">
      <c r="A115" s="59" t="s">
        <v>1026</v>
      </c>
      <c r="B115" s="159"/>
      <c r="C115" s="163" t="s">
        <v>1014</v>
      </c>
      <c r="D115" s="105" t="s">
        <v>977</v>
      </c>
      <c r="E115" s="106">
        <v>4</v>
      </c>
      <c r="F115" s="97"/>
      <c r="G115" s="179"/>
    </row>
    <row r="116" spans="1:7" s="75" customFormat="1" ht="18" customHeight="1">
      <c r="A116" s="59" t="s">
        <v>1028</v>
      </c>
      <c r="B116" s="159"/>
      <c r="C116" s="163" t="s">
        <v>1016</v>
      </c>
      <c r="D116" s="105" t="s">
        <v>977</v>
      </c>
      <c r="E116" s="106">
        <v>32</v>
      </c>
      <c r="F116" s="97"/>
      <c r="G116" s="179"/>
    </row>
    <row r="117" spans="1:7" s="75" customFormat="1" ht="18" customHeight="1">
      <c r="A117" s="59" t="s">
        <v>1029</v>
      </c>
      <c r="B117" s="159"/>
      <c r="C117" s="163" t="s">
        <v>1018</v>
      </c>
      <c r="D117" s="105" t="s">
        <v>977</v>
      </c>
      <c r="E117" s="106">
        <v>32</v>
      </c>
      <c r="F117" s="97"/>
      <c r="G117" s="179"/>
    </row>
    <row r="118" spans="1:7" s="75" customFormat="1" ht="18" customHeight="1">
      <c r="A118" s="161"/>
      <c r="B118" s="159"/>
      <c r="C118" s="163"/>
      <c r="D118" s="105"/>
      <c r="E118" s="106"/>
      <c r="F118" s="97"/>
      <c r="G118" s="179"/>
    </row>
    <row r="119" spans="1:7" s="75" customFormat="1" ht="18" customHeight="1">
      <c r="A119" s="59" t="s">
        <v>1033</v>
      </c>
      <c r="B119" s="57" t="s">
        <v>1456</v>
      </c>
      <c r="C119" s="111" t="s">
        <v>1514</v>
      </c>
      <c r="D119" s="105"/>
      <c r="E119" s="106"/>
      <c r="F119" s="97"/>
      <c r="G119" s="179"/>
    </row>
    <row r="120" spans="1:7" s="75" customFormat="1" ht="18" customHeight="1">
      <c r="A120" s="59" t="s">
        <v>1034</v>
      </c>
      <c r="B120" s="159"/>
      <c r="C120" s="163" t="s">
        <v>1021</v>
      </c>
      <c r="D120" s="105" t="s">
        <v>303</v>
      </c>
      <c r="E120" s="106">
        <v>200</v>
      </c>
      <c r="F120" s="97"/>
      <c r="G120" s="179"/>
    </row>
    <row r="121" spans="1:7" s="75" customFormat="1" ht="18" customHeight="1">
      <c r="A121" s="59" t="s">
        <v>1036</v>
      </c>
      <c r="B121" s="159"/>
      <c r="C121" s="163" t="s">
        <v>1023</v>
      </c>
      <c r="D121" s="105" t="s">
        <v>303</v>
      </c>
      <c r="E121" s="106">
        <v>20</v>
      </c>
      <c r="F121" s="97"/>
      <c r="G121" s="179"/>
    </row>
    <row r="122" spans="1:7" s="75" customFormat="1" ht="18" customHeight="1">
      <c r="A122" s="59" t="s">
        <v>1038</v>
      </c>
      <c r="B122" s="159"/>
      <c r="C122" s="163" t="s">
        <v>1025</v>
      </c>
      <c r="D122" s="105" t="s">
        <v>303</v>
      </c>
      <c r="E122" s="106">
        <v>10</v>
      </c>
      <c r="F122" s="97"/>
      <c r="G122" s="179"/>
    </row>
    <row r="123" spans="1:7" s="75" customFormat="1" ht="18" customHeight="1">
      <c r="A123" s="59" t="s">
        <v>1203</v>
      </c>
      <c r="B123" s="159"/>
      <c r="C123" s="163" t="s">
        <v>1027</v>
      </c>
      <c r="D123" s="105" t="s">
        <v>977</v>
      </c>
      <c r="E123" s="106">
        <v>3</v>
      </c>
      <c r="F123" s="97"/>
      <c r="G123" s="179"/>
    </row>
    <row r="124" spans="1:7" s="75" customFormat="1" ht="18" customHeight="1">
      <c r="A124" s="59" t="s">
        <v>1204</v>
      </c>
      <c r="B124" s="159"/>
      <c r="C124" s="163" t="s">
        <v>1515</v>
      </c>
      <c r="D124" s="105" t="s">
        <v>977</v>
      </c>
      <c r="E124" s="106">
        <v>20</v>
      </c>
      <c r="F124" s="97"/>
      <c r="G124" s="179"/>
    </row>
    <row r="125" spans="1:7" s="75" customFormat="1" ht="18" customHeight="1">
      <c r="A125" s="59" t="s">
        <v>1205</v>
      </c>
      <c r="B125" s="159"/>
      <c r="C125" s="163" t="s">
        <v>1030</v>
      </c>
      <c r="D125" s="105" t="s">
        <v>977</v>
      </c>
      <c r="E125" s="106">
        <v>20</v>
      </c>
      <c r="F125" s="97"/>
      <c r="G125" s="179"/>
    </row>
    <row r="126" spans="1:7" s="75" customFormat="1" ht="18" customHeight="1">
      <c r="A126" s="59" t="s">
        <v>1206</v>
      </c>
      <c r="B126" s="159"/>
      <c r="C126" s="163" t="s">
        <v>1031</v>
      </c>
      <c r="D126" s="105" t="s">
        <v>977</v>
      </c>
      <c r="E126" s="106">
        <v>60</v>
      </c>
      <c r="F126" s="97"/>
      <c r="G126" s="179"/>
    </row>
    <row r="127" spans="1:7" s="75" customFormat="1" ht="18" customHeight="1">
      <c r="A127" s="59" t="s">
        <v>1207</v>
      </c>
      <c r="B127" s="159"/>
      <c r="C127" s="163" t="s">
        <v>1032</v>
      </c>
      <c r="D127" s="105" t="s">
        <v>977</v>
      </c>
      <c r="E127" s="106">
        <v>10</v>
      </c>
      <c r="F127" s="97"/>
      <c r="G127" s="179"/>
    </row>
    <row r="128" spans="1:7" s="75" customFormat="1" ht="18" customHeight="1">
      <c r="A128" s="161"/>
      <c r="B128" s="159"/>
      <c r="C128" s="163"/>
      <c r="D128" s="105"/>
      <c r="E128" s="106"/>
      <c r="F128" s="97"/>
      <c r="G128" s="179"/>
    </row>
    <row r="129" spans="1:9" s="75" customFormat="1" ht="29.25" customHeight="1">
      <c r="A129" s="59" t="s">
        <v>1040</v>
      </c>
      <c r="B129" s="57" t="s">
        <v>1457</v>
      </c>
      <c r="C129" s="111" t="s">
        <v>1958</v>
      </c>
      <c r="D129" s="105"/>
      <c r="E129" s="106"/>
      <c r="F129" s="97"/>
      <c r="G129" s="179"/>
    </row>
    <row r="130" spans="1:9" s="75" customFormat="1" ht="18" customHeight="1">
      <c r="A130" s="59" t="s">
        <v>1041</v>
      </c>
      <c r="B130" s="159"/>
      <c r="C130" s="163" t="s">
        <v>1035</v>
      </c>
      <c r="D130" s="105" t="s">
        <v>303</v>
      </c>
      <c r="E130" s="106">
        <v>450</v>
      </c>
      <c r="F130" s="97"/>
      <c r="G130" s="179"/>
    </row>
    <row r="131" spans="1:9" s="75" customFormat="1" ht="18" customHeight="1">
      <c r="A131" s="59" t="s">
        <v>1042</v>
      </c>
      <c r="B131" s="159"/>
      <c r="C131" s="163" t="s">
        <v>1037</v>
      </c>
      <c r="D131" s="105" t="s">
        <v>303</v>
      </c>
      <c r="E131" s="106">
        <v>150</v>
      </c>
      <c r="F131" s="97"/>
      <c r="G131" s="179"/>
    </row>
    <row r="132" spans="1:9" s="75" customFormat="1" ht="18" customHeight="1">
      <c r="A132" s="59" t="s">
        <v>1043</v>
      </c>
      <c r="B132" s="159"/>
      <c r="C132" s="163" t="s">
        <v>1039</v>
      </c>
      <c r="D132" s="105" t="s">
        <v>303</v>
      </c>
      <c r="E132" s="106">
        <v>150</v>
      </c>
      <c r="F132" s="97"/>
      <c r="G132" s="179"/>
    </row>
    <row r="133" spans="1:9" s="75" customFormat="1" ht="18" customHeight="1">
      <c r="A133" s="161"/>
      <c r="B133" s="159"/>
      <c r="C133" s="166"/>
      <c r="D133" s="105"/>
      <c r="E133" s="106"/>
      <c r="F133" s="143"/>
      <c r="G133" s="182"/>
    </row>
    <row r="134" spans="1:9" s="75" customFormat="1" ht="27.6">
      <c r="A134" s="59" t="s">
        <v>1044</v>
      </c>
      <c r="B134" s="57" t="s">
        <v>1457</v>
      </c>
      <c r="C134" s="111" t="s">
        <v>1959</v>
      </c>
      <c r="D134" s="105"/>
      <c r="E134" s="106"/>
      <c r="F134" s="143"/>
      <c r="G134" s="182"/>
    </row>
    <row r="135" spans="1:9" s="75" customFormat="1" ht="18" customHeight="1">
      <c r="A135" s="59" t="s">
        <v>1045</v>
      </c>
      <c r="B135" s="159"/>
      <c r="C135" s="163" t="s">
        <v>1035</v>
      </c>
      <c r="D135" s="105" t="s">
        <v>363</v>
      </c>
      <c r="E135" s="106">
        <v>15</v>
      </c>
      <c r="F135" s="97"/>
      <c r="G135" s="179"/>
    </row>
    <row r="136" spans="1:9" s="75" customFormat="1" ht="18" customHeight="1">
      <c r="A136" s="59" t="s">
        <v>1046</v>
      </c>
      <c r="B136" s="159"/>
      <c r="C136" s="163" t="s">
        <v>1037</v>
      </c>
      <c r="D136" s="105" t="s">
        <v>363</v>
      </c>
      <c r="E136" s="106">
        <v>15</v>
      </c>
      <c r="F136" s="97"/>
      <c r="G136" s="179"/>
    </row>
    <row r="137" spans="1:9" s="75" customFormat="1" ht="18" customHeight="1">
      <c r="A137" s="59" t="s">
        <v>1047</v>
      </c>
      <c r="B137" s="159"/>
      <c r="C137" s="163" t="s">
        <v>1039</v>
      </c>
      <c r="D137" s="105" t="s">
        <v>363</v>
      </c>
      <c r="E137" s="106">
        <v>20</v>
      </c>
      <c r="F137" s="97"/>
      <c r="G137" s="179"/>
    </row>
    <row r="138" spans="1:9" s="75" customFormat="1" ht="18" customHeight="1">
      <c r="A138" s="59"/>
      <c r="B138" s="159"/>
      <c r="C138" s="163"/>
      <c r="D138" s="105"/>
      <c r="E138" s="106"/>
      <c r="F138" s="97"/>
      <c r="G138" s="179"/>
    </row>
    <row r="139" spans="1:9" s="75" customFormat="1" ht="18" customHeight="1">
      <c r="A139" s="59"/>
      <c r="B139" s="159"/>
      <c r="C139" s="163"/>
      <c r="D139" s="105"/>
      <c r="E139" s="106"/>
      <c r="F139" s="97"/>
      <c r="G139" s="179"/>
    </row>
    <row r="140" spans="1:9" ht="18" customHeight="1">
      <c r="A140" s="622" t="s">
        <v>88</v>
      </c>
      <c r="B140" s="623"/>
      <c r="C140" s="623"/>
      <c r="D140" s="113"/>
      <c r="E140" s="114"/>
      <c r="F140" s="144"/>
      <c r="G140" s="176"/>
      <c r="H140" s="75"/>
      <c r="I140" s="75"/>
    </row>
    <row r="141" spans="1:9" ht="18" customHeight="1">
      <c r="A141" s="616" t="s">
        <v>89</v>
      </c>
      <c r="B141" s="617"/>
      <c r="C141" s="618"/>
      <c r="D141" s="115"/>
      <c r="E141" s="116"/>
      <c r="F141" s="145"/>
      <c r="G141" s="176"/>
      <c r="H141" s="75"/>
      <c r="I141" s="75"/>
    </row>
    <row r="142" spans="1:9" ht="15" customHeight="1">
      <c r="A142" s="161"/>
      <c r="B142" s="159"/>
      <c r="C142" s="111"/>
      <c r="D142" s="105"/>
      <c r="E142" s="106"/>
      <c r="F142" s="97"/>
      <c r="G142" s="179"/>
    </row>
    <row r="143" spans="1:9" s="75" customFormat="1" ht="27.6">
      <c r="A143" s="59" t="s">
        <v>1048</v>
      </c>
      <c r="B143" s="57" t="s">
        <v>1457</v>
      </c>
      <c r="C143" s="111" t="s">
        <v>1960</v>
      </c>
      <c r="D143" s="105"/>
      <c r="E143" s="106"/>
      <c r="F143" s="97"/>
      <c r="G143" s="179"/>
    </row>
    <row r="144" spans="1:9" s="75" customFormat="1" ht="18" customHeight="1">
      <c r="A144" s="59" t="s">
        <v>1049</v>
      </c>
      <c r="B144" s="159"/>
      <c r="C144" s="163" t="s">
        <v>1035</v>
      </c>
      <c r="D144" s="105" t="s">
        <v>363</v>
      </c>
      <c r="E144" s="106">
        <v>15</v>
      </c>
      <c r="F144" s="97"/>
      <c r="G144" s="179"/>
    </row>
    <row r="145" spans="1:7" s="75" customFormat="1" ht="18" customHeight="1">
      <c r="A145" s="59" t="s">
        <v>1050</v>
      </c>
      <c r="B145" s="159"/>
      <c r="C145" s="163" t="s">
        <v>1037</v>
      </c>
      <c r="D145" s="105" t="s">
        <v>363</v>
      </c>
      <c r="E145" s="106">
        <v>10</v>
      </c>
      <c r="F145" s="97"/>
      <c r="G145" s="179"/>
    </row>
    <row r="146" spans="1:7" s="75" customFormat="1" ht="18" customHeight="1">
      <c r="A146" s="59" t="s">
        <v>1051</v>
      </c>
      <c r="B146" s="159"/>
      <c r="C146" s="163" t="s">
        <v>1039</v>
      </c>
      <c r="D146" s="105" t="s">
        <v>363</v>
      </c>
      <c r="E146" s="106">
        <v>20</v>
      </c>
      <c r="F146" s="97"/>
      <c r="G146" s="179"/>
    </row>
    <row r="147" spans="1:7" ht="18" customHeight="1">
      <c r="A147" s="161"/>
      <c r="B147" s="108"/>
      <c r="C147" s="131"/>
      <c r="D147" s="105"/>
      <c r="E147" s="106"/>
      <c r="F147" s="97"/>
      <c r="G147" s="179"/>
    </row>
    <row r="148" spans="1:7" s="75" customFormat="1" ht="28.5" customHeight="1">
      <c r="A148" s="59" t="s">
        <v>1052</v>
      </c>
      <c r="B148" s="57" t="s">
        <v>1457</v>
      </c>
      <c r="C148" s="111" t="s">
        <v>1961</v>
      </c>
      <c r="D148" s="105"/>
      <c r="E148" s="106"/>
      <c r="F148" s="97"/>
      <c r="G148" s="179"/>
    </row>
    <row r="149" spans="1:7" s="75" customFormat="1" ht="18" customHeight="1">
      <c r="A149" s="59" t="s">
        <v>1054</v>
      </c>
      <c r="B149" s="159"/>
      <c r="C149" s="163" t="s">
        <v>1035</v>
      </c>
      <c r="D149" s="105" t="s">
        <v>363</v>
      </c>
      <c r="E149" s="106">
        <v>18</v>
      </c>
      <c r="F149" s="97"/>
      <c r="G149" s="179"/>
    </row>
    <row r="150" spans="1:7" s="75" customFormat="1" ht="18" customHeight="1">
      <c r="A150" s="59" t="s">
        <v>1056</v>
      </c>
      <c r="B150" s="159"/>
      <c r="C150" s="163" t="s">
        <v>1037</v>
      </c>
      <c r="D150" s="105" t="s">
        <v>363</v>
      </c>
      <c r="E150" s="106">
        <v>10</v>
      </c>
      <c r="F150" s="97"/>
      <c r="G150" s="179"/>
    </row>
    <row r="151" spans="1:7" s="75" customFormat="1" ht="18" customHeight="1">
      <c r="A151" s="59" t="s">
        <v>1058</v>
      </c>
      <c r="B151" s="159"/>
      <c r="C151" s="163" t="s">
        <v>1039</v>
      </c>
      <c r="D151" s="105" t="s">
        <v>363</v>
      </c>
      <c r="E151" s="106">
        <v>20</v>
      </c>
      <c r="F151" s="97"/>
      <c r="G151" s="179"/>
    </row>
    <row r="152" spans="1:7" s="75" customFormat="1" ht="18" customHeight="1">
      <c r="A152" s="161"/>
      <c r="B152" s="159"/>
      <c r="C152" s="163"/>
      <c r="D152" s="105"/>
      <c r="E152" s="106"/>
      <c r="F152" s="97"/>
      <c r="G152" s="179"/>
    </row>
    <row r="153" spans="1:7" s="75" customFormat="1" ht="18" customHeight="1">
      <c r="A153" s="59" t="s">
        <v>1062</v>
      </c>
      <c r="B153" s="57" t="s">
        <v>1449</v>
      </c>
      <c r="C153" s="111" t="s">
        <v>1053</v>
      </c>
      <c r="D153" s="105"/>
      <c r="E153" s="106"/>
      <c r="F153" s="97"/>
      <c r="G153" s="179"/>
    </row>
    <row r="154" spans="1:7" s="75" customFormat="1" ht="18" customHeight="1">
      <c r="A154" s="59" t="s">
        <v>1063</v>
      </c>
      <c r="B154" s="159"/>
      <c r="C154" s="163" t="s">
        <v>1055</v>
      </c>
      <c r="D154" s="105" t="s">
        <v>303</v>
      </c>
      <c r="E154" s="106">
        <v>600</v>
      </c>
      <c r="F154" s="97"/>
      <c r="G154" s="179"/>
    </row>
    <row r="155" spans="1:7" s="75" customFormat="1" ht="18" customHeight="1">
      <c r="A155" s="59" t="s">
        <v>1064</v>
      </c>
      <c r="B155" s="159"/>
      <c r="C155" s="163" t="s">
        <v>1057</v>
      </c>
      <c r="D155" s="105" t="s">
        <v>303</v>
      </c>
      <c r="E155" s="106">
        <v>200</v>
      </c>
      <c r="F155" s="97"/>
      <c r="G155" s="179"/>
    </row>
    <row r="156" spans="1:7" s="75" customFormat="1" ht="18" customHeight="1">
      <c r="A156" s="59" t="s">
        <v>1065</v>
      </c>
      <c r="B156" s="159"/>
      <c r="C156" s="163" t="s">
        <v>1059</v>
      </c>
      <c r="D156" s="105" t="s">
        <v>303</v>
      </c>
      <c r="E156" s="106">
        <v>50</v>
      </c>
      <c r="F156" s="97"/>
      <c r="G156" s="179"/>
    </row>
    <row r="157" spans="1:7" s="75" customFormat="1" ht="18" customHeight="1">
      <c r="A157" s="59" t="s">
        <v>1208</v>
      </c>
      <c r="B157" s="159"/>
      <c r="C157" s="163" t="s">
        <v>1060</v>
      </c>
      <c r="D157" s="105" t="s">
        <v>303</v>
      </c>
      <c r="E157" s="106">
        <v>50</v>
      </c>
      <c r="F157" s="97"/>
      <c r="G157" s="179"/>
    </row>
    <row r="158" spans="1:7" s="75" customFormat="1" ht="18" customHeight="1">
      <c r="A158" s="59" t="s">
        <v>1209</v>
      </c>
      <c r="B158" s="159"/>
      <c r="C158" s="163" t="s">
        <v>1061</v>
      </c>
      <c r="D158" s="105" t="s">
        <v>303</v>
      </c>
      <c r="E158" s="106">
        <v>50</v>
      </c>
      <c r="F158" s="97"/>
      <c r="G158" s="179"/>
    </row>
    <row r="159" spans="1:7" ht="18" customHeight="1">
      <c r="A159" s="161"/>
      <c r="B159" s="159"/>
      <c r="C159" s="131"/>
      <c r="D159" s="82"/>
      <c r="E159" s="106"/>
      <c r="F159" s="97"/>
      <c r="G159" s="179"/>
    </row>
    <row r="160" spans="1:7" ht="18" customHeight="1">
      <c r="A160" s="59" t="s">
        <v>1066</v>
      </c>
      <c r="B160" s="159"/>
      <c r="C160" s="111" t="s">
        <v>1067</v>
      </c>
      <c r="D160" s="82"/>
      <c r="E160" s="106"/>
      <c r="F160" s="97"/>
      <c r="G160" s="179"/>
    </row>
    <row r="161" spans="1:9" ht="18" customHeight="1">
      <c r="A161" s="59" t="s">
        <v>1068</v>
      </c>
      <c r="B161" s="108"/>
      <c r="C161" s="131" t="s">
        <v>1069</v>
      </c>
      <c r="D161" s="82" t="s">
        <v>15</v>
      </c>
      <c r="E161" s="106">
        <v>4</v>
      </c>
      <c r="F161" s="97"/>
      <c r="G161" s="179"/>
    </row>
    <row r="162" spans="1:9" ht="18" customHeight="1">
      <c r="A162" s="161"/>
      <c r="B162" s="108"/>
      <c r="C162" s="131"/>
      <c r="D162" s="82"/>
      <c r="E162" s="106"/>
      <c r="F162" s="97"/>
      <c r="G162" s="179"/>
    </row>
    <row r="163" spans="1:9" ht="18" customHeight="1">
      <c r="A163" s="59">
        <v>4.2</v>
      </c>
      <c r="B163" s="57" t="s">
        <v>1458</v>
      </c>
      <c r="C163" s="167" t="s">
        <v>1070</v>
      </c>
      <c r="D163" s="59"/>
      <c r="E163" s="60"/>
      <c r="F163" s="97"/>
      <c r="G163" s="179"/>
    </row>
    <row r="164" spans="1:9" ht="33" customHeight="1">
      <c r="A164" s="56" t="s">
        <v>1071</v>
      </c>
      <c r="B164" s="57"/>
      <c r="C164" s="73" t="s">
        <v>1189</v>
      </c>
      <c r="D164" s="64"/>
      <c r="E164" s="66"/>
      <c r="F164" s="97"/>
      <c r="G164" s="179"/>
    </row>
    <row r="165" spans="1:9" ht="18" customHeight="1">
      <c r="A165" s="59" t="s">
        <v>1072</v>
      </c>
      <c r="B165" s="57" t="s">
        <v>1449</v>
      </c>
      <c r="C165" s="160" t="s">
        <v>1073</v>
      </c>
      <c r="D165" s="59"/>
      <c r="E165" s="102"/>
      <c r="F165" s="97"/>
      <c r="G165" s="179"/>
    </row>
    <row r="166" spans="1:9" ht="18" customHeight="1">
      <c r="A166" s="59" t="s">
        <v>1074</v>
      </c>
      <c r="B166" s="57"/>
      <c r="C166" s="131" t="s">
        <v>880</v>
      </c>
      <c r="D166" s="64" t="s">
        <v>363</v>
      </c>
      <c r="E166" s="158">
        <v>1</v>
      </c>
      <c r="F166" s="97"/>
      <c r="G166" s="179"/>
    </row>
    <row r="167" spans="1:9" ht="18" customHeight="1">
      <c r="A167" s="59" t="s">
        <v>1075</v>
      </c>
      <c r="B167" s="159"/>
      <c r="C167" s="131" t="s">
        <v>881</v>
      </c>
      <c r="D167" s="64" t="s">
        <v>363</v>
      </c>
      <c r="E167" s="158">
        <v>1</v>
      </c>
      <c r="F167" s="97"/>
      <c r="G167" s="179"/>
    </row>
    <row r="168" spans="1:9" ht="18" customHeight="1">
      <c r="A168" s="59" t="s">
        <v>1076</v>
      </c>
      <c r="B168" s="159"/>
      <c r="C168" s="131" t="s">
        <v>882</v>
      </c>
      <c r="D168" s="64" t="s">
        <v>363</v>
      </c>
      <c r="E168" s="158">
        <v>1</v>
      </c>
      <c r="F168" s="97"/>
      <c r="G168" s="179"/>
    </row>
    <row r="169" spans="1:9" ht="18" customHeight="1">
      <c r="A169" s="59" t="s">
        <v>1077</v>
      </c>
      <c r="B169" s="159"/>
      <c r="C169" s="131" t="s">
        <v>883</v>
      </c>
      <c r="D169" s="105" t="s">
        <v>15</v>
      </c>
      <c r="E169" s="106">
        <v>1</v>
      </c>
      <c r="F169" s="97"/>
      <c r="G169" s="179"/>
    </row>
    <row r="170" spans="1:9" ht="18" customHeight="1">
      <c r="A170" s="59" t="s">
        <v>1470</v>
      </c>
      <c r="B170" s="159"/>
      <c r="C170" s="131" t="s">
        <v>1471</v>
      </c>
      <c r="D170" s="105" t="s">
        <v>15</v>
      </c>
      <c r="E170" s="106">
        <v>1</v>
      </c>
      <c r="F170" s="97"/>
      <c r="G170" s="179"/>
    </row>
    <row r="171" spans="1:9" ht="18" customHeight="1">
      <c r="A171" s="59"/>
      <c r="B171" s="159"/>
      <c r="C171" s="123"/>
      <c r="D171" s="105"/>
      <c r="E171" s="106"/>
      <c r="F171" s="97"/>
      <c r="G171" s="179"/>
      <c r="H171" s="75"/>
      <c r="I171" s="75"/>
    </row>
    <row r="172" spans="1:9" ht="18" customHeight="1">
      <c r="A172" s="59" t="s">
        <v>1078</v>
      </c>
      <c r="B172" s="57" t="s">
        <v>1449</v>
      </c>
      <c r="C172" s="160" t="s">
        <v>885</v>
      </c>
      <c r="D172" s="105"/>
      <c r="E172" s="106"/>
      <c r="F172" s="97"/>
      <c r="G172" s="179"/>
      <c r="H172" s="75"/>
      <c r="I172" s="75"/>
    </row>
    <row r="173" spans="1:9" ht="18" customHeight="1">
      <c r="A173" s="59" t="s">
        <v>1079</v>
      </c>
      <c r="B173" s="159"/>
      <c r="C173" s="123" t="s">
        <v>887</v>
      </c>
      <c r="D173" s="105" t="s">
        <v>363</v>
      </c>
      <c r="E173" s="106">
        <v>1</v>
      </c>
      <c r="F173" s="97"/>
      <c r="G173" s="179"/>
      <c r="H173" s="75"/>
      <c r="I173" s="75"/>
    </row>
    <row r="174" spans="1:9" ht="18" customHeight="1">
      <c r="A174" s="59" t="s">
        <v>1080</v>
      </c>
      <c r="B174" s="159"/>
      <c r="C174" s="123" t="s">
        <v>889</v>
      </c>
      <c r="D174" s="105" t="s">
        <v>363</v>
      </c>
      <c r="E174" s="106">
        <v>1</v>
      </c>
      <c r="F174" s="97"/>
      <c r="G174" s="179"/>
      <c r="H174" s="75"/>
      <c r="I174" s="75"/>
    </row>
    <row r="175" spans="1:9" ht="18" customHeight="1">
      <c r="A175" s="59" t="s">
        <v>1081</v>
      </c>
      <c r="B175" s="159"/>
      <c r="C175" s="123" t="s">
        <v>891</v>
      </c>
      <c r="D175" s="105" t="s">
        <v>363</v>
      </c>
      <c r="E175" s="106">
        <v>1</v>
      </c>
      <c r="F175" s="97"/>
      <c r="G175" s="179"/>
      <c r="H175" s="75"/>
      <c r="I175" s="75"/>
    </row>
    <row r="176" spans="1:9" ht="18" customHeight="1">
      <c r="A176" s="59" t="s">
        <v>1082</v>
      </c>
      <c r="B176" s="159"/>
      <c r="C176" s="123" t="s">
        <v>893</v>
      </c>
      <c r="D176" s="105" t="s">
        <v>363</v>
      </c>
      <c r="E176" s="106">
        <v>12</v>
      </c>
      <c r="F176" s="97"/>
      <c r="G176" s="179"/>
      <c r="H176" s="75"/>
      <c r="I176" s="75"/>
    </row>
    <row r="177" spans="1:9" ht="18" customHeight="1">
      <c r="A177" s="59" t="s">
        <v>1083</v>
      </c>
      <c r="B177" s="159"/>
      <c r="C177" s="123" t="s">
        <v>895</v>
      </c>
      <c r="D177" s="105" t="s">
        <v>363</v>
      </c>
      <c r="E177" s="106">
        <v>1</v>
      </c>
      <c r="F177" s="97"/>
      <c r="G177" s="179"/>
      <c r="H177" s="75"/>
      <c r="I177" s="75"/>
    </row>
    <row r="178" spans="1:9" ht="18" customHeight="1">
      <c r="A178" s="59" t="s">
        <v>1084</v>
      </c>
      <c r="B178" s="159"/>
      <c r="C178" s="123" t="s">
        <v>896</v>
      </c>
      <c r="D178" s="105" t="s">
        <v>363</v>
      </c>
      <c r="E178" s="106">
        <v>1</v>
      </c>
      <c r="F178" s="97"/>
      <c r="G178" s="179"/>
      <c r="H178" s="75"/>
      <c r="I178" s="75"/>
    </row>
    <row r="179" spans="1:9" ht="18" customHeight="1">
      <c r="A179" s="161"/>
      <c r="B179" s="159"/>
      <c r="C179" s="123"/>
      <c r="D179" s="105"/>
      <c r="E179" s="106"/>
      <c r="F179" s="97"/>
      <c r="G179" s="179"/>
      <c r="H179" s="75"/>
      <c r="I179" s="75"/>
    </row>
    <row r="180" spans="1:9" ht="18" customHeight="1">
      <c r="A180" s="59" t="s">
        <v>1085</v>
      </c>
      <c r="B180" s="57" t="s">
        <v>1450</v>
      </c>
      <c r="C180" s="160" t="s">
        <v>898</v>
      </c>
      <c r="D180" s="105"/>
      <c r="E180" s="106"/>
      <c r="F180" s="97"/>
      <c r="G180" s="179"/>
      <c r="H180" s="75"/>
      <c r="I180" s="75"/>
    </row>
    <row r="181" spans="1:9" ht="18" customHeight="1">
      <c r="A181" s="59" t="s">
        <v>1086</v>
      </c>
      <c r="B181" s="159"/>
      <c r="C181" s="123" t="s">
        <v>900</v>
      </c>
      <c r="D181" s="105" t="s">
        <v>363</v>
      </c>
      <c r="E181" s="106">
        <v>14</v>
      </c>
      <c r="F181" s="97"/>
      <c r="G181" s="179"/>
      <c r="H181" s="75"/>
      <c r="I181" s="75"/>
    </row>
    <row r="182" spans="1:9" ht="18" customHeight="1">
      <c r="A182" s="59" t="s">
        <v>1087</v>
      </c>
      <c r="B182" s="159"/>
      <c r="C182" s="123" t="s">
        <v>902</v>
      </c>
      <c r="D182" s="105" t="s">
        <v>363</v>
      </c>
      <c r="E182" s="106">
        <v>12</v>
      </c>
      <c r="F182" s="97"/>
      <c r="G182" s="179"/>
      <c r="H182" s="75"/>
      <c r="I182" s="75"/>
    </row>
    <row r="183" spans="1:9" ht="18" customHeight="1">
      <c r="A183" s="59"/>
      <c r="B183" s="159"/>
      <c r="C183" s="123"/>
      <c r="D183" s="105"/>
      <c r="E183" s="106"/>
      <c r="F183" s="97"/>
      <c r="G183" s="179"/>
      <c r="H183" s="75"/>
      <c r="I183" s="75"/>
    </row>
    <row r="184" spans="1:9" ht="18" customHeight="1">
      <c r="A184" s="59" t="s">
        <v>1088</v>
      </c>
      <c r="B184" s="159"/>
      <c r="C184" s="160" t="s">
        <v>904</v>
      </c>
      <c r="D184" s="105"/>
      <c r="E184" s="106"/>
      <c r="F184" s="97"/>
      <c r="G184" s="179"/>
      <c r="H184" s="75"/>
      <c r="I184" s="75"/>
    </row>
    <row r="185" spans="1:9" ht="18" customHeight="1">
      <c r="A185" s="59" t="s">
        <v>1089</v>
      </c>
      <c r="B185" s="159"/>
      <c r="C185" s="123" t="s">
        <v>906</v>
      </c>
      <c r="D185" s="105" t="s">
        <v>363</v>
      </c>
      <c r="E185" s="106">
        <v>4</v>
      </c>
      <c r="F185" s="97"/>
      <c r="G185" s="179"/>
      <c r="H185" s="75"/>
      <c r="I185" s="75"/>
    </row>
    <row r="186" spans="1:9" ht="18" customHeight="1">
      <c r="A186" s="622" t="s">
        <v>88</v>
      </c>
      <c r="B186" s="623"/>
      <c r="C186" s="623"/>
      <c r="D186" s="113"/>
      <c r="E186" s="114"/>
      <c r="F186" s="144"/>
      <c r="G186" s="176"/>
      <c r="H186" s="75"/>
      <c r="I186" s="75"/>
    </row>
    <row r="187" spans="1:9" ht="18" customHeight="1">
      <c r="A187" s="616" t="s">
        <v>89</v>
      </c>
      <c r="B187" s="617"/>
      <c r="C187" s="618"/>
      <c r="D187" s="115"/>
      <c r="E187" s="116"/>
      <c r="F187" s="145"/>
      <c r="G187" s="176"/>
      <c r="H187" s="75"/>
      <c r="I187" s="75"/>
    </row>
    <row r="188" spans="1:9" ht="15" customHeight="1">
      <c r="A188" s="161"/>
      <c r="B188" s="57"/>
      <c r="C188" s="123"/>
      <c r="D188" s="105"/>
      <c r="E188" s="106"/>
      <c r="F188" s="97"/>
      <c r="G188" s="179"/>
      <c r="H188" s="75"/>
      <c r="I188" s="75"/>
    </row>
    <row r="189" spans="1:9" ht="18" customHeight="1">
      <c r="A189" s="59" t="s">
        <v>1090</v>
      </c>
      <c r="B189" s="57" t="s">
        <v>1451</v>
      </c>
      <c r="C189" s="160" t="s">
        <v>908</v>
      </c>
      <c r="D189" s="105"/>
      <c r="E189" s="106"/>
      <c r="F189" s="97"/>
      <c r="G189" s="179"/>
      <c r="H189" s="75"/>
      <c r="I189" s="75"/>
    </row>
    <row r="190" spans="1:9" ht="18" customHeight="1">
      <c r="A190" s="59" t="s">
        <v>1091</v>
      </c>
      <c r="B190" s="159"/>
      <c r="C190" s="123" t="s">
        <v>1092</v>
      </c>
      <c r="D190" s="105" t="s">
        <v>15</v>
      </c>
      <c r="E190" s="106">
        <v>1</v>
      </c>
      <c r="F190" s="97"/>
      <c r="G190" s="179"/>
      <c r="H190" s="75"/>
      <c r="I190" s="75"/>
    </row>
    <row r="191" spans="1:9" ht="18" customHeight="1">
      <c r="A191" s="59"/>
      <c r="B191" s="159"/>
      <c r="C191" s="131"/>
      <c r="D191" s="105"/>
      <c r="E191" s="106"/>
      <c r="F191" s="97"/>
      <c r="G191" s="179"/>
      <c r="H191" s="75"/>
      <c r="I191" s="75"/>
    </row>
    <row r="192" spans="1:9" ht="18" customHeight="1">
      <c r="A192" s="59" t="s">
        <v>1093</v>
      </c>
      <c r="B192" s="57" t="s">
        <v>1452</v>
      </c>
      <c r="C192" s="160" t="s">
        <v>914</v>
      </c>
      <c r="D192" s="105"/>
      <c r="E192" s="106"/>
      <c r="F192" s="97"/>
      <c r="G192" s="179"/>
    </row>
    <row r="193" spans="1:9" ht="18" customHeight="1">
      <c r="A193" s="59" t="s">
        <v>1094</v>
      </c>
      <c r="B193" s="159"/>
      <c r="C193" s="131" t="s">
        <v>916</v>
      </c>
      <c r="D193" s="105" t="s">
        <v>303</v>
      </c>
      <c r="E193" s="106">
        <v>450</v>
      </c>
      <c r="F193" s="97"/>
      <c r="G193" s="179"/>
      <c r="H193" s="75"/>
      <c r="I193" s="75"/>
    </row>
    <row r="194" spans="1:9" ht="18" customHeight="1">
      <c r="A194" s="59" t="s">
        <v>1095</v>
      </c>
      <c r="B194" s="57"/>
      <c r="C194" s="131" t="s">
        <v>918</v>
      </c>
      <c r="D194" s="105" t="s">
        <v>303</v>
      </c>
      <c r="E194" s="106">
        <v>100</v>
      </c>
      <c r="F194" s="97"/>
      <c r="G194" s="179"/>
      <c r="H194" s="75"/>
      <c r="I194" s="75"/>
    </row>
    <row r="195" spans="1:9" ht="18" customHeight="1">
      <c r="A195" s="59" t="s">
        <v>1096</v>
      </c>
      <c r="B195" s="108"/>
      <c r="C195" s="131" t="s">
        <v>920</v>
      </c>
      <c r="D195" s="105" t="s">
        <v>303</v>
      </c>
      <c r="E195" s="106">
        <v>150</v>
      </c>
      <c r="F195" s="97"/>
      <c r="G195" s="179"/>
      <c r="H195" s="75"/>
      <c r="I195" s="75"/>
    </row>
    <row r="196" spans="1:9" ht="18" customHeight="1">
      <c r="A196" s="59" t="s">
        <v>1097</v>
      </c>
      <c r="B196" s="108"/>
      <c r="C196" s="131" t="s">
        <v>922</v>
      </c>
      <c r="D196" s="105" t="s">
        <v>303</v>
      </c>
      <c r="E196" s="106">
        <v>200</v>
      </c>
      <c r="F196" s="97"/>
      <c r="G196" s="179"/>
      <c r="H196" s="75"/>
      <c r="I196" s="75"/>
    </row>
    <row r="197" spans="1:9" ht="18" customHeight="1">
      <c r="A197" s="59" t="s">
        <v>1098</v>
      </c>
      <c r="B197" s="108"/>
      <c r="C197" s="131" t="s">
        <v>923</v>
      </c>
      <c r="D197" s="105" t="s">
        <v>303</v>
      </c>
      <c r="E197" s="106">
        <v>6050</v>
      </c>
      <c r="F197" s="97"/>
      <c r="G197" s="179"/>
      <c r="H197" s="75"/>
      <c r="I197" s="75"/>
    </row>
    <row r="198" spans="1:9" ht="18" customHeight="1">
      <c r="A198" s="59" t="s">
        <v>1099</v>
      </c>
      <c r="B198" s="108"/>
      <c r="C198" s="131" t="s">
        <v>924</v>
      </c>
      <c r="D198" s="105" t="s">
        <v>303</v>
      </c>
      <c r="E198" s="106">
        <v>1250</v>
      </c>
      <c r="F198" s="97"/>
      <c r="G198" s="179"/>
      <c r="H198" s="75"/>
      <c r="I198" s="75"/>
    </row>
    <row r="199" spans="1:9" ht="18" customHeight="1">
      <c r="A199" s="59" t="s">
        <v>1100</v>
      </c>
      <c r="B199" s="108"/>
      <c r="C199" s="131" t="s">
        <v>925</v>
      </c>
      <c r="D199" s="105" t="s">
        <v>303</v>
      </c>
      <c r="E199" s="106">
        <v>620</v>
      </c>
      <c r="F199" s="97"/>
      <c r="G199" s="179"/>
      <c r="H199" s="75"/>
      <c r="I199" s="75"/>
    </row>
    <row r="200" spans="1:9" ht="18" customHeight="1">
      <c r="A200" s="59" t="s">
        <v>1101</v>
      </c>
      <c r="B200" s="108"/>
      <c r="C200" s="131" t="s">
        <v>926</v>
      </c>
      <c r="D200" s="105" t="s">
        <v>303</v>
      </c>
      <c r="E200" s="106">
        <v>600</v>
      </c>
      <c r="F200" s="97"/>
      <c r="G200" s="179"/>
      <c r="H200" s="75"/>
      <c r="I200" s="75"/>
    </row>
    <row r="201" spans="1:9" ht="18" customHeight="1">
      <c r="A201" s="59" t="s">
        <v>1102</v>
      </c>
      <c r="B201" s="108"/>
      <c r="C201" s="131" t="s">
        <v>927</v>
      </c>
      <c r="D201" s="105" t="s">
        <v>303</v>
      </c>
      <c r="E201" s="106">
        <v>600</v>
      </c>
      <c r="F201" s="97"/>
      <c r="G201" s="179"/>
      <c r="H201" s="75"/>
      <c r="I201" s="75"/>
    </row>
    <row r="202" spans="1:9" ht="14.25" customHeight="1">
      <c r="A202" s="161"/>
      <c r="B202" s="159"/>
      <c r="C202" s="123"/>
      <c r="D202" s="105"/>
      <c r="E202" s="106"/>
      <c r="F202" s="97"/>
      <c r="G202" s="179"/>
      <c r="H202" s="75"/>
      <c r="I202" s="75"/>
    </row>
    <row r="203" spans="1:9" s="75" customFormat="1" ht="18" customHeight="1">
      <c r="A203" s="59" t="s">
        <v>1103</v>
      </c>
      <c r="B203" s="57" t="s">
        <v>1453</v>
      </c>
      <c r="C203" s="160" t="s">
        <v>929</v>
      </c>
      <c r="D203" s="105"/>
      <c r="E203" s="106"/>
      <c r="F203" s="97"/>
      <c r="G203" s="179"/>
    </row>
    <row r="204" spans="1:9" ht="18" customHeight="1">
      <c r="A204" s="59" t="s">
        <v>1104</v>
      </c>
      <c r="B204" s="108"/>
      <c r="C204" s="131" t="s">
        <v>916</v>
      </c>
      <c r="D204" s="105" t="s">
        <v>363</v>
      </c>
      <c r="E204" s="106">
        <v>6</v>
      </c>
      <c r="F204" s="97"/>
      <c r="G204" s="179"/>
      <c r="H204" s="75"/>
      <c r="I204" s="75"/>
    </row>
    <row r="205" spans="1:9" ht="18" customHeight="1">
      <c r="A205" s="59" t="s">
        <v>1105</v>
      </c>
      <c r="B205" s="108"/>
      <c r="C205" s="131" t="s">
        <v>918</v>
      </c>
      <c r="D205" s="105" t="s">
        <v>363</v>
      </c>
      <c r="E205" s="106">
        <v>4</v>
      </c>
      <c r="F205" s="97"/>
      <c r="G205" s="179"/>
      <c r="H205" s="75"/>
      <c r="I205" s="75"/>
    </row>
    <row r="206" spans="1:9" ht="18" customHeight="1">
      <c r="A206" s="59" t="s">
        <v>1106</v>
      </c>
      <c r="B206" s="108"/>
      <c r="C206" s="131" t="s">
        <v>920</v>
      </c>
      <c r="D206" s="105" t="s">
        <v>363</v>
      </c>
      <c r="E206" s="106">
        <v>6</v>
      </c>
      <c r="F206" s="97"/>
      <c r="G206" s="179"/>
      <c r="H206" s="75"/>
      <c r="I206" s="75"/>
    </row>
    <row r="207" spans="1:9" ht="18" customHeight="1">
      <c r="A207" s="59" t="s">
        <v>1107</v>
      </c>
      <c r="B207" s="108"/>
      <c r="C207" s="131" t="s">
        <v>922</v>
      </c>
      <c r="D207" s="105" t="s">
        <v>363</v>
      </c>
      <c r="E207" s="106">
        <v>8</v>
      </c>
      <c r="F207" s="97"/>
      <c r="G207" s="179"/>
      <c r="H207" s="75"/>
      <c r="I207" s="75"/>
    </row>
    <row r="208" spans="1:9" ht="18" customHeight="1">
      <c r="A208" s="59" t="s">
        <v>1108</v>
      </c>
      <c r="B208" s="108"/>
      <c r="C208" s="131" t="s">
        <v>923</v>
      </c>
      <c r="D208" s="105" t="s">
        <v>363</v>
      </c>
      <c r="E208" s="106">
        <v>240</v>
      </c>
      <c r="F208" s="97"/>
      <c r="G208" s="179"/>
      <c r="H208" s="75"/>
      <c r="I208" s="75"/>
    </row>
    <row r="209" spans="1:9" ht="18" customHeight="1">
      <c r="A209" s="59" t="s">
        <v>1109</v>
      </c>
      <c r="B209" s="108"/>
      <c r="C209" s="131" t="s">
        <v>924</v>
      </c>
      <c r="D209" s="105" t="s">
        <v>363</v>
      </c>
      <c r="E209" s="106">
        <v>50</v>
      </c>
      <c r="F209" s="97"/>
      <c r="G209" s="179"/>
      <c r="H209" s="75"/>
      <c r="I209" s="75"/>
    </row>
    <row r="210" spans="1:9" ht="18" customHeight="1">
      <c r="A210" s="59" t="s">
        <v>1110</v>
      </c>
      <c r="B210" s="108"/>
      <c r="C210" s="131" t="s">
        <v>925</v>
      </c>
      <c r="D210" s="105" t="s">
        <v>363</v>
      </c>
      <c r="E210" s="106">
        <v>44</v>
      </c>
      <c r="F210" s="97"/>
      <c r="G210" s="179"/>
      <c r="H210" s="75"/>
      <c r="I210" s="75"/>
    </row>
    <row r="211" spans="1:9" ht="18" customHeight="1">
      <c r="A211" s="59" t="s">
        <v>1111</v>
      </c>
      <c r="B211" s="108"/>
      <c r="C211" s="131" t="s">
        <v>926</v>
      </c>
      <c r="D211" s="105" t="s">
        <v>363</v>
      </c>
      <c r="E211" s="106">
        <v>24</v>
      </c>
      <c r="F211" s="97"/>
      <c r="G211" s="179"/>
      <c r="H211" s="75"/>
      <c r="I211" s="75"/>
    </row>
    <row r="212" spans="1:9" ht="18" customHeight="1">
      <c r="A212" s="59" t="s">
        <v>1112</v>
      </c>
      <c r="B212" s="108"/>
      <c r="C212" s="131" t="s">
        <v>927</v>
      </c>
      <c r="D212" s="105" t="s">
        <v>363</v>
      </c>
      <c r="E212" s="106">
        <v>24</v>
      </c>
      <c r="F212" s="97"/>
      <c r="G212" s="179"/>
      <c r="H212" s="75"/>
      <c r="I212" s="75"/>
    </row>
    <row r="213" spans="1:9" ht="15" customHeight="1">
      <c r="A213" s="161"/>
      <c r="B213" s="159"/>
      <c r="C213" s="131"/>
      <c r="D213" s="105"/>
      <c r="E213" s="106"/>
      <c r="F213" s="97"/>
      <c r="G213" s="179"/>
      <c r="H213" s="75"/>
      <c r="I213" s="75"/>
    </row>
    <row r="214" spans="1:9" s="75" customFormat="1" ht="18" customHeight="1">
      <c r="A214" s="59" t="s">
        <v>1113</v>
      </c>
      <c r="B214" s="57" t="s">
        <v>1452</v>
      </c>
      <c r="C214" s="160" t="s">
        <v>940</v>
      </c>
      <c r="D214" s="105"/>
      <c r="E214" s="106"/>
      <c r="F214" s="97"/>
      <c r="G214" s="179"/>
    </row>
    <row r="215" spans="1:9" s="75" customFormat="1" ht="18" customHeight="1">
      <c r="A215" s="59" t="s">
        <v>1114</v>
      </c>
      <c r="B215" s="159"/>
      <c r="C215" s="131" t="s">
        <v>942</v>
      </c>
      <c r="D215" s="105" t="s">
        <v>303</v>
      </c>
      <c r="E215" s="106">
        <v>450</v>
      </c>
      <c r="F215" s="97"/>
      <c r="G215" s="179"/>
    </row>
    <row r="216" spans="1:9" s="75" customFormat="1" ht="18" customHeight="1">
      <c r="A216" s="59" t="s">
        <v>1115</v>
      </c>
      <c r="B216" s="159"/>
      <c r="C216" s="131" t="s">
        <v>944</v>
      </c>
      <c r="D216" s="105" t="s">
        <v>303</v>
      </c>
      <c r="E216" s="106">
        <v>150</v>
      </c>
      <c r="F216" s="97"/>
      <c r="G216" s="179"/>
    </row>
    <row r="217" spans="1:9" s="75" customFormat="1" ht="18" customHeight="1">
      <c r="A217" s="59" t="s">
        <v>1116</v>
      </c>
      <c r="B217" s="159"/>
      <c r="C217" s="131" t="s">
        <v>946</v>
      </c>
      <c r="D217" s="105" t="s">
        <v>303</v>
      </c>
      <c r="E217" s="106">
        <v>200</v>
      </c>
      <c r="F217" s="97"/>
      <c r="G217" s="179"/>
    </row>
    <row r="218" spans="1:9" s="75" customFormat="1" ht="18" customHeight="1">
      <c r="A218" s="59" t="s">
        <v>1117</v>
      </c>
      <c r="B218" s="159"/>
      <c r="C218" s="131" t="s">
        <v>948</v>
      </c>
      <c r="D218" s="105" t="s">
        <v>303</v>
      </c>
      <c r="E218" s="106">
        <v>1600</v>
      </c>
      <c r="F218" s="97"/>
      <c r="G218" s="179"/>
    </row>
    <row r="219" spans="1:9" s="75" customFormat="1" ht="11.25" customHeight="1">
      <c r="A219" s="161"/>
      <c r="B219" s="159"/>
      <c r="C219" s="111"/>
      <c r="D219" s="105"/>
      <c r="E219" s="119"/>
      <c r="F219" s="97"/>
      <c r="G219" s="179"/>
    </row>
    <row r="220" spans="1:9" s="75" customFormat="1" ht="18" customHeight="1">
      <c r="A220" s="59" t="s">
        <v>1118</v>
      </c>
      <c r="B220" s="57" t="s">
        <v>1453</v>
      </c>
      <c r="C220" s="160" t="s">
        <v>950</v>
      </c>
      <c r="D220" s="105"/>
      <c r="E220" s="119"/>
      <c r="F220" s="97"/>
      <c r="G220" s="179"/>
    </row>
    <row r="221" spans="1:9" s="75" customFormat="1" ht="18" customHeight="1">
      <c r="A221" s="59" t="s">
        <v>1119</v>
      </c>
      <c r="B221" s="159"/>
      <c r="C221" s="131" t="s">
        <v>942</v>
      </c>
      <c r="D221" s="105" t="s">
        <v>363</v>
      </c>
      <c r="E221" s="119">
        <v>6</v>
      </c>
      <c r="F221" s="97"/>
      <c r="G221" s="179"/>
    </row>
    <row r="222" spans="1:9" s="75" customFormat="1" ht="18" customHeight="1">
      <c r="A222" s="59" t="s">
        <v>1120</v>
      </c>
      <c r="B222" s="159"/>
      <c r="C222" s="131" t="s">
        <v>944</v>
      </c>
      <c r="D222" s="105" t="s">
        <v>363</v>
      </c>
      <c r="E222" s="119">
        <v>6</v>
      </c>
      <c r="F222" s="97"/>
      <c r="G222" s="179"/>
    </row>
    <row r="223" spans="1:9" s="75" customFormat="1" ht="18" customHeight="1">
      <c r="A223" s="59" t="s">
        <v>1121</v>
      </c>
      <c r="B223" s="159"/>
      <c r="C223" s="131" t="s">
        <v>946</v>
      </c>
      <c r="D223" s="105" t="s">
        <v>363</v>
      </c>
      <c r="E223" s="119">
        <v>8</v>
      </c>
      <c r="F223" s="97"/>
      <c r="G223" s="179"/>
    </row>
    <row r="224" spans="1:9" s="75" customFormat="1" ht="18" customHeight="1">
      <c r="A224" s="59" t="s">
        <v>1122</v>
      </c>
      <c r="B224" s="159"/>
      <c r="C224" s="131" t="s">
        <v>948</v>
      </c>
      <c r="D224" s="105" t="s">
        <v>363</v>
      </c>
      <c r="E224" s="119">
        <v>64</v>
      </c>
      <c r="F224" s="97"/>
      <c r="G224" s="179"/>
    </row>
    <row r="225" spans="1:7" s="75" customFormat="1" ht="19.5" customHeight="1">
      <c r="A225" s="161"/>
      <c r="B225" s="159"/>
      <c r="C225" s="163"/>
      <c r="D225" s="105"/>
      <c r="E225" s="106"/>
      <c r="F225" s="97"/>
      <c r="G225" s="179"/>
    </row>
    <row r="226" spans="1:7" s="164" customFormat="1" ht="18" customHeight="1">
      <c r="A226" s="59" t="s">
        <v>1123</v>
      </c>
      <c r="B226" s="57" t="s">
        <v>1454</v>
      </c>
      <c r="C226" s="111" t="s">
        <v>956</v>
      </c>
      <c r="D226" s="64"/>
      <c r="E226" s="106"/>
      <c r="F226" s="97"/>
      <c r="G226" s="179"/>
    </row>
    <row r="227" spans="1:7" s="164" customFormat="1" ht="18" customHeight="1">
      <c r="A227" s="59" t="s">
        <v>1124</v>
      </c>
      <c r="B227" s="159"/>
      <c r="C227" s="131" t="s">
        <v>958</v>
      </c>
      <c r="D227" s="105" t="s">
        <v>303</v>
      </c>
      <c r="E227" s="119">
        <v>500</v>
      </c>
      <c r="F227" s="97"/>
      <c r="G227" s="179"/>
    </row>
    <row r="228" spans="1:7" s="75" customFormat="1" ht="18" customHeight="1">
      <c r="A228" s="59" t="s">
        <v>1125</v>
      </c>
      <c r="B228" s="159"/>
      <c r="C228" s="131" t="s">
        <v>960</v>
      </c>
      <c r="D228" s="105" t="s">
        <v>303</v>
      </c>
      <c r="E228" s="106">
        <v>20</v>
      </c>
      <c r="F228" s="97"/>
      <c r="G228" s="179"/>
    </row>
    <row r="229" spans="1:7" s="75" customFormat="1" ht="18" customHeight="1">
      <c r="A229" s="59" t="s">
        <v>1126</v>
      </c>
      <c r="B229" s="159"/>
      <c r="C229" s="131" t="s">
        <v>962</v>
      </c>
      <c r="D229" s="105" t="s">
        <v>363</v>
      </c>
      <c r="E229" s="106">
        <v>10</v>
      </c>
      <c r="F229" s="97"/>
      <c r="G229" s="179"/>
    </row>
    <row r="230" spans="1:7" s="75" customFormat="1" ht="18" customHeight="1">
      <c r="A230" s="59" t="s">
        <v>1127</v>
      </c>
      <c r="B230" s="159"/>
      <c r="C230" s="163" t="s">
        <v>964</v>
      </c>
      <c r="D230" s="105" t="s">
        <v>303</v>
      </c>
      <c r="E230" s="106">
        <v>500</v>
      </c>
      <c r="F230" s="97"/>
      <c r="G230" s="179"/>
    </row>
    <row r="231" spans="1:7" s="75" customFormat="1" ht="19.5" customHeight="1">
      <c r="A231" s="161"/>
      <c r="B231" s="159"/>
      <c r="C231" s="163"/>
      <c r="D231" s="105"/>
      <c r="E231" s="106"/>
      <c r="F231" s="97"/>
      <c r="G231" s="179"/>
    </row>
    <row r="232" spans="1:7" s="75" customFormat="1" ht="18" customHeight="1">
      <c r="A232" s="59" t="s">
        <v>1128</v>
      </c>
      <c r="B232" s="57" t="s">
        <v>1455</v>
      </c>
      <c r="C232" s="111" t="s">
        <v>966</v>
      </c>
      <c r="D232" s="105"/>
      <c r="E232" s="106"/>
      <c r="F232" s="97"/>
      <c r="G232" s="179"/>
    </row>
    <row r="233" spans="1:7" s="75" customFormat="1" ht="18" customHeight="1">
      <c r="A233" s="59" t="s">
        <v>1129</v>
      </c>
      <c r="B233" s="159"/>
      <c r="C233" s="163" t="s">
        <v>968</v>
      </c>
      <c r="D233" s="105" t="s">
        <v>969</v>
      </c>
      <c r="E233" s="106">
        <v>3</v>
      </c>
      <c r="F233" s="97"/>
      <c r="G233" s="179"/>
    </row>
    <row r="234" spans="1:7" s="75" customFormat="1" ht="18" customHeight="1">
      <c r="A234" s="59"/>
      <c r="B234" s="159"/>
      <c r="C234" s="163"/>
      <c r="D234" s="105"/>
      <c r="E234" s="106"/>
      <c r="F234" s="97"/>
      <c r="G234" s="179"/>
    </row>
    <row r="235" spans="1:7" s="75" customFormat="1" ht="18" customHeight="1">
      <c r="A235" s="59"/>
      <c r="B235" s="159"/>
      <c r="C235" s="163"/>
      <c r="D235" s="105"/>
      <c r="E235" s="106"/>
      <c r="F235" s="97"/>
      <c r="G235" s="179"/>
    </row>
    <row r="236" spans="1:7" s="75" customFormat="1" ht="18" customHeight="1">
      <c r="A236" s="622" t="s">
        <v>88</v>
      </c>
      <c r="B236" s="623"/>
      <c r="C236" s="623"/>
      <c r="D236" s="113"/>
      <c r="E236" s="114"/>
      <c r="F236" s="144"/>
      <c r="G236" s="176"/>
    </row>
    <row r="237" spans="1:7" s="75" customFormat="1" ht="18" customHeight="1">
      <c r="A237" s="644" t="s">
        <v>89</v>
      </c>
      <c r="B237" s="645"/>
      <c r="C237" s="646"/>
      <c r="D237" s="115"/>
      <c r="E237" s="116"/>
      <c r="F237" s="145"/>
      <c r="G237" s="176"/>
    </row>
    <row r="238" spans="1:7" s="75" customFormat="1" ht="18.75" customHeight="1">
      <c r="A238" s="59"/>
      <c r="B238" s="159"/>
      <c r="C238" s="163"/>
      <c r="D238" s="105"/>
      <c r="E238" s="106"/>
      <c r="F238" s="97"/>
      <c r="G238" s="179"/>
    </row>
    <row r="239" spans="1:7" s="75" customFormat="1" ht="18.75" customHeight="1">
      <c r="A239" s="59" t="s">
        <v>1130</v>
      </c>
      <c r="B239" s="57" t="s">
        <v>1455</v>
      </c>
      <c r="C239" s="111" t="s">
        <v>971</v>
      </c>
      <c r="D239" s="105"/>
      <c r="E239" s="106"/>
      <c r="F239" s="97"/>
      <c r="G239" s="179"/>
    </row>
    <row r="240" spans="1:7" s="75" customFormat="1" ht="18.75" customHeight="1">
      <c r="A240" s="59" t="s">
        <v>1131</v>
      </c>
      <c r="B240" s="159"/>
      <c r="C240" s="163" t="s">
        <v>968</v>
      </c>
      <c r="D240" s="105" t="s">
        <v>969</v>
      </c>
      <c r="E240" s="106">
        <v>3</v>
      </c>
      <c r="F240" s="97"/>
      <c r="G240" s="179"/>
    </row>
    <row r="241" spans="1:7" s="75" customFormat="1" ht="18.75" customHeight="1">
      <c r="A241" s="161"/>
      <c r="B241" s="159"/>
      <c r="C241" s="163"/>
      <c r="D241" s="105"/>
      <c r="E241" s="106"/>
      <c r="F241" s="97"/>
      <c r="G241" s="179"/>
    </row>
    <row r="242" spans="1:7" s="75" customFormat="1" ht="18.75" customHeight="1">
      <c r="A242" s="59" t="s">
        <v>1132</v>
      </c>
      <c r="B242" s="57" t="s">
        <v>1455</v>
      </c>
      <c r="C242" s="111" t="s">
        <v>974</v>
      </c>
      <c r="D242" s="105"/>
      <c r="E242" s="106"/>
      <c r="F242" s="97"/>
      <c r="G242" s="179"/>
    </row>
    <row r="243" spans="1:7" s="75" customFormat="1" ht="18.75" customHeight="1">
      <c r="A243" s="59" t="s">
        <v>1133</v>
      </c>
      <c r="B243" s="159"/>
      <c r="C243" s="163" t="s">
        <v>976</v>
      </c>
      <c r="D243" s="105" t="s">
        <v>977</v>
      </c>
      <c r="E243" s="106">
        <v>10</v>
      </c>
      <c r="F243" s="97"/>
      <c r="G243" s="179"/>
    </row>
    <row r="244" spans="1:7" s="75" customFormat="1" ht="18.75" customHeight="1">
      <c r="A244" s="59" t="s">
        <v>1134</v>
      </c>
      <c r="B244" s="159"/>
      <c r="C244" s="163" t="s">
        <v>978</v>
      </c>
      <c r="D244" s="105" t="s">
        <v>977</v>
      </c>
      <c r="E244" s="106">
        <v>5</v>
      </c>
      <c r="F244" s="97"/>
      <c r="G244" s="179"/>
    </row>
    <row r="245" spans="1:7" s="75" customFormat="1" ht="18.75" customHeight="1">
      <c r="A245" s="59" t="s">
        <v>1135</v>
      </c>
      <c r="B245" s="159"/>
      <c r="C245" s="163" t="s">
        <v>979</v>
      </c>
      <c r="D245" s="105" t="s">
        <v>977</v>
      </c>
      <c r="E245" s="106">
        <v>6</v>
      </c>
      <c r="F245" s="97"/>
      <c r="G245" s="179"/>
    </row>
    <row r="246" spans="1:7" s="75" customFormat="1" ht="18.75" customHeight="1">
      <c r="A246" s="59" t="s">
        <v>1136</v>
      </c>
      <c r="B246" s="159"/>
      <c r="C246" s="163" t="s">
        <v>980</v>
      </c>
      <c r="D246" s="105" t="s">
        <v>977</v>
      </c>
      <c r="E246" s="106">
        <v>3</v>
      </c>
      <c r="F246" s="97"/>
      <c r="G246" s="179"/>
    </row>
    <row r="247" spans="1:7" s="75" customFormat="1" ht="18.75" customHeight="1">
      <c r="A247" s="161"/>
      <c r="B247" s="159"/>
      <c r="C247" s="163"/>
      <c r="D247" s="105"/>
      <c r="E247" s="106"/>
      <c r="F247" s="97"/>
      <c r="G247" s="179"/>
    </row>
    <row r="248" spans="1:7" s="75" customFormat="1" ht="18.75" customHeight="1">
      <c r="A248" s="59" t="s">
        <v>1137</v>
      </c>
      <c r="B248" s="57" t="s">
        <v>1455</v>
      </c>
      <c r="C248" s="111" t="s">
        <v>982</v>
      </c>
      <c r="D248" s="105"/>
      <c r="E248" s="106"/>
      <c r="F248" s="97"/>
      <c r="G248" s="179"/>
    </row>
    <row r="249" spans="1:7" s="75" customFormat="1" ht="18.75" customHeight="1">
      <c r="A249" s="59" t="s">
        <v>1138</v>
      </c>
      <c r="B249" s="159"/>
      <c r="C249" s="163" t="s">
        <v>984</v>
      </c>
      <c r="D249" s="105" t="s">
        <v>977</v>
      </c>
      <c r="E249" s="106">
        <v>30</v>
      </c>
      <c r="F249" s="97"/>
      <c r="G249" s="179"/>
    </row>
    <row r="250" spans="1:7" s="75" customFormat="1" ht="18.75" customHeight="1">
      <c r="A250" s="59" t="s">
        <v>1139</v>
      </c>
      <c r="B250" s="159"/>
      <c r="C250" s="163" t="s">
        <v>986</v>
      </c>
      <c r="D250" s="105" t="s">
        <v>977</v>
      </c>
      <c r="E250" s="106">
        <v>57</v>
      </c>
      <c r="F250" s="97"/>
      <c r="G250" s="179"/>
    </row>
    <row r="251" spans="1:7" s="75" customFormat="1" ht="18.75" customHeight="1">
      <c r="A251" s="59" t="s">
        <v>1140</v>
      </c>
      <c r="B251" s="159"/>
      <c r="C251" s="163" t="s">
        <v>988</v>
      </c>
      <c r="D251" s="105" t="s">
        <v>977</v>
      </c>
      <c r="E251" s="106">
        <v>40</v>
      </c>
      <c r="F251" s="97"/>
      <c r="G251" s="179"/>
    </row>
    <row r="252" spans="1:7" s="75" customFormat="1" ht="18.75" customHeight="1">
      <c r="A252" s="59" t="s">
        <v>1141</v>
      </c>
      <c r="B252" s="159"/>
      <c r="C252" s="163" t="s">
        <v>990</v>
      </c>
      <c r="D252" s="105" t="s">
        <v>977</v>
      </c>
      <c r="E252" s="106">
        <v>10</v>
      </c>
      <c r="F252" s="97"/>
      <c r="G252" s="179"/>
    </row>
    <row r="253" spans="1:7" s="75" customFormat="1" ht="18.75" customHeight="1">
      <c r="A253" s="59" t="s">
        <v>1142</v>
      </c>
      <c r="B253" s="159"/>
      <c r="C253" s="163" t="s">
        <v>991</v>
      </c>
      <c r="D253" s="105" t="s">
        <v>977</v>
      </c>
      <c r="E253" s="106">
        <v>57</v>
      </c>
      <c r="F253" s="97"/>
      <c r="G253" s="179"/>
    </row>
    <row r="254" spans="1:7" s="75" customFormat="1" ht="18.75" customHeight="1">
      <c r="A254" s="161"/>
      <c r="B254" s="159"/>
      <c r="C254" s="163"/>
      <c r="D254" s="105"/>
      <c r="E254" s="106"/>
      <c r="F254" s="97"/>
      <c r="G254" s="179"/>
    </row>
    <row r="255" spans="1:7" s="75" customFormat="1" ht="18.75" customHeight="1">
      <c r="A255" s="59" t="s">
        <v>1143</v>
      </c>
      <c r="B255" s="57" t="s">
        <v>1455</v>
      </c>
      <c r="C255" s="111" t="s">
        <v>993</v>
      </c>
      <c r="D255" s="105"/>
      <c r="E255" s="106"/>
      <c r="F255" s="97"/>
      <c r="G255" s="179"/>
    </row>
    <row r="256" spans="1:7" s="75" customFormat="1" ht="18.75" customHeight="1">
      <c r="A256" s="59" t="s">
        <v>1144</v>
      </c>
      <c r="B256" s="159"/>
      <c r="C256" s="163" t="s">
        <v>995</v>
      </c>
      <c r="D256" s="105" t="s">
        <v>977</v>
      </c>
      <c r="E256" s="106">
        <v>12</v>
      </c>
      <c r="F256" s="97"/>
      <c r="G256" s="179"/>
    </row>
    <row r="257" spans="1:7" s="75" customFormat="1" ht="18.75" customHeight="1">
      <c r="A257" s="59" t="s">
        <v>1145</v>
      </c>
      <c r="B257" s="159"/>
      <c r="C257" s="163" t="s">
        <v>997</v>
      </c>
      <c r="D257" s="105" t="s">
        <v>977</v>
      </c>
      <c r="E257" s="106">
        <v>4</v>
      </c>
      <c r="F257" s="97"/>
      <c r="G257" s="179"/>
    </row>
    <row r="258" spans="1:7" s="75" customFormat="1" ht="18.75" customHeight="1">
      <c r="A258" s="59" t="s">
        <v>1146</v>
      </c>
      <c r="B258" s="159"/>
      <c r="C258" s="163" t="s">
        <v>999</v>
      </c>
      <c r="D258" s="105" t="s">
        <v>977</v>
      </c>
      <c r="E258" s="106">
        <v>6</v>
      </c>
      <c r="F258" s="97"/>
      <c r="G258" s="179"/>
    </row>
    <row r="259" spans="1:7" s="75" customFormat="1" ht="18.75" customHeight="1">
      <c r="A259" s="59" t="s">
        <v>1147</v>
      </c>
      <c r="B259" s="159"/>
      <c r="C259" s="163" t="s">
        <v>1001</v>
      </c>
      <c r="D259" s="105" t="s">
        <v>977</v>
      </c>
      <c r="E259" s="106">
        <v>6</v>
      </c>
      <c r="F259" s="97"/>
      <c r="G259" s="179"/>
    </row>
    <row r="260" spans="1:7" s="75" customFormat="1" ht="18.75" customHeight="1">
      <c r="A260" s="59" t="s">
        <v>1148</v>
      </c>
      <c r="B260" s="159"/>
      <c r="C260" s="163" t="s">
        <v>1003</v>
      </c>
      <c r="D260" s="105" t="s">
        <v>977</v>
      </c>
      <c r="E260" s="106">
        <v>32</v>
      </c>
      <c r="F260" s="97"/>
      <c r="G260" s="179"/>
    </row>
    <row r="261" spans="1:7" s="75" customFormat="1" ht="18.75" customHeight="1">
      <c r="A261" s="59" t="s">
        <v>1149</v>
      </c>
      <c r="B261" s="159"/>
      <c r="C261" s="163" t="s">
        <v>1004</v>
      </c>
      <c r="D261" s="105" t="s">
        <v>977</v>
      </c>
      <c r="E261" s="106">
        <v>5</v>
      </c>
      <c r="F261" s="97"/>
      <c r="G261" s="179"/>
    </row>
    <row r="262" spans="1:7" s="75" customFormat="1" ht="18.75" customHeight="1">
      <c r="A262" s="165"/>
      <c r="B262" s="159"/>
      <c r="C262" s="163"/>
      <c r="D262" s="105"/>
      <c r="E262" s="106"/>
      <c r="F262" s="97"/>
      <c r="G262" s="179"/>
    </row>
    <row r="263" spans="1:7" s="75" customFormat="1" ht="18.75" customHeight="1">
      <c r="A263" s="59" t="s">
        <v>1459</v>
      </c>
      <c r="B263" s="57" t="s">
        <v>1468</v>
      </c>
      <c r="C263" s="111" t="s">
        <v>1006</v>
      </c>
      <c r="D263" s="105"/>
      <c r="E263" s="106"/>
      <c r="F263" s="97"/>
      <c r="G263" s="179"/>
    </row>
    <row r="264" spans="1:7" s="75" customFormat="1" ht="18.75" customHeight="1">
      <c r="A264" s="59" t="s">
        <v>1150</v>
      </c>
      <c r="B264" s="159"/>
      <c r="C264" s="163" t="s">
        <v>1008</v>
      </c>
      <c r="D264" s="105" t="s">
        <v>977</v>
      </c>
      <c r="E264" s="106">
        <v>20</v>
      </c>
      <c r="F264" s="97"/>
      <c r="G264" s="179"/>
    </row>
    <row r="265" spans="1:7" s="75" customFormat="1" ht="18.75" customHeight="1">
      <c r="A265" s="59" t="s">
        <v>1151</v>
      </c>
      <c r="B265" s="159"/>
      <c r="C265" s="163" t="s">
        <v>1010</v>
      </c>
      <c r="D265" s="105" t="s">
        <v>977</v>
      </c>
      <c r="E265" s="106">
        <v>32</v>
      </c>
      <c r="F265" s="97"/>
      <c r="G265" s="179"/>
    </row>
    <row r="266" spans="1:7" s="75" customFormat="1" ht="18.75" customHeight="1">
      <c r="A266" s="59" t="s">
        <v>1152</v>
      </c>
      <c r="B266" s="159"/>
      <c r="C266" s="163" t="s">
        <v>1012</v>
      </c>
      <c r="D266" s="105" t="s">
        <v>977</v>
      </c>
      <c r="E266" s="106">
        <v>10</v>
      </c>
      <c r="F266" s="97"/>
      <c r="G266" s="179"/>
    </row>
    <row r="267" spans="1:7" s="75" customFormat="1" ht="18.75" customHeight="1">
      <c r="A267" s="59" t="s">
        <v>1153</v>
      </c>
      <c r="B267" s="159"/>
      <c r="C267" s="163" t="s">
        <v>1014</v>
      </c>
      <c r="D267" s="105" t="s">
        <v>977</v>
      </c>
      <c r="E267" s="106">
        <v>4</v>
      </c>
      <c r="F267" s="97"/>
      <c r="G267" s="179"/>
    </row>
    <row r="268" spans="1:7" s="75" customFormat="1" ht="18.75" customHeight="1">
      <c r="A268" s="59" t="s">
        <v>1154</v>
      </c>
      <c r="B268" s="159"/>
      <c r="C268" s="163" t="s">
        <v>1016</v>
      </c>
      <c r="D268" s="105" t="s">
        <v>977</v>
      </c>
      <c r="E268" s="106">
        <v>32</v>
      </c>
      <c r="F268" s="97"/>
      <c r="G268" s="179"/>
    </row>
    <row r="269" spans="1:7" s="75" customFormat="1" ht="18.75" customHeight="1">
      <c r="A269" s="59" t="s">
        <v>1155</v>
      </c>
      <c r="B269" s="159"/>
      <c r="C269" s="163" t="s">
        <v>1018</v>
      </c>
      <c r="D269" s="105" t="s">
        <v>977</v>
      </c>
      <c r="E269" s="106">
        <v>32</v>
      </c>
      <c r="F269" s="97"/>
      <c r="G269" s="179"/>
    </row>
    <row r="270" spans="1:7" s="75" customFormat="1" ht="18.75" customHeight="1">
      <c r="A270" s="161"/>
      <c r="B270" s="159"/>
      <c r="C270" s="163"/>
      <c r="D270" s="105"/>
      <c r="E270" s="106"/>
      <c r="F270" s="97"/>
      <c r="G270" s="179"/>
    </row>
    <row r="271" spans="1:7" s="75" customFormat="1" ht="18.75" customHeight="1">
      <c r="A271" s="59" t="s">
        <v>1156</v>
      </c>
      <c r="B271" s="57" t="s">
        <v>1456</v>
      </c>
      <c r="C271" s="111" t="s">
        <v>1514</v>
      </c>
      <c r="D271" s="105"/>
      <c r="E271" s="106"/>
      <c r="F271" s="97"/>
      <c r="G271" s="179"/>
    </row>
    <row r="272" spans="1:7" s="75" customFormat="1" ht="18.75" customHeight="1">
      <c r="A272" s="59" t="s">
        <v>1157</v>
      </c>
      <c r="B272" s="159"/>
      <c r="C272" s="163" t="s">
        <v>1021</v>
      </c>
      <c r="D272" s="105" t="s">
        <v>303</v>
      </c>
      <c r="E272" s="106">
        <v>200</v>
      </c>
      <c r="F272" s="97"/>
      <c r="G272" s="179"/>
    </row>
    <row r="273" spans="1:7" s="75" customFormat="1" ht="18.75" customHeight="1">
      <c r="A273" s="59" t="s">
        <v>1158</v>
      </c>
      <c r="B273" s="159"/>
      <c r="C273" s="163" t="s">
        <v>1023</v>
      </c>
      <c r="D273" s="105" t="s">
        <v>303</v>
      </c>
      <c r="E273" s="106">
        <v>20</v>
      </c>
      <c r="F273" s="97"/>
      <c r="G273" s="179"/>
    </row>
    <row r="274" spans="1:7" s="75" customFormat="1" ht="18.75" customHeight="1">
      <c r="A274" s="59" t="s">
        <v>1159</v>
      </c>
      <c r="B274" s="159"/>
      <c r="C274" s="163" t="s">
        <v>1025</v>
      </c>
      <c r="D274" s="105" t="s">
        <v>303</v>
      </c>
      <c r="E274" s="106">
        <v>10</v>
      </c>
      <c r="F274" s="97"/>
      <c r="G274" s="179"/>
    </row>
    <row r="275" spans="1:7" s="75" customFormat="1" ht="18.75" customHeight="1">
      <c r="A275" s="59" t="s">
        <v>1160</v>
      </c>
      <c r="B275" s="159"/>
      <c r="C275" s="163" t="s">
        <v>1027</v>
      </c>
      <c r="D275" s="105" t="s">
        <v>977</v>
      </c>
      <c r="E275" s="106">
        <v>3</v>
      </c>
      <c r="F275" s="97"/>
      <c r="G275" s="179"/>
    </row>
    <row r="276" spans="1:7" s="75" customFormat="1" ht="18.75" customHeight="1">
      <c r="A276" s="59" t="s">
        <v>1161</v>
      </c>
      <c r="B276" s="159"/>
      <c r="C276" s="163" t="s">
        <v>1515</v>
      </c>
      <c r="D276" s="105" t="s">
        <v>977</v>
      </c>
      <c r="E276" s="106">
        <v>20</v>
      </c>
      <c r="F276" s="97"/>
      <c r="G276" s="179"/>
    </row>
    <row r="277" spans="1:7" s="75" customFormat="1" ht="18.75" customHeight="1">
      <c r="A277" s="59" t="s">
        <v>1162</v>
      </c>
      <c r="B277" s="159"/>
      <c r="C277" s="163" t="s">
        <v>1030</v>
      </c>
      <c r="D277" s="105" t="s">
        <v>977</v>
      </c>
      <c r="E277" s="106">
        <v>20</v>
      </c>
      <c r="F277" s="97"/>
      <c r="G277" s="179"/>
    </row>
    <row r="278" spans="1:7" s="75" customFormat="1" ht="18.75" customHeight="1">
      <c r="A278" s="59" t="s">
        <v>1163</v>
      </c>
      <c r="B278" s="159"/>
      <c r="C278" s="163" t="s">
        <v>1031</v>
      </c>
      <c r="D278" s="105" t="s">
        <v>977</v>
      </c>
      <c r="E278" s="106">
        <v>60</v>
      </c>
      <c r="F278" s="97"/>
      <c r="G278" s="179"/>
    </row>
    <row r="279" spans="1:7" s="75" customFormat="1" ht="18.75" customHeight="1">
      <c r="A279" s="59" t="s">
        <v>1164</v>
      </c>
      <c r="B279" s="159"/>
      <c r="C279" s="163" t="s">
        <v>1032</v>
      </c>
      <c r="D279" s="105" t="s">
        <v>977</v>
      </c>
      <c r="E279" s="106">
        <v>10</v>
      </c>
      <c r="F279" s="97"/>
      <c r="G279" s="179"/>
    </row>
    <row r="280" spans="1:7" s="75" customFormat="1" ht="25.5" customHeight="1">
      <c r="A280" s="161"/>
      <c r="B280" s="159"/>
      <c r="C280" s="163"/>
      <c r="D280" s="105"/>
      <c r="E280" s="106"/>
      <c r="F280" s="97"/>
      <c r="G280" s="179"/>
    </row>
    <row r="281" spans="1:7" s="75" customFormat="1" ht="18" customHeight="1">
      <c r="A281" s="622" t="s">
        <v>88</v>
      </c>
      <c r="B281" s="623"/>
      <c r="C281" s="623"/>
      <c r="D281" s="113"/>
      <c r="E281" s="114"/>
      <c r="F281" s="144"/>
      <c r="G281" s="176"/>
    </row>
    <row r="282" spans="1:7" s="75" customFormat="1" ht="18" customHeight="1">
      <c r="A282" s="644" t="s">
        <v>89</v>
      </c>
      <c r="B282" s="645"/>
      <c r="C282" s="646"/>
      <c r="D282" s="115"/>
      <c r="E282" s="116"/>
      <c r="F282" s="145"/>
      <c r="G282" s="176"/>
    </row>
    <row r="283" spans="1:7" s="75" customFormat="1" ht="29.25" customHeight="1">
      <c r="A283" s="59" t="s">
        <v>1165</v>
      </c>
      <c r="B283" s="57" t="s">
        <v>1457</v>
      </c>
      <c r="C283" s="111" t="s">
        <v>1958</v>
      </c>
      <c r="D283" s="105"/>
      <c r="E283" s="106"/>
      <c r="F283" s="97"/>
      <c r="G283" s="179"/>
    </row>
    <row r="284" spans="1:7" s="75" customFormat="1" ht="18" customHeight="1">
      <c r="A284" s="59" t="s">
        <v>1166</v>
      </c>
      <c r="B284" s="159"/>
      <c r="C284" s="163" t="s">
        <v>1035</v>
      </c>
      <c r="D284" s="105" t="s">
        <v>303</v>
      </c>
      <c r="E284" s="106">
        <v>450</v>
      </c>
      <c r="F284" s="97"/>
      <c r="G284" s="179"/>
    </row>
    <row r="285" spans="1:7" s="75" customFormat="1" ht="18" customHeight="1">
      <c r="A285" s="59" t="s">
        <v>1167</v>
      </c>
      <c r="B285" s="159"/>
      <c r="C285" s="163" t="s">
        <v>1037</v>
      </c>
      <c r="D285" s="105" t="s">
        <v>303</v>
      </c>
      <c r="E285" s="106">
        <v>150</v>
      </c>
      <c r="F285" s="97"/>
      <c r="G285" s="179"/>
    </row>
    <row r="286" spans="1:7" s="75" customFormat="1" ht="18" customHeight="1">
      <c r="A286" s="59" t="s">
        <v>1168</v>
      </c>
      <c r="B286" s="159"/>
      <c r="C286" s="163" t="s">
        <v>1039</v>
      </c>
      <c r="D286" s="105" t="s">
        <v>303</v>
      </c>
      <c r="E286" s="106">
        <v>150</v>
      </c>
      <c r="F286" s="97"/>
      <c r="G286" s="179"/>
    </row>
    <row r="287" spans="1:7" s="75" customFormat="1" ht="18" customHeight="1">
      <c r="A287" s="161"/>
      <c r="B287" s="159"/>
      <c r="C287" s="166"/>
      <c r="D287" s="105"/>
      <c r="E287" s="106"/>
      <c r="F287" s="97"/>
      <c r="G287" s="179"/>
    </row>
    <row r="288" spans="1:7" s="75" customFormat="1" ht="27.75" customHeight="1">
      <c r="A288" s="59" t="s">
        <v>1169</v>
      </c>
      <c r="B288" s="57" t="s">
        <v>1457</v>
      </c>
      <c r="C288" s="111" t="s">
        <v>1959</v>
      </c>
      <c r="D288" s="105"/>
      <c r="E288" s="106"/>
      <c r="F288" s="97"/>
      <c r="G288" s="179"/>
    </row>
    <row r="289" spans="1:7" s="75" customFormat="1" ht="18" customHeight="1">
      <c r="A289" s="59" t="s">
        <v>1170</v>
      </c>
      <c r="B289" s="159"/>
      <c r="C289" s="163" t="s">
        <v>1035</v>
      </c>
      <c r="D289" s="105" t="s">
        <v>363</v>
      </c>
      <c r="E289" s="106">
        <v>15</v>
      </c>
      <c r="F289" s="97"/>
      <c r="G289" s="179"/>
    </row>
    <row r="290" spans="1:7" s="75" customFormat="1" ht="18" customHeight="1">
      <c r="A290" s="59" t="s">
        <v>1171</v>
      </c>
      <c r="B290" s="159"/>
      <c r="C290" s="163" t="s">
        <v>1037</v>
      </c>
      <c r="D290" s="105" t="s">
        <v>363</v>
      </c>
      <c r="E290" s="106">
        <v>15</v>
      </c>
      <c r="F290" s="97"/>
      <c r="G290" s="179"/>
    </row>
    <row r="291" spans="1:7" s="75" customFormat="1" ht="18" customHeight="1">
      <c r="A291" s="59" t="s">
        <v>1172</v>
      </c>
      <c r="B291" s="159"/>
      <c r="C291" s="163" t="s">
        <v>1039</v>
      </c>
      <c r="D291" s="105" t="s">
        <v>363</v>
      </c>
      <c r="E291" s="106">
        <v>20</v>
      </c>
      <c r="F291" s="97"/>
      <c r="G291" s="179"/>
    </row>
    <row r="292" spans="1:7" ht="18" customHeight="1">
      <c r="A292" s="161"/>
      <c r="B292" s="159"/>
      <c r="C292" s="111"/>
      <c r="D292" s="105"/>
      <c r="E292" s="106"/>
      <c r="F292" s="97"/>
      <c r="G292" s="179"/>
    </row>
    <row r="293" spans="1:7" s="75" customFormat="1" ht="28.5" customHeight="1">
      <c r="A293" s="59" t="s">
        <v>1173</v>
      </c>
      <c r="B293" s="57" t="s">
        <v>1457</v>
      </c>
      <c r="C293" s="111" t="s">
        <v>1960</v>
      </c>
      <c r="D293" s="105"/>
      <c r="E293" s="106"/>
      <c r="F293" s="97"/>
      <c r="G293" s="179"/>
    </row>
    <row r="294" spans="1:7" s="75" customFormat="1" ht="18" customHeight="1">
      <c r="A294" s="59" t="s">
        <v>1174</v>
      </c>
      <c r="B294" s="159"/>
      <c r="C294" s="163" t="s">
        <v>1035</v>
      </c>
      <c r="D294" s="105" t="s">
        <v>363</v>
      </c>
      <c r="E294" s="106">
        <v>15</v>
      </c>
      <c r="F294" s="97"/>
      <c r="G294" s="179"/>
    </row>
    <row r="295" spans="1:7" s="75" customFormat="1" ht="18" customHeight="1">
      <c r="A295" s="59" t="s">
        <v>1175</v>
      </c>
      <c r="B295" s="159"/>
      <c r="C295" s="163" t="s">
        <v>1037</v>
      </c>
      <c r="D295" s="105" t="s">
        <v>363</v>
      </c>
      <c r="E295" s="106">
        <v>10</v>
      </c>
      <c r="F295" s="97"/>
      <c r="G295" s="179"/>
    </row>
    <row r="296" spans="1:7" s="75" customFormat="1" ht="18" customHeight="1">
      <c r="A296" s="59" t="s">
        <v>1176</v>
      </c>
      <c r="B296" s="159"/>
      <c r="C296" s="163" t="s">
        <v>1039</v>
      </c>
      <c r="D296" s="105" t="s">
        <v>363</v>
      </c>
      <c r="E296" s="106">
        <v>20</v>
      </c>
      <c r="F296" s="97"/>
      <c r="G296" s="179"/>
    </row>
    <row r="297" spans="1:7" ht="18" customHeight="1">
      <c r="A297" s="161"/>
      <c r="B297" s="108"/>
      <c r="C297" s="131"/>
      <c r="D297" s="105"/>
      <c r="E297" s="106"/>
      <c r="F297" s="97"/>
      <c r="G297" s="179"/>
    </row>
    <row r="298" spans="1:7" s="75" customFormat="1" ht="28.5" customHeight="1">
      <c r="A298" s="59" t="s">
        <v>1177</v>
      </c>
      <c r="B298" s="57" t="s">
        <v>1457</v>
      </c>
      <c r="C298" s="111" t="s">
        <v>1961</v>
      </c>
      <c r="D298" s="105"/>
      <c r="E298" s="106"/>
      <c r="F298" s="97"/>
      <c r="G298" s="179"/>
    </row>
    <row r="299" spans="1:7" s="75" customFormat="1" ht="18" customHeight="1">
      <c r="A299" s="59" t="s">
        <v>1178</v>
      </c>
      <c r="B299" s="159"/>
      <c r="C299" s="163" t="s">
        <v>1035</v>
      </c>
      <c r="D299" s="105" t="s">
        <v>363</v>
      </c>
      <c r="E299" s="106">
        <v>18</v>
      </c>
      <c r="F299" s="97"/>
      <c r="G299" s="179"/>
    </row>
    <row r="300" spans="1:7" s="75" customFormat="1" ht="18" customHeight="1">
      <c r="A300" s="59" t="s">
        <v>1179</v>
      </c>
      <c r="B300" s="159"/>
      <c r="C300" s="163" t="s">
        <v>1037</v>
      </c>
      <c r="D300" s="105" t="s">
        <v>363</v>
      </c>
      <c r="E300" s="106">
        <v>10</v>
      </c>
      <c r="F300" s="97"/>
      <c r="G300" s="179"/>
    </row>
    <row r="301" spans="1:7" s="75" customFormat="1" ht="18" customHeight="1">
      <c r="A301" s="59" t="s">
        <v>1180</v>
      </c>
      <c r="B301" s="159"/>
      <c r="C301" s="163" t="s">
        <v>1039</v>
      </c>
      <c r="D301" s="105" t="s">
        <v>363</v>
      </c>
      <c r="E301" s="106">
        <v>20</v>
      </c>
      <c r="F301" s="97"/>
      <c r="G301" s="179"/>
    </row>
    <row r="302" spans="1:7" s="75" customFormat="1" ht="18" customHeight="1">
      <c r="A302" s="161"/>
      <c r="B302" s="159"/>
      <c r="C302" s="163"/>
      <c r="D302" s="105"/>
      <c r="E302" s="106"/>
      <c r="F302" s="97"/>
      <c r="G302" s="179"/>
    </row>
    <row r="303" spans="1:7" s="75" customFormat="1" ht="18" customHeight="1">
      <c r="A303" s="59" t="s">
        <v>1181</v>
      </c>
      <c r="B303" s="57" t="s">
        <v>1449</v>
      </c>
      <c r="C303" s="111" t="s">
        <v>1053</v>
      </c>
      <c r="D303" s="105"/>
      <c r="E303" s="106"/>
      <c r="F303" s="97"/>
      <c r="G303" s="179"/>
    </row>
    <row r="304" spans="1:7" s="75" customFormat="1" ht="18" customHeight="1">
      <c r="A304" s="59" t="s">
        <v>1182</v>
      </c>
      <c r="B304" s="159"/>
      <c r="C304" s="163" t="s">
        <v>1055</v>
      </c>
      <c r="D304" s="105" t="s">
        <v>303</v>
      </c>
      <c r="E304" s="106">
        <v>600</v>
      </c>
      <c r="F304" s="97"/>
      <c r="G304" s="179"/>
    </row>
    <row r="305" spans="1:7" s="75" customFormat="1" ht="18" customHeight="1">
      <c r="A305" s="59" t="s">
        <v>1183</v>
      </c>
      <c r="B305" s="159"/>
      <c r="C305" s="163" t="s">
        <v>1057</v>
      </c>
      <c r="D305" s="105" t="s">
        <v>303</v>
      </c>
      <c r="E305" s="106">
        <v>200</v>
      </c>
      <c r="F305" s="97"/>
      <c r="G305" s="179"/>
    </row>
    <row r="306" spans="1:7" s="75" customFormat="1" ht="18" customHeight="1">
      <c r="A306" s="59" t="s">
        <v>1184</v>
      </c>
      <c r="B306" s="159"/>
      <c r="C306" s="163" t="s">
        <v>1059</v>
      </c>
      <c r="D306" s="105" t="s">
        <v>303</v>
      </c>
      <c r="E306" s="106">
        <v>50</v>
      </c>
      <c r="F306" s="97"/>
      <c r="G306" s="179"/>
    </row>
    <row r="307" spans="1:7" s="75" customFormat="1" ht="18" customHeight="1">
      <c r="A307" s="59" t="s">
        <v>1185</v>
      </c>
      <c r="B307" s="159"/>
      <c r="C307" s="163" t="s">
        <v>1060</v>
      </c>
      <c r="D307" s="105" t="s">
        <v>303</v>
      </c>
      <c r="E307" s="106">
        <v>50</v>
      </c>
      <c r="F307" s="97"/>
      <c r="G307" s="179"/>
    </row>
    <row r="308" spans="1:7" s="75" customFormat="1" ht="18" customHeight="1">
      <c r="A308" s="59" t="s">
        <v>1186</v>
      </c>
      <c r="B308" s="159"/>
      <c r="C308" s="163" t="s">
        <v>1061</v>
      </c>
      <c r="D308" s="105" t="s">
        <v>303</v>
      </c>
      <c r="E308" s="106">
        <v>50</v>
      </c>
      <c r="F308" s="97"/>
      <c r="G308" s="179"/>
    </row>
    <row r="309" spans="1:7" ht="18" customHeight="1">
      <c r="A309" s="161"/>
      <c r="B309" s="159"/>
      <c r="C309" s="131"/>
      <c r="D309" s="82"/>
      <c r="E309" s="106"/>
      <c r="F309" s="97"/>
      <c r="G309" s="179"/>
    </row>
    <row r="310" spans="1:7" ht="18" customHeight="1">
      <c r="A310" s="59" t="s">
        <v>1187</v>
      </c>
      <c r="B310" s="159"/>
      <c r="C310" s="111" t="s">
        <v>1067</v>
      </c>
      <c r="D310" s="82"/>
      <c r="E310" s="106"/>
      <c r="F310" s="97"/>
      <c r="G310" s="179"/>
    </row>
    <row r="311" spans="1:7" ht="18" customHeight="1">
      <c r="A311" s="59" t="s">
        <v>1188</v>
      </c>
      <c r="B311" s="108"/>
      <c r="C311" s="131" t="s">
        <v>1069</v>
      </c>
      <c r="D311" s="82" t="s">
        <v>15</v>
      </c>
      <c r="E311" s="106">
        <v>4</v>
      </c>
      <c r="F311" s="97"/>
      <c r="G311" s="179"/>
    </row>
    <row r="312" spans="1:7" ht="18" customHeight="1">
      <c r="A312" s="165"/>
      <c r="B312" s="108"/>
      <c r="C312" s="131"/>
      <c r="D312" s="82"/>
      <c r="E312" s="106"/>
      <c r="F312" s="97"/>
      <c r="G312" s="179"/>
    </row>
    <row r="313" spans="1:7" ht="18" customHeight="1">
      <c r="A313" s="59"/>
      <c r="B313" s="76"/>
      <c r="C313" s="62"/>
      <c r="D313" s="168"/>
      <c r="E313" s="169"/>
      <c r="F313" s="97"/>
      <c r="G313" s="179"/>
    </row>
    <row r="314" spans="1:7" ht="18" customHeight="1">
      <c r="A314" s="59"/>
      <c r="B314" s="57"/>
      <c r="C314" s="153"/>
      <c r="D314" s="64"/>
      <c r="E314" s="66"/>
      <c r="F314" s="97"/>
      <c r="G314" s="183"/>
    </row>
    <row r="315" spans="1:7" ht="18" customHeight="1">
      <c r="A315" s="59"/>
      <c r="B315" s="57"/>
      <c r="C315" s="110"/>
      <c r="D315" s="170"/>
      <c r="E315" s="171"/>
      <c r="F315" s="97"/>
      <c r="G315" s="179"/>
    </row>
    <row r="316" spans="1:7" ht="18" customHeight="1">
      <c r="A316" s="59"/>
      <c r="B316" s="76"/>
      <c r="C316" s="172"/>
      <c r="D316" s="80"/>
      <c r="E316" s="171"/>
      <c r="F316" s="184"/>
      <c r="G316" s="13"/>
    </row>
    <row r="317" spans="1:7" ht="18" customHeight="1">
      <c r="A317" s="59"/>
      <c r="B317" s="108"/>
      <c r="C317" s="153"/>
      <c r="D317" s="64"/>
      <c r="E317" s="171"/>
      <c r="F317" s="97"/>
      <c r="G317" s="185"/>
    </row>
    <row r="318" spans="1:7" ht="18" customHeight="1">
      <c r="A318" s="165"/>
      <c r="B318" s="108"/>
      <c r="C318" s="131"/>
      <c r="D318" s="82"/>
      <c r="E318" s="171"/>
      <c r="F318" s="97"/>
      <c r="G318" s="179"/>
    </row>
    <row r="319" spans="1:7" ht="18" customHeight="1">
      <c r="A319" s="165"/>
      <c r="B319" s="108"/>
      <c r="C319" s="131"/>
      <c r="D319" s="82"/>
      <c r="E319" s="171"/>
      <c r="F319" s="97"/>
      <c r="G319" s="179"/>
    </row>
    <row r="320" spans="1:7" ht="18" customHeight="1">
      <c r="A320" s="165"/>
      <c r="B320" s="108"/>
      <c r="C320" s="131"/>
      <c r="D320" s="82"/>
      <c r="E320" s="106"/>
      <c r="F320" s="97"/>
      <c r="G320" s="179"/>
    </row>
    <row r="321" spans="1:7" ht="18" customHeight="1">
      <c r="A321" s="165"/>
      <c r="B321" s="108"/>
      <c r="C321" s="131"/>
      <c r="D321" s="82"/>
      <c r="E321" s="106"/>
      <c r="F321" s="97"/>
      <c r="G321" s="179"/>
    </row>
    <row r="322" spans="1:7" ht="18" customHeight="1">
      <c r="A322" s="165"/>
      <c r="B322" s="108"/>
      <c r="C322" s="131"/>
      <c r="D322" s="82"/>
      <c r="E322" s="106"/>
      <c r="F322" s="97"/>
      <c r="G322" s="179"/>
    </row>
    <row r="323" spans="1:7" ht="18" customHeight="1">
      <c r="A323" s="165"/>
      <c r="B323" s="108"/>
      <c r="C323" s="131"/>
      <c r="D323" s="82"/>
      <c r="E323" s="106"/>
      <c r="F323" s="97"/>
      <c r="G323" s="179"/>
    </row>
    <row r="324" spans="1:7" ht="18" customHeight="1">
      <c r="A324" s="165"/>
      <c r="B324" s="108"/>
      <c r="C324" s="131"/>
      <c r="D324" s="82"/>
      <c r="E324" s="106"/>
      <c r="F324" s="97"/>
      <c r="G324" s="179"/>
    </row>
    <row r="325" spans="1:7" ht="18" customHeight="1">
      <c r="A325" s="165"/>
      <c r="B325" s="108"/>
      <c r="C325" s="131"/>
      <c r="D325" s="82"/>
      <c r="E325" s="106"/>
      <c r="F325" s="97"/>
      <c r="G325" s="179"/>
    </row>
    <row r="326" spans="1:7" ht="18" customHeight="1">
      <c r="A326" s="165"/>
      <c r="B326" s="108"/>
      <c r="C326" s="131"/>
      <c r="D326" s="82"/>
      <c r="E326" s="106"/>
      <c r="F326" s="97"/>
      <c r="G326" s="179"/>
    </row>
    <row r="327" spans="1:7" ht="18" customHeight="1">
      <c r="A327" s="161"/>
      <c r="B327" s="108"/>
      <c r="C327" s="131"/>
      <c r="D327" s="82"/>
      <c r="E327" s="106"/>
      <c r="F327" s="97"/>
      <c r="G327" s="179"/>
    </row>
    <row r="328" spans="1:7" ht="18" customHeight="1">
      <c r="A328" s="161"/>
      <c r="B328" s="108"/>
      <c r="C328" s="131"/>
      <c r="D328" s="105"/>
      <c r="E328" s="106"/>
      <c r="F328" s="186"/>
      <c r="G328" s="187"/>
    </row>
    <row r="329" spans="1:7" ht="18" customHeight="1">
      <c r="A329" s="610" t="s">
        <v>1874</v>
      </c>
      <c r="B329" s="611"/>
      <c r="C329" s="611"/>
      <c r="D329" s="611"/>
      <c r="E329" s="611"/>
      <c r="F329" s="612"/>
      <c r="G329" s="176"/>
    </row>
    <row r="330" spans="1:7" ht="18" customHeight="1">
      <c r="G330" s="175"/>
    </row>
    <row r="331" spans="1:7">
      <c r="G331" s="175"/>
    </row>
  </sheetData>
  <mergeCells count="14">
    <mergeCell ref="A329:F329"/>
    <mergeCell ref="A1:G1"/>
    <mergeCell ref="A49:C49"/>
    <mergeCell ref="A50:C50"/>
    <mergeCell ref="A94:C94"/>
    <mergeCell ref="A95:C95"/>
    <mergeCell ref="A140:C140"/>
    <mergeCell ref="A141:C141"/>
    <mergeCell ref="A281:C281"/>
    <mergeCell ref="A282:C282"/>
    <mergeCell ref="A186:C186"/>
    <mergeCell ref="A187:C187"/>
    <mergeCell ref="A236:C236"/>
    <mergeCell ref="A237:C237"/>
  </mergeCells>
  <phoneticPr fontId="11" type="noConversion"/>
  <pageMargins left="0.70866141732283505" right="0.70866141732283505" top="1.2992125984252001" bottom="0.74803149606299202" header="0.31496062992126" footer="0.31496062992126"/>
  <pageSetup paperSize="9" scale="72" firstPageNumber="40"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rowBreaks count="6" manualBreakCount="6">
    <brk id="49" max="16383" man="1"/>
    <brk id="94" max="16383" man="1"/>
    <brk id="140" max="16383" man="1"/>
    <brk id="186" max="16383" man="1"/>
    <brk id="236" max="16383" man="1"/>
    <brk id="281"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078F-E125-4468-A55F-8F4FB4087CDC}">
  <dimension ref="A1:I240"/>
  <sheetViews>
    <sheetView view="pageLayout" topLeftCell="A90" zoomScaleNormal="100" zoomScaleSheetLayoutView="110" workbookViewId="0">
      <selection activeCell="J13" sqref="J13"/>
    </sheetView>
  </sheetViews>
  <sheetFormatPr defaultColWidth="9.109375" defaultRowHeight="13.8"/>
  <cols>
    <col min="1" max="1" width="8.5546875" style="88" customWidth="1"/>
    <col min="2" max="2" width="9" style="89" customWidth="1"/>
    <col min="3" max="3" width="43" style="90" customWidth="1"/>
    <col min="4" max="4" width="6.88671875" style="91" customWidth="1"/>
    <col min="5" max="5" width="7.109375" style="92" customWidth="1"/>
    <col min="6" max="6" width="14.88671875" style="44" customWidth="1"/>
    <col min="7" max="7" width="19.109375" style="44" customWidth="1"/>
    <col min="8" max="16384" width="9.109375" style="44"/>
  </cols>
  <sheetData>
    <row r="1" spans="1:9" ht="22.5" customHeight="1">
      <c r="A1" s="660" t="s">
        <v>1210</v>
      </c>
      <c r="B1" s="661"/>
      <c r="C1" s="661"/>
      <c r="D1" s="661"/>
      <c r="E1" s="661"/>
      <c r="F1" s="661"/>
      <c r="G1" s="662"/>
    </row>
    <row r="2" spans="1:9" s="50" customFormat="1" ht="27.6">
      <c r="A2" s="45" t="s">
        <v>4</v>
      </c>
      <c r="B2" s="46" t="s">
        <v>5</v>
      </c>
      <c r="C2" s="45" t="s">
        <v>1</v>
      </c>
      <c r="D2" s="47" t="s">
        <v>6</v>
      </c>
      <c r="E2" s="48" t="s">
        <v>7</v>
      </c>
      <c r="F2" s="49" t="s">
        <v>8</v>
      </c>
      <c r="G2" s="49" t="s">
        <v>9</v>
      </c>
    </row>
    <row r="3" spans="1:9">
      <c r="A3" s="51"/>
      <c r="B3" s="52"/>
      <c r="C3" s="53"/>
      <c r="D3" s="51"/>
      <c r="E3" s="54"/>
      <c r="F3" s="133"/>
      <c r="G3" s="93"/>
    </row>
    <row r="4" spans="1:9" ht="27.6">
      <c r="A4" s="56">
        <v>5</v>
      </c>
      <c r="B4" s="57"/>
      <c r="C4" s="58" t="s">
        <v>1211</v>
      </c>
      <c r="D4" s="59"/>
      <c r="E4" s="60"/>
      <c r="F4" s="134"/>
      <c r="G4" s="94"/>
    </row>
    <row r="5" spans="1:9">
      <c r="A5" s="56"/>
      <c r="B5" s="57"/>
      <c r="C5" s="58"/>
      <c r="D5" s="59"/>
      <c r="E5" s="60"/>
      <c r="F5" s="134"/>
      <c r="G5" s="94"/>
    </row>
    <row r="6" spans="1:9" s="50" customFormat="1" ht="18" customHeight="1">
      <c r="A6" s="100">
        <v>5.0999999999999996</v>
      </c>
      <c r="B6" s="57" t="s">
        <v>1447</v>
      </c>
      <c r="C6" s="101" t="s">
        <v>876</v>
      </c>
      <c r="D6" s="59"/>
      <c r="E6" s="102"/>
      <c r="F6" s="135"/>
      <c r="G6" s="136"/>
    </row>
    <row r="7" spans="1:9" s="50" customFormat="1" ht="32.25" customHeight="1">
      <c r="A7" s="103" t="s">
        <v>1212</v>
      </c>
      <c r="B7" s="57" t="s">
        <v>1452</v>
      </c>
      <c r="C7" s="104" t="s">
        <v>1213</v>
      </c>
      <c r="D7" s="105"/>
      <c r="E7" s="106"/>
      <c r="F7" s="137"/>
      <c r="G7" s="138"/>
      <c r="I7" s="107"/>
    </row>
    <row r="8" spans="1:9" s="50" customFormat="1" ht="18" customHeight="1">
      <c r="A8" s="103" t="s">
        <v>1214</v>
      </c>
      <c r="B8" s="108"/>
      <c r="C8" s="109" t="s">
        <v>1428</v>
      </c>
      <c r="D8" s="105" t="s">
        <v>303</v>
      </c>
      <c r="E8" s="106">
        <v>1560</v>
      </c>
      <c r="F8" s="97"/>
      <c r="G8" s="97"/>
    </row>
    <row r="9" spans="1:9" s="50" customFormat="1" ht="18" customHeight="1">
      <c r="A9" s="103" t="s">
        <v>1215</v>
      </c>
      <c r="B9" s="108"/>
      <c r="C9" s="109" t="s">
        <v>1429</v>
      </c>
      <c r="D9" s="105" t="s">
        <v>303</v>
      </c>
      <c r="E9" s="106">
        <v>550</v>
      </c>
      <c r="F9" s="97"/>
      <c r="G9" s="97"/>
      <c r="I9" s="107"/>
    </row>
    <row r="10" spans="1:9" s="50" customFormat="1" ht="18" customHeight="1">
      <c r="A10" s="103" t="s">
        <v>1216</v>
      </c>
      <c r="B10" s="108"/>
      <c r="C10" s="109" t="s">
        <v>1430</v>
      </c>
      <c r="D10" s="105" t="s">
        <v>303</v>
      </c>
      <c r="E10" s="106">
        <v>570</v>
      </c>
      <c r="F10" s="97"/>
      <c r="G10" s="97"/>
    </row>
    <row r="11" spans="1:9" s="50" customFormat="1" ht="18" customHeight="1">
      <c r="A11" s="103" t="s">
        <v>1217</v>
      </c>
      <c r="B11" s="108"/>
      <c r="C11" s="109" t="s">
        <v>1431</v>
      </c>
      <c r="D11" s="105" t="s">
        <v>303</v>
      </c>
      <c r="E11" s="106">
        <v>3560</v>
      </c>
      <c r="F11" s="97"/>
      <c r="G11" s="97"/>
      <c r="I11" s="107"/>
    </row>
    <row r="12" spans="1:9" s="50" customFormat="1" ht="18" customHeight="1">
      <c r="A12" s="103" t="s">
        <v>1218</v>
      </c>
      <c r="B12" s="108"/>
      <c r="C12" s="109" t="s">
        <v>1432</v>
      </c>
      <c r="D12" s="105" t="s">
        <v>303</v>
      </c>
      <c r="E12" s="106">
        <v>5280</v>
      </c>
      <c r="F12" s="97"/>
      <c r="G12" s="97"/>
      <c r="I12" s="107"/>
    </row>
    <row r="13" spans="1:9" s="50" customFormat="1" ht="18" customHeight="1">
      <c r="A13" s="103" t="s">
        <v>1219</v>
      </c>
      <c r="B13" s="108"/>
      <c r="C13" s="109" t="s">
        <v>1433</v>
      </c>
      <c r="D13" s="105" t="s">
        <v>303</v>
      </c>
      <c r="E13" s="106">
        <v>40</v>
      </c>
      <c r="F13" s="97"/>
      <c r="G13" s="97"/>
      <c r="I13" s="107"/>
    </row>
    <row r="14" spans="1:9" s="50" customFormat="1" ht="18" customHeight="1">
      <c r="A14" s="103"/>
      <c r="B14" s="108"/>
      <c r="C14" s="109"/>
      <c r="D14" s="105"/>
      <c r="E14" s="106"/>
      <c r="F14" s="97"/>
      <c r="G14" s="97"/>
      <c r="I14" s="107"/>
    </row>
    <row r="15" spans="1:9" s="50" customFormat="1" ht="35.25" customHeight="1">
      <c r="A15" s="103" t="s">
        <v>1220</v>
      </c>
      <c r="B15" s="57" t="s">
        <v>1452</v>
      </c>
      <c r="C15" s="104" t="s">
        <v>1512</v>
      </c>
      <c r="D15" s="105"/>
      <c r="E15" s="106"/>
      <c r="F15" s="97"/>
      <c r="G15" s="97"/>
      <c r="I15" s="107"/>
    </row>
    <row r="16" spans="1:9" s="50" customFormat="1" ht="18" customHeight="1">
      <c r="A16" s="103" t="s">
        <v>1221</v>
      </c>
      <c r="B16" s="108"/>
      <c r="C16" s="109" t="s">
        <v>1434</v>
      </c>
      <c r="D16" s="105" t="s">
        <v>303</v>
      </c>
      <c r="E16" s="106">
        <v>700</v>
      </c>
      <c r="F16" s="97"/>
      <c r="G16" s="97"/>
      <c r="I16" s="107"/>
    </row>
    <row r="17" spans="1:9" s="50" customFormat="1" ht="18" customHeight="1">
      <c r="A17" s="103" t="s">
        <v>1222</v>
      </c>
      <c r="B17" s="108"/>
      <c r="C17" s="109" t="s">
        <v>1435</v>
      </c>
      <c r="D17" s="105" t="s">
        <v>303</v>
      </c>
      <c r="E17" s="106">
        <v>1400</v>
      </c>
      <c r="F17" s="97"/>
      <c r="G17" s="97"/>
      <c r="I17" s="107"/>
    </row>
    <row r="18" spans="1:9" s="75" customFormat="1" ht="18" customHeight="1">
      <c r="A18" s="103" t="s">
        <v>1223</v>
      </c>
      <c r="B18" s="108"/>
      <c r="C18" s="109" t="s">
        <v>1436</v>
      </c>
      <c r="D18" s="105" t="s">
        <v>303</v>
      </c>
      <c r="E18" s="106">
        <v>600</v>
      </c>
      <c r="F18" s="97"/>
      <c r="G18" s="97"/>
    </row>
    <row r="19" spans="1:9" s="50" customFormat="1" ht="18" customHeight="1">
      <c r="A19" s="103"/>
      <c r="B19" s="108"/>
      <c r="C19" s="109"/>
      <c r="D19" s="105"/>
      <c r="E19" s="106"/>
      <c r="F19" s="97"/>
      <c r="G19" s="97"/>
      <c r="I19" s="107"/>
    </row>
    <row r="20" spans="1:9" s="75" customFormat="1" ht="35.25" customHeight="1">
      <c r="A20" s="103" t="s">
        <v>1224</v>
      </c>
      <c r="B20" s="57" t="s">
        <v>1453</v>
      </c>
      <c r="C20" s="104" t="s">
        <v>1225</v>
      </c>
      <c r="D20" s="105"/>
      <c r="E20" s="106"/>
      <c r="F20" s="97"/>
      <c r="G20" s="97"/>
    </row>
    <row r="21" spans="1:9" s="50" customFormat="1" ht="18" customHeight="1">
      <c r="A21" s="103" t="s">
        <v>1226</v>
      </c>
      <c r="B21" s="108"/>
      <c r="C21" s="109" t="s">
        <v>1428</v>
      </c>
      <c r="D21" s="105" t="s">
        <v>363</v>
      </c>
      <c r="E21" s="106">
        <v>76</v>
      </c>
      <c r="F21" s="97"/>
      <c r="G21" s="97"/>
      <c r="I21" s="107"/>
    </row>
    <row r="22" spans="1:9">
      <c r="A22" s="103" t="s">
        <v>1227</v>
      </c>
      <c r="B22" s="108"/>
      <c r="C22" s="109" t="s">
        <v>1429</v>
      </c>
      <c r="D22" s="105" t="s">
        <v>363</v>
      </c>
      <c r="E22" s="106">
        <v>20</v>
      </c>
      <c r="F22" s="97"/>
      <c r="G22" s="97"/>
    </row>
    <row r="23" spans="1:9" s="75" customFormat="1" ht="18" customHeight="1">
      <c r="A23" s="103" t="s">
        <v>1228</v>
      </c>
      <c r="B23" s="108"/>
      <c r="C23" s="109" t="s">
        <v>1430</v>
      </c>
      <c r="D23" s="105" t="s">
        <v>363</v>
      </c>
      <c r="E23" s="106">
        <v>116</v>
      </c>
      <c r="F23" s="97"/>
      <c r="G23" s="97"/>
    </row>
    <row r="24" spans="1:9" s="75" customFormat="1" ht="18" customHeight="1">
      <c r="A24" s="103" t="s">
        <v>1229</v>
      </c>
      <c r="B24" s="108"/>
      <c r="C24" s="109" t="s">
        <v>1431</v>
      </c>
      <c r="D24" s="105" t="s">
        <v>363</v>
      </c>
      <c r="E24" s="106">
        <v>118</v>
      </c>
      <c r="F24" s="97"/>
      <c r="G24" s="97"/>
    </row>
    <row r="25" spans="1:9" s="75" customFormat="1" ht="18" customHeight="1">
      <c r="A25" s="103" t="s">
        <v>1230</v>
      </c>
      <c r="B25" s="108"/>
      <c r="C25" s="109" t="s">
        <v>1432</v>
      </c>
      <c r="D25" s="105" t="s">
        <v>363</v>
      </c>
      <c r="E25" s="106">
        <v>200</v>
      </c>
      <c r="F25" s="97"/>
      <c r="G25" s="97"/>
    </row>
    <row r="26" spans="1:9" s="75" customFormat="1" ht="18" customHeight="1">
      <c r="A26" s="103" t="s">
        <v>1231</v>
      </c>
      <c r="B26" s="108"/>
      <c r="C26" s="109" t="s">
        <v>1432</v>
      </c>
      <c r="D26" s="105" t="s">
        <v>363</v>
      </c>
      <c r="E26" s="106">
        <v>16</v>
      </c>
      <c r="F26" s="97"/>
      <c r="G26" s="97"/>
    </row>
    <row r="27" spans="1:9" s="75" customFormat="1" ht="18" customHeight="1">
      <c r="A27" s="103"/>
      <c r="B27" s="108"/>
      <c r="C27" s="109"/>
      <c r="D27" s="105"/>
      <c r="E27" s="106"/>
      <c r="F27" s="97"/>
      <c r="G27" s="97"/>
    </row>
    <row r="28" spans="1:9" s="75" customFormat="1" ht="51.75" customHeight="1">
      <c r="A28" s="103" t="s">
        <v>1232</v>
      </c>
      <c r="B28" s="57" t="s">
        <v>1453</v>
      </c>
      <c r="C28" s="104" t="s">
        <v>1513</v>
      </c>
      <c r="D28" s="105"/>
      <c r="E28" s="106"/>
      <c r="F28" s="97"/>
      <c r="G28" s="97"/>
    </row>
    <row r="29" spans="1:9" s="75" customFormat="1" ht="18" customHeight="1">
      <c r="A29" s="103" t="s">
        <v>1233</v>
      </c>
      <c r="B29" s="108"/>
      <c r="C29" s="109" t="s">
        <v>1434</v>
      </c>
      <c r="D29" s="105" t="s">
        <v>363</v>
      </c>
      <c r="E29" s="106">
        <v>40</v>
      </c>
      <c r="F29" s="97"/>
      <c r="G29" s="97"/>
    </row>
    <row r="30" spans="1:9" s="75" customFormat="1" ht="18" customHeight="1">
      <c r="A30" s="103" t="s">
        <v>1234</v>
      </c>
      <c r="B30" s="108"/>
      <c r="C30" s="109" t="s">
        <v>1435</v>
      </c>
      <c r="D30" s="105" t="s">
        <v>363</v>
      </c>
      <c r="E30" s="106">
        <v>44</v>
      </c>
      <c r="F30" s="97"/>
      <c r="G30" s="97"/>
    </row>
    <row r="31" spans="1:9" s="75" customFormat="1" ht="18" customHeight="1">
      <c r="A31" s="103" t="s">
        <v>1235</v>
      </c>
      <c r="B31" s="108"/>
      <c r="C31" s="109" t="s">
        <v>1436</v>
      </c>
      <c r="D31" s="105" t="s">
        <v>363</v>
      </c>
      <c r="E31" s="106">
        <v>60</v>
      </c>
      <c r="F31" s="97"/>
      <c r="G31" s="97"/>
    </row>
    <row r="32" spans="1:9" s="75" customFormat="1" ht="18" customHeight="1">
      <c r="A32" s="103"/>
      <c r="B32" s="108"/>
      <c r="C32" s="110"/>
      <c r="D32" s="105"/>
      <c r="E32" s="106"/>
      <c r="F32" s="97"/>
      <c r="G32" s="97"/>
    </row>
    <row r="33" spans="1:7" s="75" customFormat="1" ht="32.25" customHeight="1">
      <c r="A33" s="103" t="s">
        <v>1236</v>
      </c>
      <c r="B33" s="57" t="s">
        <v>1457</v>
      </c>
      <c r="C33" s="111" t="s">
        <v>1958</v>
      </c>
      <c r="D33" s="105"/>
      <c r="E33" s="106"/>
      <c r="F33" s="97"/>
      <c r="G33" s="97"/>
    </row>
    <row r="34" spans="1:7" s="75" customFormat="1" ht="18" customHeight="1">
      <c r="A34" s="103" t="s">
        <v>1237</v>
      </c>
      <c r="B34" s="108"/>
      <c r="C34" s="163" t="s">
        <v>1035</v>
      </c>
      <c r="D34" s="105" t="s">
        <v>303</v>
      </c>
      <c r="E34" s="106">
        <v>450</v>
      </c>
      <c r="F34" s="97"/>
      <c r="G34" s="97"/>
    </row>
    <row r="35" spans="1:7" s="75" customFormat="1" ht="18" customHeight="1">
      <c r="A35" s="103" t="s">
        <v>1238</v>
      </c>
      <c r="B35" s="108"/>
      <c r="C35" s="163" t="s">
        <v>1037</v>
      </c>
      <c r="D35" s="105" t="s">
        <v>303</v>
      </c>
      <c r="E35" s="106">
        <v>150</v>
      </c>
      <c r="F35" s="97"/>
      <c r="G35" s="97"/>
    </row>
    <row r="36" spans="1:7" s="75" customFormat="1" ht="18" customHeight="1">
      <c r="A36" s="103" t="s">
        <v>1239</v>
      </c>
      <c r="B36" s="108"/>
      <c r="C36" s="163" t="s">
        <v>1039</v>
      </c>
      <c r="D36" s="105" t="s">
        <v>303</v>
      </c>
      <c r="E36" s="106">
        <v>150</v>
      </c>
      <c r="F36" s="97"/>
      <c r="G36" s="97"/>
    </row>
    <row r="37" spans="1:7" s="75" customFormat="1" ht="18" customHeight="1">
      <c r="A37" s="103"/>
      <c r="B37" s="108"/>
      <c r="C37" s="166"/>
      <c r="D37" s="105"/>
      <c r="E37" s="106"/>
      <c r="F37" s="97"/>
      <c r="G37" s="97"/>
    </row>
    <row r="38" spans="1:7" s="75" customFormat="1" ht="32.25" customHeight="1">
      <c r="A38" s="103" t="s">
        <v>1240</v>
      </c>
      <c r="B38" s="57" t="s">
        <v>1457</v>
      </c>
      <c r="C38" s="111" t="s">
        <v>1959</v>
      </c>
      <c r="D38" s="105"/>
      <c r="E38" s="106"/>
      <c r="F38" s="97"/>
      <c r="G38" s="97"/>
    </row>
    <row r="39" spans="1:7" s="75" customFormat="1" ht="18" customHeight="1">
      <c r="A39" s="103" t="s">
        <v>1241</v>
      </c>
      <c r="B39" s="108"/>
      <c r="C39" s="163" t="s">
        <v>1035</v>
      </c>
      <c r="D39" s="105" t="s">
        <v>363</v>
      </c>
      <c r="E39" s="106">
        <v>15</v>
      </c>
      <c r="F39" s="97"/>
      <c r="G39" s="97"/>
    </row>
    <row r="40" spans="1:7" s="75" customFormat="1" ht="18" customHeight="1">
      <c r="A40" s="103" t="s">
        <v>1242</v>
      </c>
      <c r="B40" s="108"/>
      <c r="C40" s="163" t="s">
        <v>1037</v>
      </c>
      <c r="D40" s="105" t="s">
        <v>363</v>
      </c>
      <c r="E40" s="106">
        <v>15</v>
      </c>
      <c r="F40" s="97"/>
      <c r="G40" s="97"/>
    </row>
    <row r="41" spans="1:7" s="75" customFormat="1" ht="18" customHeight="1">
      <c r="A41" s="103" t="s">
        <v>1243</v>
      </c>
      <c r="B41" s="108"/>
      <c r="C41" s="163" t="s">
        <v>1039</v>
      </c>
      <c r="D41" s="105" t="s">
        <v>363</v>
      </c>
      <c r="E41" s="106">
        <v>20</v>
      </c>
      <c r="F41" s="97"/>
      <c r="G41" s="97"/>
    </row>
    <row r="42" spans="1:7" s="75" customFormat="1" ht="18" customHeight="1">
      <c r="A42" s="103"/>
      <c r="B42" s="108"/>
      <c r="C42" s="110"/>
      <c r="D42" s="105"/>
      <c r="E42" s="106"/>
      <c r="F42" s="97"/>
      <c r="G42" s="97"/>
    </row>
    <row r="43" spans="1:7" s="75" customFormat="1" ht="18" customHeight="1">
      <c r="A43" s="622" t="s">
        <v>88</v>
      </c>
      <c r="B43" s="623"/>
      <c r="C43" s="623"/>
      <c r="D43" s="113"/>
      <c r="E43" s="114"/>
      <c r="F43" s="139"/>
      <c r="G43" s="99"/>
    </row>
    <row r="44" spans="1:7" s="75" customFormat="1" ht="18" customHeight="1">
      <c r="A44" s="644" t="s">
        <v>89</v>
      </c>
      <c r="B44" s="645"/>
      <c r="C44" s="646"/>
      <c r="D44" s="115"/>
      <c r="E44" s="116"/>
      <c r="F44" s="140"/>
      <c r="G44" s="99"/>
    </row>
    <row r="45" spans="1:7" s="75" customFormat="1" ht="18" customHeight="1">
      <c r="A45" s="103"/>
      <c r="B45" s="108"/>
      <c r="C45" s="111"/>
      <c r="D45" s="105"/>
      <c r="E45" s="106"/>
      <c r="F45" s="97"/>
      <c r="G45" s="97"/>
    </row>
    <row r="46" spans="1:7" s="75" customFormat="1" ht="30.75" customHeight="1">
      <c r="A46" s="103" t="s">
        <v>1244</v>
      </c>
      <c r="B46" s="57" t="s">
        <v>1457</v>
      </c>
      <c r="C46" s="111" t="s">
        <v>1960</v>
      </c>
      <c r="D46" s="105"/>
      <c r="E46" s="106"/>
      <c r="F46" s="97"/>
      <c r="G46" s="97"/>
    </row>
    <row r="47" spans="1:7" s="75" customFormat="1" ht="18" customHeight="1">
      <c r="A47" s="103" t="s">
        <v>1245</v>
      </c>
      <c r="B47" s="108"/>
      <c r="C47" s="163" t="s">
        <v>1035</v>
      </c>
      <c r="D47" s="105" t="s">
        <v>363</v>
      </c>
      <c r="E47" s="106">
        <v>15</v>
      </c>
      <c r="F47" s="97"/>
      <c r="G47" s="97"/>
    </row>
    <row r="48" spans="1:7" s="75" customFormat="1" ht="18" customHeight="1">
      <c r="A48" s="103" t="s">
        <v>1246</v>
      </c>
      <c r="B48" s="108"/>
      <c r="C48" s="163" t="s">
        <v>1037</v>
      </c>
      <c r="D48" s="105" t="s">
        <v>363</v>
      </c>
      <c r="E48" s="106">
        <v>10</v>
      </c>
      <c r="F48" s="97"/>
      <c r="G48" s="97"/>
    </row>
    <row r="49" spans="1:7" s="75" customFormat="1" ht="18" customHeight="1">
      <c r="A49" s="103" t="s">
        <v>1247</v>
      </c>
      <c r="B49" s="108"/>
      <c r="C49" s="163" t="s">
        <v>1039</v>
      </c>
      <c r="D49" s="105" t="s">
        <v>363</v>
      </c>
      <c r="E49" s="106">
        <v>20</v>
      </c>
      <c r="F49" s="97"/>
      <c r="G49" s="97"/>
    </row>
    <row r="50" spans="1:7" s="75" customFormat="1" ht="18" customHeight="1">
      <c r="A50" s="103"/>
      <c r="B50" s="108"/>
      <c r="C50" s="131"/>
      <c r="D50" s="105"/>
      <c r="E50" s="106"/>
      <c r="F50" s="97"/>
      <c r="G50" s="97"/>
    </row>
    <row r="51" spans="1:7" s="75" customFormat="1" ht="30" customHeight="1">
      <c r="A51" s="103" t="s">
        <v>1248</v>
      </c>
      <c r="B51" s="57" t="s">
        <v>1457</v>
      </c>
      <c r="C51" s="111" t="s">
        <v>1961</v>
      </c>
      <c r="D51" s="105"/>
      <c r="E51" s="106"/>
      <c r="F51" s="97"/>
      <c r="G51" s="97"/>
    </row>
    <row r="52" spans="1:7" s="75" customFormat="1" ht="18" customHeight="1">
      <c r="A52" s="103" t="s">
        <v>1249</v>
      </c>
      <c r="B52" s="108"/>
      <c r="C52" s="163" t="s">
        <v>1035</v>
      </c>
      <c r="D52" s="105" t="s">
        <v>363</v>
      </c>
      <c r="E52" s="106">
        <v>18</v>
      </c>
      <c r="F52" s="97"/>
      <c r="G52" s="97"/>
    </row>
    <row r="53" spans="1:7" s="75" customFormat="1" ht="18" customHeight="1">
      <c r="A53" s="103" t="s">
        <v>1250</v>
      </c>
      <c r="B53" s="108"/>
      <c r="C53" s="163" t="s">
        <v>1037</v>
      </c>
      <c r="D53" s="105" t="s">
        <v>363</v>
      </c>
      <c r="E53" s="106">
        <v>10</v>
      </c>
      <c r="F53" s="97"/>
      <c r="G53" s="97"/>
    </row>
    <row r="54" spans="1:7" s="75" customFormat="1" ht="18" customHeight="1">
      <c r="A54" s="103" t="s">
        <v>1251</v>
      </c>
      <c r="B54" s="108"/>
      <c r="C54" s="163" t="s">
        <v>1039</v>
      </c>
      <c r="D54" s="105" t="s">
        <v>363</v>
      </c>
      <c r="E54" s="106">
        <v>20</v>
      </c>
      <c r="F54" s="97"/>
      <c r="G54" s="97"/>
    </row>
    <row r="55" spans="1:7" s="75" customFormat="1" ht="18" customHeight="1">
      <c r="A55" s="103"/>
      <c r="B55" s="108"/>
      <c r="C55" s="109"/>
      <c r="D55" s="105"/>
      <c r="E55" s="106"/>
      <c r="F55" s="97"/>
      <c r="G55" s="97"/>
    </row>
    <row r="56" spans="1:7" s="75" customFormat="1" ht="18" customHeight="1">
      <c r="A56" s="103" t="s">
        <v>1252</v>
      </c>
      <c r="B56" s="108" t="s">
        <v>1460</v>
      </c>
      <c r="C56" s="104" t="s">
        <v>1253</v>
      </c>
      <c r="D56" s="105"/>
      <c r="E56" s="106"/>
      <c r="F56" s="97"/>
      <c r="G56" s="97"/>
    </row>
    <row r="57" spans="1:7" s="75" customFormat="1" ht="18" customHeight="1">
      <c r="A57" s="103" t="s">
        <v>1254</v>
      </c>
      <c r="B57" s="108"/>
      <c r="C57" s="109" t="s">
        <v>1255</v>
      </c>
      <c r="D57" s="105" t="s">
        <v>363</v>
      </c>
      <c r="E57" s="106">
        <v>10</v>
      </c>
      <c r="F57" s="97"/>
      <c r="G57" s="97"/>
    </row>
    <row r="58" spans="1:7" s="75" customFormat="1" ht="18" customHeight="1">
      <c r="A58" s="103" t="s">
        <v>1256</v>
      </c>
      <c r="B58" s="108"/>
      <c r="C58" s="109" t="s">
        <v>1257</v>
      </c>
      <c r="D58" s="105" t="s">
        <v>363</v>
      </c>
      <c r="E58" s="106">
        <v>10</v>
      </c>
      <c r="F58" s="97"/>
      <c r="G58" s="97"/>
    </row>
    <row r="59" spans="1:7" s="75" customFormat="1" ht="18" customHeight="1">
      <c r="A59" s="103" t="s">
        <v>1258</v>
      </c>
      <c r="B59" s="108"/>
      <c r="C59" s="109" t="s">
        <v>1259</v>
      </c>
      <c r="D59" s="105" t="s">
        <v>15</v>
      </c>
      <c r="E59" s="106">
        <v>1</v>
      </c>
      <c r="F59" s="97"/>
      <c r="G59" s="97"/>
    </row>
    <row r="60" spans="1:7" s="75" customFormat="1" ht="18" customHeight="1">
      <c r="A60" s="103" t="s">
        <v>1260</v>
      </c>
      <c r="B60" s="108"/>
      <c r="C60" s="109" t="s">
        <v>1261</v>
      </c>
      <c r="D60" s="105" t="s">
        <v>363</v>
      </c>
      <c r="E60" s="106">
        <v>10</v>
      </c>
      <c r="F60" s="97"/>
      <c r="G60" s="97"/>
    </row>
    <row r="61" spans="1:7" s="75" customFormat="1" ht="18" customHeight="1">
      <c r="A61" s="103" t="s">
        <v>1262</v>
      </c>
      <c r="B61" s="108"/>
      <c r="C61" s="109" t="s">
        <v>1263</v>
      </c>
      <c r="D61" s="105" t="s">
        <v>363</v>
      </c>
      <c r="E61" s="106">
        <v>70</v>
      </c>
      <c r="F61" s="97"/>
      <c r="G61" s="97"/>
    </row>
    <row r="62" spans="1:7" s="75" customFormat="1" ht="18" customHeight="1">
      <c r="A62" s="103" t="s">
        <v>1264</v>
      </c>
      <c r="B62" s="108"/>
      <c r="C62" s="109" t="s">
        <v>1265</v>
      </c>
      <c r="D62" s="105" t="s">
        <v>363</v>
      </c>
      <c r="E62" s="106">
        <v>20</v>
      </c>
      <c r="F62" s="97"/>
      <c r="G62" s="97"/>
    </row>
    <row r="63" spans="1:7" s="75" customFormat="1" ht="18" customHeight="1">
      <c r="A63" s="103" t="s">
        <v>1266</v>
      </c>
      <c r="B63" s="108"/>
      <c r="C63" s="109" t="s">
        <v>1267</v>
      </c>
      <c r="D63" s="105" t="s">
        <v>363</v>
      </c>
      <c r="E63" s="106">
        <v>20</v>
      </c>
      <c r="F63" s="97"/>
      <c r="G63" s="97"/>
    </row>
    <row r="64" spans="1:7" s="75" customFormat="1" ht="18" customHeight="1">
      <c r="A64" s="103" t="s">
        <v>1268</v>
      </c>
      <c r="B64" s="108"/>
      <c r="C64" s="109" t="s">
        <v>1269</v>
      </c>
      <c r="D64" s="105" t="s">
        <v>363</v>
      </c>
      <c r="E64" s="106">
        <v>30</v>
      </c>
      <c r="F64" s="97"/>
      <c r="G64" s="97"/>
    </row>
    <row r="65" spans="1:7" s="75" customFormat="1" ht="18" customHeight="1">
      <c r="A65" s="103" t="s">
        <v>1270</v>
      </c>
      <c r="B65" s="108"/>
      <c r="C65" s="109" t="s">
        <v>1271</v>
      </c>
      <c r="D65" s="105" t="s">
        <v>15</v>
      </c>
      <c r="E65" s="106">
        <v>1</v>
      </c>
      <c r="F65" s="97"/>
      <c r="G65" s="97"/>
    </row>
    <row r="66" spans="1:7" s="75" customFormat="1" ht="18" customHeight="1">
      <c r="A66" s="103"/>
      <c r="B66" s="108"/>
      <c r="C66" s="109"/>
      <c r="D66" s="105"/>
      <c r="E66" s="106"/>
      <c r="F66" s="141"/>
      <c r="G66" s="138"/>
    </row>
    <row r="67" spans="1:7" s="75" customFormat="1" ht="18" customHeight="1">
      <c r="A67" s="103" t="s">
        <v>1272</v>
      </c>
      <c r="B67" s="108" t="s">
        <v>1460</v>
      </c>
      <c r="C67" s="104" t="s">
        <v>1273</v>
      </c>
      <c r="D67" s="105"/>
      <c r="E67" s="106"/>
      <c r="F67" s="142"/>
      <c r="G67" s="143"/>
    </row>
    <row r="68" spans="1:7" s="75" customFormat="1" ht="18" customHeight="1">
      <c r="A68" s="103" t="s">
        <v>1274</v>
      </c>
      <c r="B68" s="108"/>
      <c r="C68" s="109" t="s">
        <v>1259</v>
      </c>
      <c r="D68" s="105" t="s">
        <v>15</v>
      </c>
      <c r="E68" s="106">
        <v>1</v>
      </c>
      <c r="F68" s="97"/>
      <c r="G68" s="97"/>
    </row>
    <row r="69" spans="1:7" s="75" customFormat="1" ht="18" customHeight="1">
      <c r="A69" s="103" t="s">
        <v>1275</v>
      </c>
      <c r="B69" s="108"/>
      <c r="C69" s="117" t="s">
        <v>1257</v>
      </c>
      <c r="D69" s="105" t="s">
        <v>363</v>
      </c>
      <c r="E69" s="106">
        <v>2</v>
      </c>
      <c r="F69" s="97"/>
      <c r="G69" s="97"/>
    </row>
    <row r="70" spans="1:7" s="75" customFormat="1" ht="18" customHeight="1">
      <c r="A70" s="103" t="s">
        <v>1276</v>
      </c>
      <c r="B70" s="108"/>
      <c r="C70" s="118" t="s">
        <v>1261</v>
      </c>
      <c r="D70" s="105" t="s">
        <v>363</v>
      </c>
      <c r="E70" s="106">
        <v>2</v>
      </c>
      <c r="F70" s="97"/>
      <c r="G70" s="97"/>
    </row>
    <row r="71" spans="1:7" s="75" customFormat="1" ht="18" customHeight="1">
      <c r="A71" s="103" t="s">
        <v>1277</v>
      </c>
      <c r="B71" s="108"/>
      <c r="C71" s="109" t="s">
        <v>1263</v>
      </c>
      <c r="D71" s="105" t="s">
        <v>363</v>
      </c>
      <c r="E71" s="106">
        <v>18</v>
      </c>
      <c r="F71" s="97"/>
      <c r="G71" s="97"/>
    </row>
    <row r="72" spans="1:7" ht="18" customHeight="1">
      <c r="A72" s="103" t="s">
        <v>1278</v>
      </c>
      <c r="B72" s="108"/>
      <c r="C72" s="109" t="s">
        <v>1265</v>
      </c>
      <c r="D72" s="105" t="s">
        <v>363</v>
      </c>
      <c r="E72" s="106">
        <v>4</v>
      </c>
      <c r="F72" s="97"/>
      <c r="G72" s="97"/>
    </row>
    <row r="73" spans="1:7" ht="18" customHeight="1">
      <c r="A73" s="103" t="s">
        <v>1279</v>
      </c>
      <c r="B73" s="108"/>
      <c r="C73" s="109" t="s">
        <v>1267</v>
      </c>
      <c r="D73" s="105" t="s">
        <v>363</v>
      </c>
      <c r="E73" s="106">
        <v>4</v>
      </c>
      <c r="F73" s="97"/>
      <c r="G73" s="97"/>
    </row>
    <row r="74" spans="1:7" ht="18" customHeight="1">
      <c r="A74" s="103" t="s">
        <v>1280</v>
      </c>
      <c r="B74" s="108"/>
      <c r="C74" s="109" t="s">
        <v>1269</v>
      </c>
      <c r="D74" s="105" t="s">
        <v>363</v>
      </c>
      <c r="E74" s="106">
        <v>1</v>
      </c>
      <c r="F74" s="97"/>
      <c r="G74" s="97"/>
    </row>
    <row r="75" spans="1:7" ht="18" customHeight="1">
      <c r="A75" s="103" t="s">
        <v>1281</v>
      </c>
      <c r="B75" s="108"/>
      <c r="C75" s="109" t="s">
        <v>1271</v>
      </c>
      <c r="D75" s="105" t="s">
        <v>15</v>
      </c>
      <c r="E75" s="106">
        <v>1</v>
      </c>
      <c r="F75" s="97"/>
      <c r="G75" s="97"/>
    </row>
    <row r="76" spans="1:7" ht="18" customHeight="1">
      <c r="A76" s="103"/>
      <c r="B76" s="108"/>
      <c r="C76" s="109"/>
      <c r="D76" s="105"/>
      <c r="E76" s="119"/>
      <c r="F76" s="97"/>
      <c r="G76" s="97"/>
    </row>
    <row r="77" spans="1:7" ht="18" customHeight="1">
      <c r="A77" s="103" t="s">
        <v>1282</v>
      </c>
      <c r="B77" s="108" t="s">
        <v>1460</v>
      </c>
      <c r="C77" s="109" t="s">
        <v>1283</v>
      </c>
      <c r="D77" s="105" t="s">
        <v>15</v>
      </c>
      <c r="E77" s="106">
        <v>1</v>
      </c>
      <c r="F77" s="97"/>
      <c r="G77" s="97"/>
    </row>
    <row r="78" spans="1:7" ht="18" customHeight="1">
      <c r="A78" s="103" t="s">
        <v>1284</v>
      </c>
      <c r="B78" s="108" t="s">
        <v>1460</v>
      </c>
      <c r="C78" s="120" t="s">
        <v>1285</v>
      </c>
      <c r="D78" s="105"/>
      <c r="E78" s="106"/>
      <c r="F78" s="97"/>
      <c r="G78" s="97"/>
    </row>
    <row r="79" spans="1:7" ht="18" customHeight="1">
      <c r="A79" s="103" t="s">
        <v>1286</v>
      </c>
      <c r="B79" s="108"/>
      <c r="C79" s="118" t="s">
        <v>1287</v>
      </c>
      <c r="D79" s="105" t="s">
        <v>15</v>
      </c>
      <c r="E79" s="106">
        <v>1</v>
      </c>
      <c r="F79" s="97"/>
      <c r="G79" s="97"/>
    </row>
    <row r="80" spans="1:7" ht="18" customHeight="1">
      <c r="A80" s="103" t="s">
        <v>1288</v>
      </c>
      <c r="B80" s="108"/>
      <c r="C80" s="110" t="s">
        <v>1289</v>
      </c>
      <c r="D80" s="105" t="s">
        <v>15</v>
      </c>
      <c r="E80" s="106">
        <v>1</v>
      </c>
      <c r="F80" s="97"/>
      <c r="G80" s="97"/>
    </row>
    <row r="81" spans="1:7" ht="18" customHeight="1">
      <c r="A81" s="103" t="s">
        <v>1290</v>
      </c>
      <c r="B81" s="108" t="s">
        <v>1464</v>
      </c>
      <c r="C81" s="121" t="s">
        <v>1291</v>
      </c>
      <c r="D81" s="105"/>
      <c r="E81" s="106"/>
      <c r="F81" s="97"/>
      <c r="G81" s="97"/>
    </row>
    <row r="82" spans="1:7" ht="18" customHeight="1">
      <c r="A82" s="103" t="s">
        <v>1292</v>
      </c>
      <c r="B82" s="108"/>
      <c r="C82" s="110" t="s">
        <v>1946</v>
      </c>
      <c r="D82" s="105" t="s">
        <v>363</v>
      </c>
      <c r="E82" s="106">
        <v>1</v>
      </c>
      <c r="F82" s="97"/>
      <c r="G82" s="97"/>
    </row>
    <row r="83" spans="1:7" ht="18" customHeight="1">
      <c r="A83" s="103" t="s">
        <v>1293</v>
      </c>
      <c r="B83" s="108"/>
      <c r="C83" s="110" t="s">
        <v>1947</v>
      </c>
      <c r="D83" s="105" t="s">
        <v>363</v>
      </c>
      <c r="E83" s="106">
        <v>1</v>
      </c>
      <c r="F83" s="97"/>
      <c r="G83" s="97"/>
    </row>
    <row r="84" spans="1:7" ht="18" customHeight="1">
      <c r="A84" s="103" t="s">
        <v>1294</v>
      </c>
      <c r="B84" s="108"/>
      <c r="C84" s="118" t="s">
        <v>1948</v>
      </c>
      <c r="D84" s="105" t="s">
        <v>363</v>
      </c>
      <c r="E84" s="106">
        <v>10</v>
      </c>
      <c r="F84" s="97"/>
      <c r="G84" s="97"/>
    </row>
    <row r="85" spans="1:7" ht="18" customHeight="1">
      <c r="A85" s="103" t="s">
        <v>1295</v>
      </c>
      <c r="B85" s="108"/>
      <c r="C85" s="110" t="s">
        <v>1949</v>
      </c>
      <c r="D85" s="105" t="s">
        <v>363</v>
      </c>
      <c r="E85" s="106">
        <v>10</v>
      </c>
      <c r="F85" s="97"/>
      <c r="G85" s="97"/>
    </row>
    <row r="86" spans="1:7" ht="18" customHeight="1">
      <c r="A86" s="103" t="s">
        <v>1296</v>
      </c>
      <c r="B86" s="108"/>
      <c r="C86" s="110" t="s">
        <v>1950</v>
      </c>
      <c r="D86" s="105" t="s">
        <v>363</v>
      </c>
      <c r="E86" s="106">
        <v>10</v>
      </c>
      <c r="F86" s="97"/>
      <c r="G86" s="97"/>
    </row>
    <row r="87" spans="1:7" ht="18" customHeight="1">
      <c r="A87" s="103" t="s">
        <v>1297</v>
      </c>
      <c r="B87" s="108"/>
      <c r="C87" s="110" t="s">
        <v>1951</v>
      </c>
      <c r="D87" s="105" t="s">
        <v>363</v>
      </c>
      <c r="E87" s="106">
        <v>10</v>
      </c>
      <c r="F87" s="97"/>
      <c r="G87" s="97"/>
    </row>
    <row r="88" spans="1:7" ht="18" customHeight="1">
      <c r="A88" s="103"/>
      <c r="B88" s="108"/>
      <c r="C88" s="104"/>
      <c r="D88" s="105"/>
      <c r="E88" s="106"/>
      <c r="F88" s="97"/>
      <c r="G88" s="97"/>
    </row>
    <row r="89" spans="1:7" s="75" customFormat="1" ht="18" customHeight="1">
      <c r="A89" s="627" t="s">
        <v>88</v>
      </c>
      <c r="B89" s="628"/>
      <c r="C89" s="628"/>
      <c r="D89" s="113"/>
      <c r="E89" s="114"/>
      <c r="F89" s="139"/>
      <c r="G89" s="99"/>
    </row>
    <row r="90" spans="1:7" s="75" customFormat="1" ht="18" customHeight="1">
      <c r="A90" s="644" t="s">
        <v>89</v>
      </c>
      <c r="B90" s="645"/>
      <c r="C90" s="646"/>
      <c r="D90" s="115"/>
      <c r="E90" s="116"/>
      <c r="F90" s="140"/>
      <c r="G90" s="99"/>
    </row>
    <row r="91" spans="1:7" ht="18" customHeight="1">
      <c r="A91" s="103"/>
      <c r="B91" s="108"/>
      <c r="C91" s="110"/>
      <c r="D91" s="105"/>
      <c r="E91" s="106"/>
      <c r="F91" s="97"/>
      <c r="G91" s="97"/>
    </row>
    <row r="92" spans="1:7" ht="18" customHeight="1">
      <c r="A92" s="103" t="s">
        <v>1298</v>
      </c>
      <c r="B92" s="108" t="s">
        <v>1465</v>
      </c>
      <c r="C92" s="121" t="s">
        <v>1299</v>
      </c>
      <c r="D92" s="105"/>
      <c r="E92" s="106"/>
      <c r="F92" s="97"/>
      <c r="G92" s="97"/>
    </row>
    <row r="93" spans="1:7" ht="18" customHeight="1">
      <c r="A93" s="103" t="s">
        <v>1300</v>
      </c>
      <c r="B93" s="108"/>
      <c r="C93" s="110" t="s">
        <v>1301</v>
      </c>
      <c r="D93" s="105" t="s">
        <v>977</v>
      </c>
      <c r="E93" s="106">
        <v>1</v>
      </c>
      <c r="F93" s="97"/>
      <c r="G93" s="97"/>
    </row>
    <row r="94" spans="1:7" ht="18" customHeight="1">
      <c r="A94" s="103" t="s">
        <v>1302</v>
      </c>
      <c r="B94" s="108"/>
      <c r="C94" s="110" t="s">
        <v>1303</v>
      </c>
      <c r="D94" s="105" t="s">
        <v>977</v>
      </c>
      <c r="E94" s="106">
        <v>10</v>
      </c>
      <c r="F94" s="97"/>
      <c r="G94" s="97"/>
    </row>
    <row r="95" spans="1:7" ht="18" customHeight="1">
      <c r="A95" s="103"/>
      <c r="B95" s="108"/>
      <c r="C95" s="104"/>
      <c r="D95" s="105"/>
      <c r="E95" s="106"/>
      <c r="F95" s="97"/>
      <c r="G95" s="97"/>
    </row>
    <row r="96" spans="1:7" ht="18" customHeight="1">
      <c r="A96" s="103" t="s">
        <v>1304</v>
      </c>
      <c r="B96" s="108" t="s">
        <v>1466</v>
      </c>
      <c r="C96" s="121" t="s">
        <v>1305</v>
      </c>
      <c r="D96" s="105"/>
      <c r="E96" s="106"/>
      <c r="F96" s="97"/>
      <c r="G96" s="97"/>
    </row>
    <row r="97" spans="1:7" ht="18" customHeight="1">
      <c r="A97" s="103" t="s">
        <v>1306</v>
      </c>
      <c r="B97" s="108"/>
      <c r="C97" s="110" t="s">
        <v>1307</v>
      </c>
      <c r="D97" s="105" t="s">
        <v>977</v>
      </c>
      <c r="E97" s="106">
        <v>1</v>
      </c>
      <c r="F97" s="97"/>
      <c r="G97" s="97"/>
    </row>
    <row r="98" spans="1:7" ht="18" customHeight="1">
      <c r="A98" s="103" t="s">
        <v>1308</v>
      </c>
      <c r="B98" s="108"/>
      <c r="C98" s="110" t="s">
        <v>1309</v>
      </c>
      <c r="D98" s="105" t="s">
        <v>977</v>
      </c>
      <c r="E98" s="106">
        <v>1</v>
      </c>
      <c r="F98" s="97"/>
      <c r="G98" s="97"/>
    </row>
    <row r="99" spans="1:7" ht="18" customHeight="1">
      <c r="A99" s="103" t="s">
        <v>1310</v>
      </c>
      <c r="B99" s="108"/>
      <c r="C99" s="118" t="s">
        <v>1311</v>
      </c>
      <c r="D99" s="105" t="s">
        <v>977</v>
      </c>
      <c r="E99" s="106">
        <v>1</v>
      </c>
      <c r="F99" s="97"/>
      <c r="G99" s="97"/>
    </row>
    <row r="100" spans="1:7" ht="18" customHeight="1">
      <c r="A100" s="103" t="s">
        <v>1312</v>
      </c>
      <c r="B100" s="108"/>
      <c r="C100" s="110" t="s">
        <v>1313</v>
      </c>
      <c r="D100" s="105" t="s">
        <v>977</v>
      </c>
      <c r="E100" s="106">
        <v>1</v>
      </c>
      <c r="F100" s="97"/>
      <c r="G100" s="97"/>
    </row>
    <row r="101" spans="1:7" ht="18" customHeight="1">
      <c r="A101" s="103"/>
      <c r="B101" s="108"/>
      <c r="C101" s="110"/>
      <c r="D101" s="105"/>
      <c r="E101" s="106"/>
      <c r="F101" s="97"/>
      <c r="G101" s="97"/>
    </row>
    <row r="102" spans="1:7" ht="18" customHeight="1">
      <c r="A102" s="103" t="s">
        <v>1314</v>
      </c>
      <c r="B102" s="108" t="s">
        <v>1467</v>
      </c>
      <c r="C102" s="121" t="s">
        <v>1315</v>
      </c>
      <c r="D102" s="105"/>
      <c r="E102" s="106"/>
      <c r="F102" s="97"/>
      <c r="G102" s="97"/>
    </row>
    <row r="103" spans="1:7" ht="18" customHeight="1">
      <c r="A103" s="103" t="s">
        <v>1316</v>
      </c>
      <c r="B103" s="108"/>
      <c r="C103" s="110" t="s">
        <v>1317</v>
      </c>
      <c r="D103" s="105" t="s">
        <v>363</v>
      </c>
      <c r="E103" s="106">
        <v>140</v>
      </c>
      <c r="F103" s="97"/>
      <c r="G103" s="97"/>
    </row>
    <row r="104" spans="1:7" ht="18" customHeight="1">
      <c r="A104" s="103"/>
      <c r="B104" s="108"/>
      <c r="C104" s="110"/>
      <c r="D104" s="105"/>
      <c r="E104" s="106"/>
      <c r="F104" s="97"/>
      <c r="G104" s="97"/>
    </row>
    <row r="105" spans="1:7" ht="18" customHeight="1">
      <c r="A105" s="103" t="s">
        <v>1318</v>
      </c>
      <c r="B105" s="108" t="s">
        <v>1462</v>
      </c>
      <c r="C105" s="104" t="s">
        <v>1319</v>
      </c>
      <c r="D105" s="105"/>
      <c r="E105" s="106"/>
      <c r="F105" s="97"/>
      <c r="G105" s="97"/>
    </row>
    <row r="106" spans="1:7" ht="18" customHeight="1">
      <c r="A106" s="103" t="s">
        <v>1320</v>
      </c>
      <c r="B106" s="108"/>
      <c r="C106" s="110" t="s">
        <v>1321</v>
      </c>
      <c r="D106" s="105" t="s">
        <v>977</v>
      </c>
      <c r="E106" s="106">
        <v>10</v>
      </c>
      <c r="F106" s="97"/>
      <c r="G106" s="97"/>
    </row>
    <row r="107" spans="1:7" ht="18" customHeight="1">
      <c r="A107" s="103" t="s">
        <v>1322</v>
      </c>
      <c r="B107" s="108"/>
      <c r="C107" s="110" t="s">
        <v>1323</v>
      </c>
      <c r="D107" s="105" t="s">
        <v>977</v>
      </c>
      <c r="E107" s="106">
        <v>10</v>
      </c>
      <c r="F107" s="97"/>
      <c r="G107" s="97"/>
    </row>
    <row r="108" spans="1:7" ht="18" customHeight="1">
      <c r="A108" s="103" t="s">
        <v>1324</v>
      </c>
      <c r="B108" s="108"/>
      <c r="C108" s="118" t="s">
        <v>1325</v>
      </c>
      <c r="D108" s="105" t="s">
        <v>977</v>
      </c>
      <c r="E108" s="106">
        <v>2</v>
      </c>
      <c r="F108" s="97"/>
      <c r="G108" s="97"/>
    </row>
    <row r="109" spans="1:7" ht="18" customHeight="1">
      <c r="A109" s="103" t="s">
        <v>1326</v>
      </c>
      <c r="B109" s="108"/>
      <c r="C109" s="110" t="s">
        <v>1327</v>
      </c>
      <c r="D109" s="105" t="s">
        <v>977</v>
      </c>
      <c r="E109" s="106">
        <v>11</v>
      </c>
      <c r="F109" s="97"/>
      <c r="G109" s="97"/>
    </row>
    <row r="110" spans="1:7" ht="18" customHeight="1">
      <c r="A110" s="103"/>
      <c r="B110" s="108"/>
      <c r="C110" s="110"/>
      <c r="D110" s="105"/>
      <c r="E110" s="106"/>
      <c r="F110" s="97"/>
      <c r="G110" s="97"/>
    </row>
    <row r="111" spans="1:7" ht="18" customHeight="1">
      <c r="A111" s="103" t="s">
        <v>1328</v>
      </c>
      <c r="B111" s="108" t="s">
        <v>1461</v>
      </c>
      <c r="C111" s="121" t="s">
        <v>1329</v>
      </c>
      <c r="D111" s="105"/>
      <c r="E111" s="122"/>
      <c r="F111" s="97"/>
      <c r="G111" s="97"/>
    </row>
    <row r="112" spans="1:7" ht="18" customHeight="1">
      <c r="A112" s="103" t="s">
        <v>1330</v>
      </c>
      <c r="B112" s="108"/>
      <c r="C112" s="110" t="s">
        <v>1331</v>
      </c>
      <c r="D112" s="105" t="s">
        <v>15</v>
      </c>
      <c r="E112" s="106">
        <v>4</v>
      </c>
      <c r="F112" s="97"/>
      <c r="G112" s="97"/>
    </row>
    <row r="113" spans="1:7" ht="18" customHeight="1">
      <c r="A113" s="103"/>
      <c r="B113" s="108"/>
      <c r="C113" s="104"/>
      <c r="D113" s="105"/>
      <c r="E113" s="106"/>
      <c r="F113" s="97"/>
      <c r="G113" s="97"/>
    </row>
    <row r="114" spans="1:7" ht="18" customHeight="1">
      <c r="A114" s="64" t="s">
        <v>1332</v>
      </c>
      <c r="B114" s="108" t="s">
        <v>1463</v>
      </c>
      <c r="C114" s="69" t="s">
        <v>1334</v>
      </c>
      <c r="D114" s="123"/>
      <c r="E114" s="122"/>
      <c r="F114" s="97"/>
      <c r="G114" s="97"/>
    </row>
    <row r="115" spans="1:7" ht="18" customHeight="1">
      <c r="A115" s="64" t="s">
        <v>1333</v>
      </c>
      <c r="B115" s="108"/>
      <c r="C115" s="110" t="s">
        <v>1331</v>
      </c>
      <c r="D115" s="105" t="s">
        <v>15</v>
      </c>
      <c r="E115" s="122">
        <v>4</v>
      </c>
      <c r="F115" s="97"/>
      <c r="G115" s="97"/>
    </row>
    <row r="116" spans="1:7" ht="18" customHeight="1">
      <c r="A116" s="103"/>
      <c r="B116" s="108"/>
      <c r="C116" s="110"/>
      <c r="D116" s="105"/>
      <c r="E116" s="106"/>
      <c r="F116" s="97"/>
      <c r="G116" s="97"/>
    </row>
    <row r="117" spans="1:7" ht="18" customHeight="1">
      <c r="A117" s="64"/>
      <c r="B117" s="108"/>
      <c r="C117" s="79"/>
      <c r="D117" s="105"/>
      <c r="E117" s="124"/>
      <c r="F117" s="97"/>
      <c r="G117" s="97"/>
    </row>
    <row r="118" spans="1:7" ht="18" customHeight="1">
      <c r="A118" s="100">
        <v>5.2</v>
      </c>
      <c r="B118" s="125"/>
      <c r="C118" s="62" t="s">
        <v>1070</v>
      </c>
      <c r="D118" s="105"/>
      <c r="E118" s="106"/>
      <c r="F118" s="97"/>
      <c r="G118" s="97"/>
    </row>
    <row r="119" spans="1:7" ht="18" customHeight="1">
      <c r="A119" s="103"/>
      <c r="B119" s="108"/>
      <c r="C119" s="109"/>
      <c r="D119" s="105"/>
      <c r="E119" s="106"/>
      <c r="F119" s="97"/>
      <c r="G119" s="97"/>
    </row>
    <row r="120" spans="1:7" ht="18" customHeight="1">
      <c r="A120" s="103" t="s">
        <v>1335</v>
      </c>
      <c r="B120" s="57" t="s">
        <v>1452</v>
      </c>
      <c r="C120" s="120" t="s">
        <v>1213</v>
      </c>
      <c r="D120" s="105"/>
      <c r="E120" s="106"/>
      <c r="F120" s="97"/>
      <c r="G120" s="97"/>
    </row>
    <row r="121" spans="1:7" ht="18" customHeight="1">
      <c r="A121" s="103" t="s">
        <v>1336</v>
      </c>
      <c r="B121" s="108"/>
      <c r="C121" s="109" t="s">
        <v>1428</v>
      </c>
      <c r="D121" s="105" t="s">
        <v>303</v>
      </c>
      <c r="E121" s="106">
        <v>1560</v>
      </c>
      <c r="F121" s="97"/>
      <c r="G121" s="97"/>
    </row>
    <row r="122" spans="1:7" ht="18" customHeight="1">
      <c r="A122" s="103" t="s">
        <v>1337</v>
      </c>
      <c r="B122" s="108"/>
      <c r="C122" s="109" t="s">
        <v>1429</v>
      </c>
      <c r="D122" s="105" t="s">
        <v>303</v>
      </c>
      <c r="E122" s="106">
        <v>550</v>
      </c>
      <c r="F122" s="97"/>
      <c r="G122" s="97"/>
    </row>
    <row r="123" spans="1:7" ht="18" customHeight="1">
      <c r="A123" s="103" t="s">
        <v>1338</v>
      </c>
      <c r="B123" s="108"/>
      <c r="C123" s="109" t="s">
        <v>1430</v>
      </c>
      <c r="D123" s="105" t="s">
        <v>303</v>
      </c>
      <c r="E123" s="106">
        <v>570</v>
      </c>
      <c r="F123" s="97"/>
      <c r="G123" s="97"/>
    </row>
    <row r="124" spans="1:7" ht="18" customHeight="1">
      <c r="A124" s="103" t="s">
        <v>1339</v>
      </c>
      <c r="B124" s="108"/>
      <c r="C124" s="109" t="s">
        <v>1431</v>
      </c>
      <c r="D124" s="105" t="s">
        <v>303</v>
      </c>
      <c r="E124" s="106">
        <v>3560</v>
      </c>
      <c r="F124" s="97"/>
      <c r="G124" s="97"/>
    </row>
    <row r="125" spans="1:7" ht="18" customHeight="1">
      <c r="A125" s="103" t="s">
        <v>1340</v>
      </c>
      <c r="B125" s="108"/>
      <c r="C125" s="118" t="s">
        <v>1432</v>
      </c>
      <c r="D125" s="105" t="s">
        <v>303</v>
      </c>
      <c r="E125" s="106">
        <v>5280</v>
      </c>
      <c r="F125" s="97"/>
      <c r="G125" s="97"/>
    </row>
    <row r="126" spans="1:7" ht="18" customHeight="1">
      <c r="A126" s="103" t="s">
        <v>1341</v>
      </c>
      <c r="B126" s="108"/>
      <c r="C126" s="109" t="s">
        <v>1433</v>
      </c>
      <c r="D126" s="105" t="s">
        <v>303</v>
      </c>
      <c r="E126" s="106">
        <v>40</v>
      </c>
      <c r="F126" s="97"/>
      <c r="G126" s="97"/>
    </row>
    <row r="127" spans="1:7" ht="18" customHeight="1">
      <c r="A127" s="103"/>
      <c r="B127" s="108"/>
      <c r="C127" s="109"/>
      <c r="D127" s="105"/>
      <c r="E127" s="106"/>
      <c r="F127" s="97"/>
      <c r="G127" s="97"/>
    </row>
    <row r="128" spans="1:7" ht="18" customHeight="1">
      <c r="A128" s="103"/>
      <c r="B128" s="108"/>
      <c r="C128" s="109"/>
      <c r="D128" s="105"/>
      <c r="E128" s="106"/>
      <c r="F128" s="97"/>
      <c r="G128" s="97"/>
    </row>
    <row r="129" spans="1:7" ht="18" customHeight="1">
      <c r="A129" s="103"/>
      <c r="B129" s="108"/>
      <c r="C129" s="109"/>
      <c r="D129" s="105"/>
      <c r="E129" s="106"/>
      <c r="F129" s="97"/>
      <c r="G129" s="97"/>
    </row>
    <row r="130" spans="1:7" ht="18" customHeight="1">
      <c r="A130" s="627" t="s">
        <v>88</v>
      </c>
      <c r="B130" s="628"/>
      <c r="C130" s="628"/>
      <c r="D130" s="113"/>
      <c r="E130" s="114"/>
      <c r="F130" s="144"/>
      <c r="G130" s="99"/>
    </row>
    <row r="131" spans="1:7" ht="18" customHeight="1">
      <c r="A131" s="644" t="s">
        <v>89</v>
      </c>
      <c r="B131" s="645"/>
      <c r="C131" s="646"/>
      <c r="D131" s="115"/>
      <c r="E131" s="116"/>
      <c r="F131" s="145"/>
      <c r="G131" s="99"/>
    </row>
    <row r="132" spans="1:7" ht="18" customHeight="1">
      <c r="A132" s="103"/>
      <c r="B132" s="108"/>
      <c r="C132" s="109"/>
      <c r="D132" s="105"/>
      <c r="E132" s="106"/>
      <c r="F132" s="97"/>
      <c r="G132" s="97"/>
    </row>
    <row r="133" spans="1:7" ht="18" customHeight="1">
      <c r="A133" s="103" t="s">
        <v>1342</v>
      </c>
      <c r="B133" s="57" t="s">
        <v>1452</v>
      </c>
      <c r="C133" s="120" t="s">
        <v>1512</v>
      </c>
      <c r="D133" s="105"/>
      <c r="E133" s="106"/>
      <c r="F133" s="97"/>
      <c r="G133" s="97"/>
    </row>
    <row r="134" spans="1:7" ht="18" customHeight="1">
      <c r="A134" s="103" t="s">
        <v>1343</v>
      </c>
      <c r="B134" s="108"/>
      <c r="C134" s="109" t="s">
        <v>1434</v>
      </c>
      <c r="D134" s="105" t="s">
        <v>303</v>
      </c>
      <c r="E134" s="106">
        <v>700</v>
      </c>
      <c r="F134" s="97"/>
      <c r="G134" s="97"/>
    </row>
    <row r="135" spans="1:7" ht="18" customHeight="1">
      <c r="A135" s="103" t="s">
        <v>1344</v>
      </c>
      <c r="B135" s="108"/>
      <c r="C135" s="128" t="s">
        <v>1435</v>
      </c>
      <c r="D135" s="105" t="s">
        <v>303</v>
      </c>
      <c r="E135" s="106">
        <v>1400</v>
      </c>
      <c r="F135" s="97"/>
      <c r="G135" s="97"/>
    </row>
    <row r="136" spans="1:7" ht="18" customHeight="1">
      <c r="A136" s="103" t="s">
        <v>1345</v>
      </c>
      <c r="B136" s="108"/>
      <c r="C136" s="110" t="s">
        <v>1436</v>
      </c>
      <c r="D136" s="105" t="s">
        <v>303</v>
      </c>
      <c r="E136" s="106">
        <v>600</v>
      </c>
      <c r="F136" s="97"/>
      <c r="G136" s="97"/>
    </row>
    <row r="137" spans="1:7" ht="18" customHeight="1">
      <c r="A137" s="103"/>
      <c r="B137" s="108"/>
      <c r="C137" s="110"/>
      <c r="D137" s="105"/>
      <c r="E137" s="106"/>
      <c r="F137" s="97"/>
      <c r="G137" s="97"/>
    </row>
    <row r="138" spans="1:7" ht="18" customHeight="1">
      <c r="A138" s="103" t="s">
        <v>1346</v>
      </c>
      <c r="B138" s="57" t="s">
        <v>1453</v>
      </c>
      <c r="C138" s="121" t="s">
        <v>1225</v>
      </c>
      <c r="D138" s="105"/>
      <c r="E138" s="106"/>
      <c r="F138" s="97"/>
      <c r="G138" s="97"/>
    </row>
    <row r="139" spans="1:7" ht="18" customHeight="1">
      <c r="A139" s="103" t="s">
        <v>1347</v>
      </c>
      <c r="B139" s="108"/>
      <c r="C139" s="112" t="s">
        <v>1428</v>
      </c>
      <c r="D139" s="105" t="s">
        <v>363</v>
      </c>
      <c r="E139" s="106">
        <v>76</v>
      </c>
      <c r="F139" s="97"/>
      <c r="G139" s="97"/>
    </row>
    <row r="140" spans="1:7" ht="18" customHeight="1">
      <c r="A140" s="103" t="s">
        <v>1348</v>
      </c>
      <c r="B140" s="108"/>
      <c r="C140" s="128" t="s">
        <v>1429</v>
      </c>
      <c r="D140" s="105" t="s">
        <v>363</v>
      </c>
      <c r="E140" s="106">
        <v>20</v>
      </c>
      <c r="F140" s="97"/>
      <c r="G140" s="97"/>
    </row>
    <row r="141" spans="1:7" ht="18" customHeight="1">
      <c r="A141" s="103" t="s">
        <v>1349</v>
      </c>
      <c r="B141" s="108"/>
      <c r="C141" s="110" t="s">
        <v>1430</v>
      </c>
      <c r="D141" s="105" t="s">
        <v>363</v>
      </c>
      <c r="E141" s="106">
        <v>116</v>
      </c>
      <c r="F141" s="97"/>
      <c r="G141" s="97"/>
    </row>
    <row r="142" spans="1:7" ht="18" customHeight="1">
      <c r="A142" s="103" t="s">
        <v>1350</v>
      </c>
      <c r="B142" s="108"/>
      <c r="C142" s="110" t="s">
        <v>1431</v>
      </c>
      <c r="D142" s="105" t="s">
        <v>363</v>
      </c>
      <c r="E142" s="106">
        <v>118</v>
      </c>
      <c r="F142" s="97"/>
      <c r="G142" s="97"/>
    </row>
    <row r="143" spans="1:7" ht="18" customHeight="1">
      <c r="A143" s="103" t="s">
        <v>1351</v>
      </c>
      <c r="B143" s="108"/>
      <c r="C143" s="110" t="s">
        <v>1432</v>
      </c>
      <c r="D143" s="105" t="s">
        <v>363</v>
      </c>
      <c r="E143" s="106">
        <v>200</v>
      </c>
      <c r="F143" s="97"/>
      <c r="G143" s="97"/>
    </row>
    <row r="144" spans="1:7" ht="18" customHeight="1">
      <c r="A144" s="103" t="s">
        <v>1352</v>
      </c>
      <c r="B144" s="108"/>
      <c r="C144" s="128" t="s">
        <v>1433</v>
      </c>
      <c r="D144" s="105" t="s">
        <v>363</v>
      </c>
      <c r="E144" s="106">
        <v>16</v>
      </c>
      <c r="F144" s="97"/>
      <c r="G144" s="97"/>
    </row>
    <row r="145" spans="1:7" ht="18" customHeight="1">
      <c r="A145" s="103"/>
      <c r="B145" s="108"/>
      <c r="C145" s="111"/>
      <c r="D145" s="105"/>
      <c r="E145" s="106"/>
      <c r="F145" s="97"/>
      <c r="G145" s="97"/>
    </row>
    <row r="146" spans="1:7" ht="18" customHeight="1">
      <c r="A146" s="103" t="s">
        <v>1353</v>
      </c>
      <c r="B146" s="57" t="s">
        <v>1453</v>
      </c>
      <c r="C146" s="121" t="s">
        <v>1513</v>
      </c>
      <c r="D146" s="105"/>
      <c r="E146" s="106"/>
      <c r="F146" s="97"/>
      <c r="G146" s="97"/>
    </row>
    <row r="147" spans="1:7" ht="18" customHeight="1">
      <c r="A147" s="103" t="s">
        <v>1354</v>
      </c>
      <c r="B147" s="108"/>
      <c r="C147" s="110" t="s">
        <v>1434</v>
      </c>
      <c r="D147" s="105" t="s">
        <v>363</v>
      </c>
      <c r="E147" s="106">
        <v>40</v>
      </c>
      <c r="F147" s="97"/>
      <c r="G147" s="97"/>
    </row>
    <row r="148" spans="1:7" ht="18" customHeight="1">
      <c r="A148" s="103" t="s">
        <v>1355</v>
      </c>
      <c r="B148" s="108"/>
      <c r="C148" s="110" t="s">
        <v>1435</v>
      </c>
      <c r="D148" s="105" t="s">
        <v>363</v>
      </c>
      <c r="E148" s="106">
        <v>44</v>
      </c>
      <c r="F148" s="97"/>
      <c r="G148" s="97"/>
    </row>
    <row r="149" spans="1:7" ht="18" customHeight="1">
      <c r="A149" s="103" t="s">
        <v>1356</v>
      </c>
      <c r="B149" s="108"/>
      <c r="C149" s="109" t="s">
        <v>1436</v>
      </c>
      <c r="D149" s="105" t="s">
        <v>363</v>
      </c>
      <c r="E149" s="106">
        <v>60</v>
      </c>
      <c r="F149" s="97"/>
      <c r="G149" s="97"/>
    </row>
    <row r="150" spans="1:7" ht="18" customHeight="1">
      <c r="A150" s="103"/>
      <c r="B150" s="108"/>
      <c r="C150" s="111"/>
      <c r="D150" s="105"/>
      <c r="E150" s="106"/>
      <c r="F150" s="97"/>
      <c r="G150" s="97"/>
    </row>
    <row r="151" spans="1:7" ht="44.25" customHeight="1">
      <c r="A151" s="103" t="s">
        <v>1357</v>
      </c>
      <c r="B151" s="57" t="s">
        <v>1457</v>
      </c>
      <c r="C151" s="111" t="s">
        <v>1958</v>
      </c>
      <c r="D151" s="105"/>
      <c r="E151" s="106"/>
      <c r="F151" s="97"/>
      <c r="G151" s="97"/>
    </row>
    <row r="152" spans="1:7" ht="18" customHeight="1">
      <c r="A152" s="103" t="s">
        <v>1358</v>
      </c>
      <c r="B152" s="108"/>
      <c r="C152" s="163" t="s">
        <v>1035</v>
      </c>
      <c r="D152" s="105" t="s">
        <v>303</v>
      </c>
      <c r="E152" s="106">
        <v>450</v>
      </c>
      <c r="F152" s="97"/>
      <c r="G152" s="97"/>
    </row>
    <row r="153" spans="1:7" ht="18" customHeight="1">
      <c r="A153" s="103" t="s">
        <v>1359</v>
      </c>
      <c r="B153" s="108"/>
      <c r="C153" s="163" t="s">
        <v>1037</v>
      </c>
      <c r="D153" s="105" t="s">
        <v>303</v>
      </c>
      <c r="E153" s="106">
        <v>150</v>
      </c>
      <c r="F153" s="97"/>
      <c r="G153" s="97"/>
    </row>
    <row r="154" spans="1:7" ht="18" customHeight="1">
      <c r="A154" s="103" t="s">
        <v>1360</v>
      </c>
      <c r="B154" s="108"/>
      <c r="C154" s="163" t="s">
        <v>1039</v>
      </c>
      <c r="D154" s="105" t="s">
        <v>303</v>
      </c>
      <c r="E154" s="106">
        <v>150</v>
      </c>
      <c r="F154" s="97"/>
      <c r="G154" s="97"/>
    </row>
    <row r="155" spans="1:7" ht="18" customHeight="1">
      <c r="A155" s="103"/>
      <c r="B155" s="108"/>
      <c r="C155" s="166"/>
      <c r="D155" s="105"/>
      <c r="E155" s="106"/>
      <c r="F155" s="97"/>
      <c r="G155" s="97"/>
    </row>
    <row r="156" spans="1:7" ht="30" customHeight="1">
      <c r="A156" s="103" t="s">
        <v>1361</v>
      </c>
      <c r="B156" s="57" t="s">
        <v>1457</v>
      </c>
      <c r="C156" s="111" t="s">
        <v>1959</v>
      </c>
      <c r="D156" s="105"/>
      <c r="E156" s="106"/>
      <c r="F156" s="97"/>
      <c r="G156" s="97"/>
    </row>
    <row r="157" spans="1:7" ht="18" customHeight="1">
      <c r="A157" s="103" t="s">
        <v>1362</v>
      </c>
      <c r="B157" s="108"/>
      <c r="C157" s="163" t="s">
        <v>1035</v>
      </c>
      <c r="D157" s="105" t="s">
        <v>363</v>
      </c>
      <c r="E157" s="106">
        <v>15</v>
      </c>
      <c r="F157" s="97"/>
      <c r="G157" s="97"/>
    </row>
    <row r="158" spans="1:7" ht="18" customHeight="1">
      <c r="A158" s="103" t="s">
        <v>1363</v>
      </c>
      <c r="B158" s="108"/>
      <c r="C158" s="163" t="s">
        <v>1037</v>
      </c>
      <c r="D158" s="105" t="s">
        <v>363</v>
      </c>
      <c r="E158" s="106">
        <v>15</v>
      </c>
      <c r="F158" s="97"/>
      <c r="G158" s="97"/>
    </row>
    <row r="159" spans="1:7" ht="18" customHeight="1">
      <c r="A159" s="103" t="s">
        <v>1364</v>
      </c>
      <c r="B159" s="108"/>
      <c r="C159" s="163" t="s">
        <v>1039</v>
      </c>
      <c r="D159" s="105" t="s">
        <v>363</v>
      </c>
      <c r="E159" s="106">
        <v>20</v>
      </c>
      <c r="F159" s="97"/>
      <c r="G159" s="97"/>
    </row>
    <row r="160" spans="1:7" ht="18" customHeight="1">
      <c r="A160" s="103"/>
      <c r="B160" s="108"/>
      <c r="C160" s="109"/>
      <c r="D160" s="105"/>
      <c r="E160" s="106"/>
      <c r="F160" s="97"/>
      <c r="G160" s="97"/>
    </row>
    <row r="161" spans="1:7" ht="36" customHeight="1">
      <c r="A161" s="103" t="s">
        <v>1365</v>
      </c>
      <c r="B161" s="57" t="s">
        <v>1457</v>
      </c>
      <c r="C161" s="111" t="s">
        <v>1960</v>
      </c>
      <c r="D161" s="105"/>
      <c r="E161" s="106"/>
      <c r="F161" s="97"/>
      <c r="G161" s="97"/>
    </row>
    <row r="162" spans="1:7" ht="18" customHeight="1">
      <c r="A162" s="103" t="s">
        <v>1366</v>
      </c>
      <c r="B162" s="108"/>
      <c r="C162" s="163" t="s">
        <v>1035</v>
      </c>
      <c r="D162" s="105" t="s">
        <v>363</v>
      </c>
      <c r="E162" s="106">
        <v>15</v>
      </c>
      <c r="F162" s="97"/>
      <c r="G162" s="97"/>
    </row>
    <row r="163" spans="1:7" ht="18" customHeight="1">
      <c r="A163" s="103" t="s">
        <v>1367</v>
      </c>
      <c r="B163" s="108"/>
      <c r="C163" s="163" t="s">
        <v>1037</v>
      </c>
      <c r="D163" s="105" t="s">
        <v>363</v>
      </c>
      <c r="E163" s="106">
        <v>10</v>
      </c>
      <c r="F163" s="97"/>
      <c r="G163" s="97"/>
    </row>
    <row r="164" spans="1:7" ht="18" customHeight="1">
      <c r="A164" s="103" t="s">
        <v>1368</v>
      </c>
      <c r="B164" s="108"/>
      <c r="C164" s="163" t="s">
        <v>1039</v>
      </c>
      <c r="D164" s="105" t="s">
        <v>363</v>
      </c>
      <c r="E164" s="106">
        <v>20</v>
      </c>
      <c r="F164" s="97"/>
      <c r="G164" s="97"/>
    </row>
    <row r="165" spans="1:7" ht="18" customHeight="1">
      <c r="A165" s="103"/>
      <c r="B165" s="108"/>
      <c r="C165" s="131"/>
      <c r="D165" s="105"/>
      <c r="E165" s="106"/>
      <c r="F165" s="97"/>
      <c r="G165" s="97"/>
    </row>
    <row r="166" spans="1:7" ht="30" customHeight="1">
      <c r="A166" s="103" t="s">
        <v>1369</v>
      </c>
      <c r="B166" s="57" t="s">
        <v>1457</v>
      </c>
      <c r="C166" s="111" t="s">
        <v>1961</v>
      </c>
      <c r="D166" s="105"/>
      <c r="E166" s="106"/>
      <c r="F166" s="97"/>
      <c r="G166" s="97"/>
    </row>
    <row r="167" spans="1:7" ht="18" customHeight="1">
      <c r="A167" s="103" t="s">
        <v>1370</v>
      </c>
      <c r="B167" s="57"/>
      <c r="C167" s="163" t="s">
        <v>1035</v>
      </c>
      <c r="D167" s="105" t="s">
        <v>363</v>
      </c>
      <c r="E167" s="106">
        <v>18</v>
      </c>
      <c r="F167" s="97"/>
      <c r="G167" s="97"/>
    </row>
    <row r="168" spans="1:7" ht="18" customHeight="1">
      <c r="A168" s="103" t="s">
        <v>1371</v>
      </c>
      <c r="B168" s="108"/>
      <c r="C168" s="163" t="s">
        <v>1037</v>
      </c>
      <c r="D168" s="105" t="s">
        <v>363</v>
      </c>
      <c r="E168" s="106">
        <v>10</v>
      </c>
      <c r="F168" s="97"/>
      <c r="G168" s="97"/>
    </row>
    <row r="169" spans="1:7" ht="18" customHeight="1">
      <c r="A169" s="103" t="s">
        <v>1372</v>
      </c>
      <c r="B169" s="108"/>
      <c r="C169" s="163" t="s">
        <v>1039</v>
      </c>
      <c r="D169" s="105" t="s">
        <v>363</v>
      </c>
      <c r="E169" s="106">
        <v>20</v>
      </c>
      <c r="F169" s="97"/>
      <c r="G169" s="97"/>
    </row>
    <row r="170" spans="1:7" ht="11.25" customHeight="1">
      <c r="A170" s="103"/>
      <c r="B170" s="108"/>
      <c r="C170" s="109"/>
      <c r="D170" s="105"/>
      <c r="E170" s="106"/>
      <c r="F170" s="97"/>
      <c r="G170" s="97"/>
    </row>
    <row r="171" spans="1:7" ht="18" customHeight="1">
      <c r="A171" s="103" t="s">
        <v>1373</v>
      </c>
      <c r="B171" s="108" t="s">
        <v>1460</v>
      </c>
      <c r="C171" s="120" t="s">
        <v>1253</v>
      </c>
      <c r="D171" s="105"/>
      <c r="E171" s="106"/>
      <c r="F171" s="97"/>
      <c r="G171" s="97"/>
    </row>
    <row r="172" spans="1:7" ht="18" customHeight="1">
      <c r="A172" s="103" t="s">
        <v>1374</v>
      </c>
      <c r="B172" s="108"/>
      <c r="C172" s="109" t="s">
        <v>1255</v>
      </c>
      <c r="D172" s="105" t="s">
        <v>363</v>
      </c>
      <c r="E172" s="106">
        <v>10</v>
      </c>
      <c r="F172" s="97"/>
      <c r="G172" s="97"/>
    </row>
    <row r="173" spans="1:7" ht="18" customHeight="1">
      <c r="A173" s="103" t="s">
        <v>1375</v>
      </c>
      <c r="B173" s="108"/>
      <c r="C173" s="109" t="s">
        <v>1257</v>
      </c>
      <c r="D173" s="105" t="s">
        <v>363</v>
      </c>
      <c r="E173" s="106">
        <v>10</v>
      </c>
      <c r="F173" s="97"/>
      <c r="G173" s="97"/>
    </row>
    <row r="174" spans="1:7" ht="18" customHeight="1">
      <c r="A174" s="103" t="s">
        <v>1376</v>
      </c>
      <c r="B174" s="108"/>
      <c r="C174" s="109" t="s">
        <v>1259</v>
      </c>
      <c r="D174" s="105" t="s">
        <v>15</v>
      </c>
      <c r="E174" s="106">
        <v>1</v>
      </c>
      <c r="F174" s="97"/>
      <c r="G174" s="97"/>
    </row>
    <row r="175" spans="1:7" ht="18" customHeight="1">
      <c r="A175" s="103" t="s">
        <v>1377</v>
      </c>
      <c r="B175" s="108"/>
      <c r="C175" s="109" t="s">
        <v>1261</v>
      </c>
      <c r="D175" s="105" t="s">
        <v>363</v>
      </c>
      <c r="E175" s="119">
        <v>10</v>
      </c>
      <c r="F175" s="97"/>
      <c r="G175" s="97"/>
    </row>
    <row r="176" spans="1:7" ht="18" customHeight="1">
      <c r="A176" s="103" t="s">
        <v>1378</v>
      </c>
      <c r="B176" s="108"/>
      <c r="C176" s="109" t="s">
        <v>1263</v>
      </c>
      <c r="D176" s="105" t="s">
        <v>363</v>
      </c>
      <c r="E176" s="106">
        <v>70</v>
      </c>
      <c r="F176" s="97"/>
      <c r="G176" s="97"/>
    </row>
    <row r="177" spans="1:7" ht="18" customHeight="1">
      <c r="A177" s="627" t="s">
        <v>88</v>
      </c>
      <c r="B177" s="628"/>
      <c r="C177" s="628"/>
      <c r="D177" s="113"/>
      <c r="E177" s="114"/>
      <c r="F177" s="144"/>
      <c r="G177" s="99"/>
    </row>
    <row r="178" spans="1:7" ht="18" customHeight="1">
      <c r="A178" s="644" t="s">
        <v>89</v>
      </c>
      <c r="B178" s="645"/>
      <c r="C178" s="646"/>
      <c r="D178" s="115"/>
      <c r="E178" s="116"/>
      <c r="F178" s="145"/>
      <c r="G178" s="99"/>
    </row>
    <row r="179" spans="1:7" ht="18" customHeight="1">
      <c r="A179" s="103" t="s">
        <v>1379</v>
      </c>
      <c r="B179" s="108"/>
      <c r="C179" s="109" t="s">
        <v>1265</v>
      </c>
      <c r="D179" s="105" t="s">
        <v>363</v>
      </c>
      <c r="E179" s="106">
        <v>20</v>
      </c>
      <c r="F179" s="97"/>
      <c r="G179" s="97"/>
    </row>
    <row r="180" spans="1:7" ht="18" customHeight="1">
      <c r="A180" s="103" t="s">
        <v>1380</v>
      </c>
      <c r="B180" s="108"/>
      <c r="C180" s="117" t="s">
        <v>1267</v>
      </c>
      <c r="D180" s="105" t="s">
        <v>363</v>
      </c>
      <c r="E180" s="119">
        <v>20</v>
      </c>
      <c r="F180" s="97"/>
      <c r="G180" s="97"/>
    </row>
    <row r="181" spans="1:7" ht="18" customHeight="1">
      <c r="A181" s="103" t="s">
        <v>1381</v>
      </c>
      <c r="B181" s="108"/>
      <c r="C181" s="118" t="s">
        <v>1269</v>
      </c>
      <c r="D181" s="105" t="s">
        <v>363</v>
      </c>
      <c r="E181" s="106">
        <v>30</v>
      </c>
      <c r="F181" s="97"/>
      <c r="G181" s="97"/>
    </row>
    <row r="182" spans="1:7" ht="18" customHeight="1">
      <c r="A182" s="103" t="s">
        <v>1382</v>
      </c>
      <c r="B182" s="108"/>
      <c r="C182" s="110" t="s">
        <v>1271</v>
      </c>
      <c r="D182" s="105" t="s">
        <v>15</v>
      </c>
      <c r="E182" s="106">
        <v>1</v>
      </c>
      <c r="F182" s="97"/>
      <c r="G182" s="97"/>
    </row>
    <row r="183" spans="1:7" ht="18" customHeight="1">
      <c r="A183" s="103"/>
      <c r="B183" s="108"/>
      <c r="C183" s="104"/>
      <c r="D183" s="105"/>
      <c r="E183" s="106"/>
      <c r="F183" s="137"/>
      <c r="G183" s="146"/>
    </row>
    <row r="184" spans="1:7" ht="18" customHeight="1">
      <c r="A184" s="103" t="s">
        <v>1383</v>
      </c>
      <c r="B184" s="108" t="s">
        <v>1460</v>
      </c>
      <c r="C184" s="121" t="s">
        <v>1273</v>
      </c>
      <c r="D184" s="105"/>
      <c r="E184" s="106"/>
      <c r="F184" s="137"/>
      <c r="G184" s="146"/>
    </row>
    <row r="185" spans="1:7" ht="18" customHeight="1">
      <c r="A185" s="103" t="s">
        <v>1384</v>
      </c>
      <c r="B185" s="108"/>
      <c r="C185" s="110" t="s">
        <v>1259</v>
      </c>
      <c r="D185" s="105" t="s">
        <v>15</v>
      </c>
      <c r="E185" s="106">
        <v>1</v>
      </c>
      <c r="F185" s="97"/>
      <c r="G185" s="97"/>
    </row>
    <row r="186" spans="1:7" ht="18" customHeight="1">
      <c r="A186" s="103" t="s">
        <v>1385</v>
      </c>
      <c r="B186" s="108"/>
      <c r="C186" s="110" t="s">
        <v>1257</v>
      </c>
      <c r="D186" s="105" t="s">
        <v>363</v>
      </c>
      <c r="E186" s="106">
        <v>2</v>
      </c>
      <c r="F186" s="97"/>
      <c r="G186" s="97"/>
    </row>
    <row r="187" spans="1:7" ht="18" customHeight="1">
      <c r="A187" s="103" t="s">
        <v>1386</v>
      </c>
      <c r="B187" s="108"/>
      <c r="C187" s="118" t="s">
        <v>1261</v>
      </c>
      <c r="D187" s="105" t="s">
        <v>363</v>
      </c>
      <c r="E187" s="106">
        <v>2</v>
      </c>
      <c r="F187" s="97"/>
      <c r="G187" s="97"/>
    </row>
    <row r="188" spans="1:7" ht="18" customHeight="1">
      <c r="A188" s="103" t="s">
        <v>1387</v>
      </c>
      <c r="B188" s="108"/>
      <c r="C188" s="110" t="s">
        <v>1263</v>
      </c>
      <c r="D188" s="105" t="s">
        <v>363</v>
      </c>
      <c r="E188" s="106">
        <v>18</v>
      </c>
      <c r="F188" s="97"/>
      <c r="G188" s="97"/>
    </row>
    <row r="189" spans="1:7" ht="18" customHeight="1">
      <c r="A189" s="103" t="s">
        <v>1388</v>
      </c>
      <c r="B189" s="108"/>
      <c r="C189" s="110" t="s">
        <v>1265</v>
      </c>
      <c r="D189" s="105" t="s">
        <v>363</v>
      </c>
      <c r="E189" s="106">
        <v>4</v>
      </c>
      <c r="F189" s="97"/>
      <c r="G189" s="97"/>
    </row>
    <row r="190" spans="1:7" ht="18" customHeight="1">
      <c r="A190" s="103" t="s">
        <v>1389</v>
      </c>
      <c r="B190" s="108"/>
      <c r="C190" s="110" t="s">
        <v>1267</v>
      </c>
      <c r="D190" s="105" t="s">
        <v>363</v>
      </c>
      <c r="E190" s="106">
        <v>4</v>
      </c>
      <c r="F190" s="97"/>
      <c r="G190" s="97"/>
    </row>
    <row r="191" spans="1:7" ht="18" customHeight="1">
      <c r="A191" s="103" t="s">
        <v>1390</v>
      </c>
      <c r="B191" s="108"/>
      <c r="C191" s="110" t="s">
        <v>1269</v>
      </c>
      <c r="D191" s="105" t="s">
        <v>363</v>
      </c>
      <c r="E191" s="106">
        <v>1</v>
      </c>
      <c r="F191" s="97"/>
      <c r="G191" s="97"/>
    </row>
    <row r="192" spans="1:7" ht="18" customHeight="1">
      <c r="A192" s="103" t="s">
        <v>1391</v>
      </c>
      <c r="B192" s="108"/>
      <c r="C192" s="110" t="s">
        <v>1271</v>
      </c>
      <c r="D192" s="105" t="s">
        <v>15</v>
      </c>
      <c r="E192" s="106">
        <v>1</v>
      </c>
      <c r="F192" s="97"/>
      <c r="G192" s="97"/>
    </row>
    <row r="193" spans="1:7" ht="18" customHeight="1">
      <c r="A193" s="103"/>
      <c r="B193" s="108"/>
      <c r="C193" s="110"/>
      <c r="D193" s="105"/>
      <c r="E193" s="119"/>
      <c r="F193" s="97"/>
      <c r="G193" s="97"/>
    </row>
    <row r="194" spans="1:7" ht="18" customHeight="1">
      <c r="A194" s="103" t="s">
        <v>1392</v>
      </c>
      <c r="B194" s="108" t="s">
        <v>1460</v>
      </c>
      <c r="C194" s="110" t="s">
        <v>1283</v>
      </c>
      <c r="D194" s="105" t="s">
        <v>15</v>
      </c>
      <c r="E194" s="106">
        <v>1</v>
      </c>
      <c r="F194" s="97"/>
      <c r="G194" s="97"/>
    </row>
    <row r="195" spans="1:7" ht="18" customHeight="1">
      <c r="A195" s="103"/>
      <c r="B195" s="108"/>
      <c r="C195" s="104"/>
      <c r="D195" s="105"/>
      <c r="E195" s="106"/>
      <c r="F195" s="97"/>
      <c r="G195" s="97"/>
    </row>
    <row r="196" spans="1:7" ht="18" customHeight="1">
      <c r="A196" s="103" t="s">
        <v>1393</v>
      </c>
      <c r="B196" s="108" t="s">
        <v>1460</v>
      </c>
      <c r="C196" s="121" t="s">
        <v>1285</v>
      </c>
      <c r="D196" s="105"/>
      <c r="E196" s="106"/>
      <c r="F196" s="97"/>
      <c r="G196" s="97"/>
    </row>
    <row r="197" spans="1:7" ht="18" customHeight="1">
      <c r="A197" s="103" t="s">
        <v>1394</v>
      </c>
      <c r="B197" s="108"/>
      <c r="C197" s="110" t="s">
        <v>1287</v>
      </c>
      <c r="D197" s="105" t="s">
        <v>15</v>
      </c>
      <c r="E197" s="106">
        <v>1</v>
      </c>
      <c r="F197" s="97"/>
      <c r="G197" s="97"/>
    </row>
    <row r="198" spans="1:7" ht="18" customHeight="1">
      <c r="A198" s="103" t="s">
        <v>1395</v>
      </c>
      <c r="B198" s="108"/>
      <c r="C198" s="110" t="s">
        <v>1289</v>
      </c>
      <c r="D198" s="105" t="s">
        <v>15</v>
      </c>
      <c r="E198" s="106">
        <v>1</v>
      </c>
      <c r="F198" s="97"/>
      <c r="G198" s="97"/>
    </row>
    <row r="199" spans="1:7" ht="18" customHeight="1">
      <c r="A199" s="103"/>
      <c r="B199" s="108"/>
      <c r="C199" s="104"/>
      <c r="D199" s="105"/>
      <c r="E199" s="106"/>
      <c r="F199" s="97"/>
      <c r="G199" s="97"/>
    </row>
    <row r="200" spans="1:7" ht="18" customHeight="1">
      <c r="A200" s="103" t="s">
        <v>1396</v>
      </c>
      <c r="B200" s="108" t="s">
        <v>1464</v>
      </c>
      <c r="C200" s="130" t="s">
        <v>1397</v>
      </c>
      <c r="D200" s="105"/>
      <c r="E200" s="106"/>
      <c r="F200" s="97"/>
      <c r="G200" s="97"/>
    </row>
    <row r="201" spans="1:7" ht="18" customHeight="1">
      <c r="A201" s="103" t="s">
        <v>1398</v>
      </c>
      <c r="B201" s="108"/>
      <c r="C201" s="110" t="s">
        <v>1399</v>
      </c>
      <c r="D201" s="105" t="s">
        <v>363</v>
      </c>
      <c r="E201" s="106">
        <v>1</v>
      </c>
      <c r="F201" s="97"/>
      <c r="G201" s="97"/>
    </row>
    <row r="202" spans="1:7" ht="18" customHeight="1">
      <c r="A202" s="103" t="s">
        <v>1400</v>
      </c>
      <c r="B202" s="108"/>
      <c r="C202" s="110" t="s">
        <v>1401</v>
      </c>
      <c r="D202" s="105" t="s">
        <v>363</v>
      </c>
      <c r="E202" s="106">
        <v>1</v>
      </c>
      <c r="F202" s="97"/>
      <c r="G202" s="97"/>
    </row>
    <row r="203" spans="1:7" ht="18" customHeight="1">
      <c r="A203" s="103" t="s">
        <v>1402</v>
      </c>
      <c r="B203" s="108"/>
      <c r="C203" s="110" t="s">
        <v>1403</v>
      </c>
      <c r="D203" s="105" t="s">
        <v>363</v>
      </c>
      <c r="E203" s="106">
        <v>10</v>
      </c>
      <c r="F203" s="97"/>
      <c r="G203" s="97"/>
    </row>
    <row r="204" spans="1:7" ht="18" customHeight="1">
      <c r="A204" s="103" t="s">
        <v>1404</v>
      </c>
      <c r="B204" s="108"/>
      <c r="C204" s="110" t="s">
        <v>1405</v>
      </c>
      <c r="D204" s="105" t="s">
        <v>363</v>
      </c>
      <c r="E204" s="106">
        <v>10</v>
      </c>
      <c r="F204" s="97"/>
      <c r="G204" s="97"/>
    </row>
    <row r="205" spans="1:7" ht="18" customHeight="1">
      <c r="A205" s="103" t="s">
        <v>1406</v>
      </c>
      <c r="B205" s="108"/>
      <c r="C205" s="110" t="s">
        <v>1407</v>
      </c>
      <c r="D205" s="105" t="s">
        <v>363</v>
      </c>
      <c r="E205" s="106">
        <v>10</v>
      </c>
      <c r="F205" s="97"/>
      <c r="G205" s="97"/>
    </row>
    <row r="206" spans="1:7" ht="18" customHeight="1">
      <c r="A206" s="64" t="s">
        <v>1408</v>
      </c>
      <c r="B206" s="108"/>
      <c r="C206" s="79" t="s">
        <v>1885</v>
      </c>
      <c r="D206" s="105" t="s">
        <v>363</v>
      </c>
      <c r="E206" s="106">
        <v>10</v>
      </c>
      <c r="F206" s="97"/>
      <c r="G206" s="97"/>
    </row>
    <row r="207" spans="1:7" ht="18" customHeight="1">
      <c r="A207" s="64"/>
      <c r="B207" s="108"/>
      <c r="C207" s="79"/>
      <c r="D207" s="105"/>
      <c r="E207" s="106"/>
      <c r="F207" s="97"/>
      <c r="G207" s="97"/>
    </row>
    <row r="208" spans="1:7" ht="18" customHeight="1">
      <c r="A208" s="64" t="s">
        <v>1409</v>
      </c>
      <c r="B208" s="108" t="s">
        <v>1465</v>
      </c>
      <c r="C208" s="130" t="s">
        <v>1299</v>
      </c>
      <c r="D208" s="105"/>
      <c r="E208" s="106"/>
      <c r="F208" s="97"/>
      <c r="G208" s="97"/>
    </row>
    <row r="209" spans="1:7" ht="18" customHeight="1">
      <c r="A209" s="64" t="s">
        <v>1410</v>
      </c>
      <c r="B209" s="108"/>
      <c r="C209" s="79" t="s">
        <v>1301</v>
      </c>
      <c r="D209" s="105" t="s">
        <v>977</v>
      </c>
      <c r="E209" s="106">
        <v>1</v>
      </c>
      <c r="F209" s="97"/>
      <c r="G209" s="97"/>
    </row>
    <row r="210" spans="1:7" ht="18" customHeight="1">
      <c r="A210" s="64" t="s">
        <v>1411</v>
      </c>
      <c r="B210" s="108"/>
      <c r="C210" s="79" t="s">
        <v>1303</v>
      </c>
      <c r="D210" s="105" t="s">
        <v>977</v>
      </c>
      <c r="E210" s="106">
        <v>10</v>
      </c>
      <c r="F210" s="97"/>
      <c r="G210" s="97"/>
    </row>
    <row r="211" spans="1:7" ht="18" customHeight="1">
      <c r="A211" s="64"/>
      <c r="B211" s="108"/>
      <c r="C211" s="79"/>
      <c r="D211" s="105"/>
      <c r="E211" s="106"/>
      <c r="F211" s="97"/>
      <c r="G211" s="97"/>
    </row>
    <row r="212" spans="1:7" ht="18" customHeight="1">
      <c r="A212" s="64" t="s">
        <v>1412</v>
      </c>
      <c r="B212" s="108" t="s">
        <v>1466</v>
      </c>
      <c r="C212" s="130" t="s">
        <v>1305</v>
      </c>
      <c r="D212" s="105"/>
      <c r="E212" s="106"/>
      <c r="F212" s="97"/>
      <c r="G212" s="97"/>
    </row>
    <row r="213" spans="1:7" ht="18" customHeight="1">
      <c r="A213" s="64" t="s">
        <v>1413</v>
      </c>
      <c r="B213" s="108"/>
      <c r="C213" s="109" t="s">
        <v>1307</v>
      </c>
      <c r="D213" s="105" t="s">
        <v>977</v>
      </c>
      <c r="E213" s="106">
        <v>1</v>
      </c>
      <c r="F213" s="97"/>
      <c r="G213" s="97"/>
    </row>
    <row r="214" spans="1:7" ht="18" customHeight="1">
      <c r="A214" s="64" t="s">
        <v>1414</v>
      </c>
      <c r="B214" s="57"/>
      <c r="C214" s="109" t="s">
        <v>1309</v>
      </c>
      <c r="D214" s="131" t="s">
        <v>977</v>
      </c>
      <c r="E214" s="106">
        <v>1</v>
      </c>
      <c r="F214" s="97"/>
      <c r="G214" s="97"/>
    </row>
    <row r="215" spans="1:7" ht="18" customHeight="1">
      <c r="A215" s="64" t="s">
        <v>1415</v>
      </c>
      <c r="B215" s="108"/>
      <c r="C215" s="79" t="s">
        <v>1311</v>
      </c>
      <c r="D215" s="105" t="s">
        <v>977</v>
      </c>
      <c r="E215" s="106">
        <v>1</v>
      </c>
      <c r="F215" s="97"/>
      <c r="G215" s="97"/>
    </row>
    <row r="216" spans="1:7" ht="18" customHeight="1">
      <c r="A216" s="64" t="s">
        <v>1416</v>
      </c>
      <c r="B216" s="108"/>
      <c r="C216" s="79" t="s">
        <v>1313</v>
      </c>
      <c r="D216" s="105" t="s">
        <v>977</v>
      </c>
      <c r="E216" s="106">
        <v>1</v>
      </c>
      <c r="F216" s="97"/>
      <c r="G216" s="97"/>
    </row>
    <row r="217" spans="1:7" ht="18" customHeight="1">
      <c r="A217" s="64"/>
      <c r="B217" s="57"/>
      <c r="C217" s="69"/>
      <c r="D217" s="131"/>
      <c r="E217" s="106"/>
      <c r="F217" s="97"/>
      <c r="G217" s="97"/>
    </row>
    <row r="218" spans="1:7" ht="18" customHeight="1">
      <c r="A218" s="64" t="s">
        <v>1417</v>
      </c>
      <c r="B218" s="108" t="s">
        <v>1467</v>
      </c>
      <c r="C218" s="130" t="s">
        <v>1315</v>
      </c>
      <c r="D218" s="105"/>
      <c r="E218" s="106"/>
      <c r="F218" s="97"/>
      <c r="G218" s="97"/>
    </row>
    <row r="219" spans="1:7" ht="18" customHeight="1">
      <c r="A219" s="64" t="s">
        <v>1418</v>
      </c>
      <c r="B219" s="108"/>
      <c r="C219" s="79" t="s">
        <v>1317</v>
      </c>
      <c r="D219" s="105" t="s">
        <v>363</v>
      </c>
      <c r="E219" s="106">
        <v>140</v>
      </c>
      <c r="F219" s="97"/>
      <c r="G219" s="97"/>
    </row>
    <row r="220" spans="1:7" ht="18" customHeight="1">
      <c r="A220" s="64"/>
      <c r="B220" s="57"/>
      <c r="C220" s="69"/>
      <c r="D220" s="105"/>
      <c r="E220" s="106"/>
      <c r="F220" s="97"/>
      <c r="G220" s="97"/>
    </row>
    <row r="221" spans="1:7" ht="18" customHeight="1">
      <c r="A221" s="103"/>
      <c r="B221" s="108"/>
      <c r="C221" s="110"/>
      <c r="D221" s="105"/>
      <c r="E221" s="106"/>
      <c r="F221" s="97"/>
      <c r="G221" s="97"/>
    </row>
    <row r="222" spans="1:7" ht="18" customHeight="1">
      <c r="A222" s="627" t="s">
        <v>88</v>
      </c>
      <c r="B222" s="628"/>
      <c r="C222" s="628"/>
      <c r="D222" s="113"/>
      <c r="E222" s="114"/>
      <c r="F222" s="144"/>
      <c r="G222" s="99"/>
    </row>
    <row r="223" spans="1:7" ht="18" customHeight="1">
      <c r="A223" s="644" t="s">
        <v>89</v>
      </c>
      <c r="B223" s="645"/>
      <c r="C223" s="646"/>
      <c r="D223" s="115"/>
      <c r="E223" s="116"/>
      <c r="F223" s="145"/>
      <c r="G223" s="99"/>
    </row>
    <row r="224" spans="1:7" ht="18" customHeight="1">
      <c r="A224" s="64" t="s">
        <v>1419</v>
      </c>
      <c r="B224" s="108" t="s">
        <v>1462</v>
      </c>
      <c r="C224" s="130" t="s">
        <v>1319</v>
      </c>
      <c r="D224" s="105"/>
      <c r="E224" s="106"/>
      <c r="F224" s="97"/>
      <c r="G224" s="97"/>
    </row>
    <row r="225" spans="1:7" ht="18" customHeight="1">
      <c r="A225" s="64" t="s">
        <v>1420</v>
      </c>
      <c r="B225" s="108"/>
      <c r="C225" s="79" t="s">
        <v>1321</v>
      </c>
      <c r="D225" s="105" t="s">
        <v>977</v>
      </c>
      <c r="E225" s="106">
        <v>10</v>
      </c>
      <c r="F225" s="97"/>
      <c r="G225" s="97"/>
    </row>
    <row r="226" spans="1:7" ht="18" customHeight="1">
      <c r="A226" s="64" t="s">
        <v>1421</v>
      </c>
      <c r="B226" s="132"/>
      <c r="C226" s="109" t="s">
        <v>1323</v>
      </c>
      <c r="D226" s="82" t="s">
        <v>977</v>
      </c>
      <c r="E226" s="106">
        <v>10</v>
      </c>
      <c r="F226" s="97"/>
      <c r="G226" s="97"/>
    </row>
    <row r="227" spans="1:7" ht="18" customHeight="1">
      <c r="A227" s="64" t="s">
        <v>1422</v>
      </c>
      <c r="B227" s="108"/>
      <c r="C227" s="109" t="s">
        <v>1325</v>
      </c>
      <c r="D227" s="82" t="s">
        <v>977</v>
      </c>
      <c r="E227" s="106">
        <v>2</v>
      </c>
      <c r="F227" s="97"/>
      <c r="G227" s="97"/>
    </row>
    <row r="228" spans="1:7" ht="18" customHeight="1">
      <c r="A228" s="64" t="s">
        <v>1423</v>
      </c>
      <c r="B228" s="108"/>
      <c r="C228" s="109" t="s">
        <v>1327</v>
      </c>
      <c r="D228" s="82" t="s">
        <v>977</v>
      </c>
      <c r="E228" s="106">
        <v>11</v>
      </c>
      <c r="F228" s="97"/>
      <c r="G228" s="97"/>
    </row>
    <row r="229" spans="1:7" ht="18" customHeight="1">
      <c r="A229" s="64"/>
      <c r="B229" s="108"/>
      <c r="C229" s="109"/>
      <c r="D229" s="82"/>
      <c r="E229" s="106"/>
      <c r="F229" s="97"/>
      <c r="G229" s="97"/>
    </row>
    <row r="230" spans="1:7" ht="18" customHeight="1">
      <c r="A230" s="103" t="s">
        <v>1424</v>
      </c>
      <c r="B230" s="108" t="s">
        <v>1461</v>
      </c>
      <c r="C230" s="130" t="s">
        <v>1329</v>
      </c>
      <c r="D230" s="82"/>
      <c r="E230" s="122"/>
      <c r="F230" s="97"/>
      <c r="G230" s="97"/>
    </row>
    <row r="231" spans="1:7" ht="18" customHeight="1">
      <c r="A231" s="64" t="s">
        <v>1425</v>
      </c>
      <c r="B231" s="108"/>
      <c r="C231" s="109" t="s">
        <v>1331</v>
      </c>
      <c r="D231" s="82" t="s">
        <v>15</v>
      </c>
      <c r="E231" s="106">
        <v>4</v>
      </c>
      <c r="F231" s="97"/>
      <c r="G231" s="97"/>
    </row>
    <row r="232" spans="1:7" ht="18" customHeight="1">
      <c r="A232" s="64"/>
      <c r="B232" s="108"/>
      <c r="C232" s="109"/>
      <c r="D232" s="82"/>
      <c r="E232" s="106"/>
      <c r="F232" s="97"/>
      <c r="G232" s="97"/>
    </row>
    <row r="233" spans="1:7" ht="18" customHeight="1">
      <c r="A233" s="64" t="s">
        <v>1426</v>
      </c>
      <c r="B233" s="108" t="s">
        <v>1463</v>
      </c>
      <c r="C233" s="130" t="s">
        <v>1334</v>
      </c>
      <c r="D233" s="82"/>
      <c r="E233" s="122"/>
      <c r="F233" s="97"/>
      <c r="G233" s="97"/>
    </row>
    <row r="234" spans="1:7" ht="18" customHeight="1">
      <c r="A234" s="64" t="s">
        <v>1427</v>
      </c>
      <c r="B234" s="108"/>
      <c r="C234" s="109" t="s">
        <v>1331</v>
      </c>
      <c r="D234" s="82" t="s">
        <v>15</v>
      </c>
      <c r="E234" s="122">
        <v>4</v>
      </c>
      <c r="F234" s="97"/>
      <c r="G234" s="97"/>
    </row>
    <row r="235" spans="1:7" ht="18" customHeight="1">
      <c r="A235" s="64"/>
      <c r="B235" s="108"/>
      <c r="C235" s="109"/>
      <c r="D235" s="82"/>
      <c r="E235" s="106"/>
      <c r="F235" s="97"/>
      <c r="G235" s="97"/>
    </row>
    <row r="236" spans="1:7" ht="18" customHeight="1">
      <c r="A236" s="64"/>
      <c r="B236" s="108"/>
      <c r="C236" s="109"/>
      <c r="D236" s="82"/>
      <c r="E236" s="106"/>
      <c r="F236" s="97"/>
      <c r="G236" s="97"/>
    </row>
    <row r="237" spans="1:7" ht="18" customHeight="1">
      <c r="A237" s="64"/>
      <c r="B237" s="108"/>
      <c r="C237" s="130"/>
      <c r="D237" s="82"/>
      <c r="E237" s="106"/>
      <c r="F237" s="97"/>
      <c r="G237" s="97"/>
    </row>
    <row r="238" spans="1:7" ht="18" customHeight="1">
      <c r="A238" s="64"/>
      <c r="B238" s="108"/>
      <c r="C238" s="109"/>
      <c r="D238" s="82"/>
      <c r="E238" s="106"/>
      <c r="F238" s="97"/>
      <c r="G238" s="97"/>
    </row>
    <row r="239" spans="1:7" ht="18" customHeight="1">
      <c r="A239" s="64"/>
      <c r="B239" s="108"/>
      <c r="C239" s="109"/>
      <c r="D239" s="82"/>
      <c r="E239" s="106"/>
      <c r="F239" s="97"/>
      <c r="G239" s="97"/>
    </row>
    <row r="240" spans="1:7" ht="18" customHeight="1">
      <c r="A240" s="610" t="s">
        <v>1876</v>
      </c>
      <c r="B240" s="611"/>
      <c r="C240" s="611"/>
      <c r="D240" s="611"/>
      <c r="E240" s="611"/>
      <c r="F240" s="612"/>
      <c r="G240" s="99"/>
    </row>
  </sheetData>
  <mergeCells count="12">
    <mergeCell ref="A240:F240"/>
    <mergeCell ref="A222:C222"/>
    <mergeCell ref="A223:C223"/>
    <mergeCell ref="A1:G1"/>
    <mergeCell ref="A89:C89"/>
    <mergeCell ref="A90:C90"/>
    <mergeCell ref="A130:C130"/>
    <mergeCell ref="A131:C131"/>
    <mergeCell ref="A43:C43"/>
    <mergeCell ref="A44:C44"/>
    <mergeCell ref="A177:C177"/>
    <mergeCell ref="A178:C178"/>
  </mergeCells>
  <pageMargins left="0.70866141732283505" right="0.70866141732283505" top="1.2992125984252001" bottom="0.74803149606299202" header="0.31496062992126" footer="0.31496062992126"/>
  <pageSetup paperSize="9" scale="73" firstPageNumber="47"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rowBreaks count="5" manualBreakCount="5">
    <brk id="43" max="16383" man="1"/>
    <brk id="89" max="16383" man="1"/>
    <brk id="130" max="16383" man="1"/>
    <brk id="177" max="16383" man="1"/>
    <brk id="222"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16664-3794-4242-B37E-0FD478279F94}">
  <dimension ref="A1:K40"/>
  <sheetViews>
    <sheetView view="pageLayout" topLeftCell="A10" zoomScaleNormal="100" zoomScaleSheetLayoutView="100" workbookViewId="0">
      <selection activeCell="J13" sqref="J13"/>
    </sheetView>
  </sheetViews>
  <sheetFormatPr defaultColWidth="9.109375" defaultRowHeight="13.8"/>
  <cols>
    <col min="1" max="1" width="8" style="88" customWidth="1"/>
    <col min="2" max="2" width="8" style="89" customWidth="1"/>
    <col min="3" max="3" width="49" style="90" customWidth="1"/>
    <col min="4" max="4" width="6.88671875" style="91" customWidth="1"/>
    <col min="5" max="5" width="6.33203125" style="92" customWidth="1"/>
    <col min="6" max="6" width="13.88671875" style="44" customWidth="1"/>
    <col min="7" max="7" width="16" style="44" customWidth="1"/>
    <col min="8" max="16384" width="9.109375" style="44"/>
  </cols>
  <sheetData>
    <row r="1" spans="1:7" ht="22.5" customHeight="1">
      <c r="A1" s="663" t="s">
        <v>1437</v>
      </c>
      <c r="B1" s="664"/>
      <c r="C1" s="664"/>
      <c r="D1" s="664"/>
      <c r="E1" s="664"/>
      <c r="F1" s="664"/>
      <c r="G1" s="665"/>
    </row>
    <row r="2" spans="1:7" s="50" customFormat="1" ht="27.6">
      <c r="A2" s="45" t="s">
        <v>4</v>
      </c>
      <c r="B2" s="46" t="s">
        <v>5</v>
      </c>
      <c r="C2" s="45" t="s">
        <v>1</v>
      </c>
      <c r="D2" s="47" t="s">
        <v>6</v>
      </c>
      <c r="E2" s="48" t="s">
        <v>7</v>
      </c>
      <c r="F2" s="49" t="s">
        <v>8</v>
      </c>
      <c r="G2" s="49" t="s">
        <v>9</v>
      </c>
    </row>
    <row r="3" spans="1:7">
      <c r="A3" s="51"/>
      <c r="B3" s="52"/>
      <c r="C3" s="53"/>
      <c r="D3" s="51"/>
      <c r="E3" s="54"/>
      <c r="F3" s="93"/>
      <c r="G3" s="93"/>
    </row>
    <row r="4" spans="1:7" ht="27.6">
      <c r="A4" s="56">
        <v>6</v>
      </c>
      <c r="B4" s="57"/>
      <c r="C4" s="58" t="str">
        <f>A1</f>
        <v xml:space="preserve">SECTION 6: TESTING AND COMMISSIONING REQUIREMENTS </v>
      </c>
      <c r="D4" s="59"/>
      <c r="E4" s="60"/>
      <c r="F4" s="94"/>
      <c r="G4" s="94"/>
    </row>
    <row r="5" spans="1:7">
      <c r="A5" s="56"/>
      <c r="B5" s="57"/>
      <c r="C5" s="62"/>
      <c r="D5" s="59"/>
      <c r="E5" s="60"/>
      <c r="F5" s="94"/>
      <c r="G5" s="94"/>
    </row>
    <row r="6" spans="1:7">
      <c r="A6" s="56">
        <v>6.1</v>
      </c>
      <c r="B6" s="57"/>
      <c r="C6" s="62" t="s">
        <v>1438</v>
      </c>
      <c r="D6" s="59"/>
      <c r="E6" s="60"/>
      <c r="F6" s="95"/>
      <c r="G6" s="94"/>
    </row>
    <row r="7" spans="1:7" ht="27.75" customHeight="1">
      <c r="A7" s="64" t="s">
        <v>1439</v>
      </c>
      <c r="B7" s="57" t="s">
        <v>652</v>
      </c>
      <c r="C7" s="65" t="s">
        <v>1833</v>
      </c>
      <c r="D7" s="64"/>
      <c r="E7" s="66"/>
      <c r="F7" s="96"/>
      <c r="G7" s="97"/>
    </row>
    <row r="8" spans="1:7" ht="27.75" customHeight="1">
      <c r="A8" s="64" t="s">
        <v>1927</v>
      </c>
      <c r="B8" s="57"/>
      <c r="C8" s="68" t="s">
        <v>1929</v>
      </c>
      <c r="D8" s="64" t="s">
        <v>15</v>
      </c>
      <c r="E8" s="66">
        <v>1</v>
      </c>
      <c r="F8" s="96"/>
      <c r="G8" s="97"/>
    </row>
    <row r="9" spans="1:7" ht="27.6">
      <c r="A9" s="64" t="s">
        <v>1928</v>
      </c>
      <c r="B9" s="57"/>
      <c r="C9" s="68" t="s">
        <v>1930</v>
      </c>
      <c r="D9" s="64" t="s">
        <v>15</v>
      </c>
      <c r="E9" s="66">
        <v>1</v>
      </c>
      <c r="F9" s="96"/>
      <c r="G9" s="97"/>
    </row>
    <row r="10" spans="1:7" ht="16.5" customHeight="1">
      <c r="A10" s="64"/>
      <c r="B10" s="57"/>
      <c r="C10" s="69"/>
      <c r="D10" s="64"/>
      <c r="E10" s="70"/>
      <c r="F10" s="96"/>
      <c r="G10" s="97"/>
    </row>
    <row r="11" spans="1:7" ht="15" customHeight="1">
      <c r="A11" s="64" t="s">
        <v>1440</v>
      </c>
      <c r="B11" s="57"/>
      <c r="C11" s="69" t="s">
        <v>1441</v>
      </c>
      <c r="D11" s="64"/>
      <c r="E11" s="66"/>
      <c r="F11" s="96"/>
      <c r="G11" s="97"/>
    </row>
    <row r="12" spans="1:7" ht="27.6">
      <c r="A12" s="64" t="s">
        <v>1932</v>
      </c>
      <c r="B12" s="57"/>
      <c r="C12" s="68" t="s">
        <v>1935</v>
      </c>
      <c r="D12" s="64" t="s">
        <v>15</v>
      </c>
      <c r="E12" s="66">
        <v>1</v>
      </c>
      <c r="F12" s="96"/>
      <c r="G12" s="97"/>
    </row>
    <row r="13" spans="1:7" ht="27.6">
      <c r="A13" s="64" t="s">
        <v>1933</v>
      </c>
      <c r="B13" s="71"/>
      <c r="C13" s="68" t="s">
        <v>1931</v>
      </c>
      <c r="D13" s="64" t="s">
        <v>15</v>
      </c>
      <c r="E13" s="66">
        <v>1</v>
      </c>
      <c r="F13" s="96"/>
      <c r="G13" s="97"/>
    </row>
    <row r="14" spans="1:7" ht="18" customHeight="1">
      <c r="A14" s="64"/>
      <c r="B14" s="57"/>
      <c r="C14" s="69"/>
      <c r="D14" s="64"/>
      <c r="E14" s="66"/>
      <c r="F14" s="96"/>
      <c r="G14" s="97"/>
    </row>
    <row r="15" spans="1:7">
      <c r="A15" s="59" t="s">
        <v>1442</v>
      </c>
      <c r="B15" s="71"/>
      <c r="C15" s="69" t="s">
        <v>1443</v>
      </c>
      <c r="D15" s="64"/>
      <c r="E15" s="66"/>
      <c r="F15" s="96"/>
      <c r="G15" s="97"/>
    </row>
    <row r="16" spans="1:7" ht="41.4">
      <c r="A16" s="59" t="s">
        <v>1936</v>
      </c>
      <c r="B16" s="71"/>
      <c r="C16" s="68" t="s">
        <v>1934</v>
      </c>
      <c r="D16" s="64" t="s">
        <v>15</v>
      </c>
      <c r="E16" s="66">
        <v>1</v>
      </c>
      <c r="F16" s="96"/>
      <c r="G16" s="97"/>
    </row>
    <row r="17" spans="1:11" ht="41.4">
      <c r="A17" s="59" t="s">
        <v>1937</v>
      </c>
      <c r="B17" s="71"/>
      <c r="C17" s="68" t="s">
        <v>1934</v>
      </c>
      <c r="D17" s="64" t="s">
        <v>15</v>
      </c>
      <c r="E17" s="66">
        <v>1</v>
      </c>
      <c r="F17" s="96"/>
      <c r="G17" s="97"/>
    </row>
    <row r="18" spans="1:11">
      <c r="A18" s="59"/>
      <c r="B18" s="71"/>
      <c r="C18" s="73"/>
      <c r="D18" s="64"/>
      <c r="E18" s="70"/>
      <c r="F18" s="96"/>
      <c r="G18" s="97"/>
    </row>
    <row r="19" spans="1:11" ht="20.399999999999999">
      <c r="A19" s="56">
        <v>6.2</v>
      </c>
      <c r="B19" s="57" t="s">
        <v>1444</v>
      </c>
      <c r="C19" s="62" t="s">
        <v>1912</v>
      </c>
      <c r="D19" s="64"/>
      <c r="E19" s="66"/>
      <c r="F19" s="96"/>
      <c r="G19" s="97"/>
    </row>
    <row r="20" spans="1:11">
      <c r="A20" s="64" t="s">
        <v>1445</v>
      </c>
      <c r="B20" s="57"/>
      <c r="C20" s="438" t="s">
        <v>1938</v>
      </c>
      <c r="D20" s="64"/>
      <c r="E20" s="66"/>
      <c r="F20" s="96"/>
      <c r="G20" s="97"/>
    </row>
    <row r="21" spans="1:11" ht="27.6">
      <c r="A21" s="64" t="s">
        <v>1939</v>
      </c>
      <c r="B21" s="57"/>
      <c r="C21" s="74" t="s">
        <v>1511</v>
      </c>
      <c r="D21" s="64" t="s">
        <v>15</v>
      </c>
      <c r="E21" s="66">
        <v>1</v>
      </c>
      <c r="F21" s="96"/>
      <c r="G21" s="97"/>
    </row>
    <row r="22" spans="1:11" s="75" customFormat="1">
      <c r="A22" s="64" t="s">
        <v>1940</v>
      </c>
      <c r="B22" s="57"/>
      <c r="C22" s="74" t="s">
        <v>1441</v>
      </c>
      <c r="D22" s="64" t="s">
        <v>15</v>
      </c>
      <c r="E22" s="66">
        <v>1</v>
      </c>
      <c r="F22" s="96"/>
      <c r="G22" s="97"/>
    </row>
    <row r="23" spans="1:11" ht="18" customHeight="1">
      <c r="A23" s="64" t="s">
        <v>1941</v>
      </c>
      <c r="B23" s="57"/>
      <c r="C23" s="74" t="s">
        <v>1443</v>
      </c>
      <c r="D23" s="64" t="s">
        <v>15</v>
      </c>
      <c r="E23" s="66">
        <v>1</v>
      </c>
      <c r="F23" s="96"/>
      <c r="G23" s="97"/>
      <c r="H23" s="75"/>
      <c r="I23" s="75"/>
      <c r="J23" s="75"/>
      <c r="K23" s="75"/>
    </row>
    <row r="24" spans="1:11">
      <c r="A24" s="64"/>
      <c r="B24" s="57"/>
      <c r="C24" s="69"/>
      <c r="D24" s="64"/>
      <c r="E24" s="66"/>
      <c r="F24" s="96"/>
      <c r="G24" s="97"/>
      <c r="H24" s="75"/>
      <c r="I24" s="75"/>
      <c r="J24" s="75"/>
      <c r="K24" s="75"/>
    </row>
    <row r="25" spans="1:11">
      <c r="A25" s="64" t="s">
        <v>1446</v>
      </c>
      <c r="B25" s="57"/>
      <c r="C25" s="438" t="s">
        <v>1942</v>
      </c>
      <c r="D25" s="64"/>
      <c r="E25" s="66"/>
      <c r="F25" s="96"/>
      <c r="G25" s="97"/>
      <c r="H25" s="75"/>
      <c r="I25" s="75"/>
      <c r="J25" s="75"/>
      <c r="K25" s="75"/>
    </row>
    <row r="26" spans="1:11" ht="27.6">
      <c r="A26" s="64" t="s">
        <v>1943</v>
      </c>
      <c r="B26" s="57"/>
      <c r="C26" s="74" t="s">
        <v>1511</v>
      </c>
      <c r="D26" s="64" t="s">
        <v>15</v>
      </c>
      <c r="E26" s="66">
        <v>1</v>
      </c>
      <c r="F26" s="97"/>
      <c r="G26" s="97"/>
      <c r="H26" s="75"/>
      <c r="I26" s="75"/>
      <c r="J26" s="75"/>
      <c r="K26" s="75"/>
    </row>
    <row r="27" spans="1:11">
      <c r="A27" s="64" t="s">
        <v>1944</v>
      </c>
      <c r="B27" s="76"/>
      <c r="C27" s="74" t="s">
        <v>1441</v>
      </c>
      <c r="D27" s="64" t="s">
        <v>15</v>
      </c>
      <c r="E27" s="66">
        <v>1</v>
      </c>
      <c r="F27" s="97"/>
      <c r="G27" s="97"/>
      <c r="H27" s="75"/>
      <c r="I27" s="75"/>
      <c r="J27" s="75"/>
      <c r="K27" s="75"/>
    </row>
    <row r="28" spans="1:11">
      <c r="A28" s="64" t="s">
        <v>1945</v>
      </c>
      <c r="B28" s="77"/>
      <c r="C28" s="74" t="s">
        <v>1443</v>
      </c>
      <c r="D28" s="64" t="s">
        <v>15</v>
      </c>
      <c r="E28" s="66">
        <v>1</v>
      </c>
      <c r="F28" s="97"/>
      <c r="G28" s="97"/>
      <c r="H28" s="75"/>
      <c r="I28" s="75"/>
      <c r="J28" s="75"/>
      <c r="K28" s="75"/>
    </row>
    <row r="29" spans="1:11" s="75" customFormat="1">
      <c r="A29" s="59"/>
      <c r="B29" s="77"/>
      <c r="C29" s="79"/>
      <c r="D29" s="64"/>
      <c r="E29" s="66"/>
      <c r="F29" s="97"/>
      <c r="G29" s="97"/>
    </row>
    <row r="30" spans="1:11" s="75" customFormat="1">
      <c r="A30" s="80"/>
      <c r="B30" s="77"/>
      <c r="C30" s="81"/>
      <c r="D30" s="82"/>
      <c r="E30" s="70"/>
      <c r="F30" s="97"/>
      <c r="G30" s="97"/>
    </row>
    <row r="31" spans="1:11" s="75" customFormat="1">
      <c r="A31" s="59"/>
      <c r="B31" s="77"/>
      <c r="C31" s="69"/>
      <c r="D31" s="82"/>
      <c r="E31" s="70"/>
      <c r="F31" s="97"/>
      <c r="G31" s="98"/>
    </row>
    <row r="32" spans="1:11" s="75" customFormat="1">
      <c r="A32" s="59"/>
      <c r="B32" s="77"/>
      <c r="C32" s="85"/>
      <c r="D32" s="64"/>
      <c r="E32" s="83"/>
      <c r="F32" s="97"/>
      <c r="G32" s="97"/>
    </row>
    <row r="33" spans="1:7" s="75" customFormat="1">
      <c r="A33" s="59"/>
      <c r="B33" s="77"/>
      <c r="C33" s="85"/>
      <c r="D33" s="64"/>
      <c r="E33" s="83"/>
      <c r="F33" s="97"/>
      <c r="G33" s="97"/>
    </row>
    <row r="34" spans="1:7" s="75" customFormat="1">
      <c r="A34" s="59"/>
      <c r="B34" s="77"/>
      <c r="C34" s="85"/>
      <c r="D34" s="64"/>
      <c r="E34" s="83"/>
      <c r="F34" s="97"/>
      <c r="G34" s="97"/>
    </row>
    <row r="35" spans="1:7" s="75" customFormat="1">
      <c r="A35" s="59"/>
      <c r="B35" s="77"/>
      <c r="C35" s="85"/>
      <c r="D35" s="64"/>
      <c r="E35" s="83"/>
      <c r="F35" s="97"/>
      <c r="G35" s="97"/>
    </row>
    <row r="36" spans="1:7" s="75" customFormat="1">
      <c r="A36" s="59"/>
      <c r="B36" s="77"/>
      <c r="C36" s="85"/>
      <c r="D36" s="64"/>
      <c r="E36" s="83"/>
      <c r="F36" s="97"/>
      <c r="G36" s="97"/>
    </row>
    <row r="37" spans="1:7" s="75" customFormat="1">
      <c r="A37" s="59"/>
      <c r="B37" s="77"/>
      <c r="C37" s="85"/>
      <c r="D37" s="64"/>
      <c r="E37" s="83"/>
      <c r="F37" s="97"/>
      <c r="G37" s="97"/>
    </row>
    <row r="38" spans="1:7" s="75" customFormat="1" ht="14.4">
      <c r="A38" s="84"/>
      <c r="B38" s="77"/>
      <c r="C38" s="85"/>
      <c r="D38" s="87"/>
      <c r="E38" s="86"/>
      <c r="F38" s="97"/>
      <c r="G38" s="97"/>
    </row>
    <row r="39" spans="1:7" s="75" customFormat="1" ht="14.4">
      <c r="A39" s="84"/>
      <c r="B39" s="77"/>
      <c r="C39" s="85"/>
      <c r="D39" s="87"/>
      <c r="E39" s="86"/>
      <c r="F39" s="97"/>
      <c r="G39" s="97"/>
    </row>
    <row r="40" spans="1:7" ht="24" customHeight="1">
      <c r="A40" s="610" t="s">
        <v>1875</v>
      </c>
      <c r="B40" s="611"/>
      <c r="C40" s="611"/>
      <c r="D40" s="611"/>
      <c r="E40" s="611"/>
      <c r="F40" s="612"/>
      <c r="G40" s="99"/>
    </row>
  </sheetData>
  <mergeCells count="2">
    <mergeCell ref="A1:G1"/>
    <mergeCell ref="A40:F40"/>
  </mergeCells>
  <pageMargins left="0.70866141732283505" right="0.70866141732283505" top="1.2992125984252001" bottom="0.74803149606299202" header="0.31496062992126" footer="0.31496062992126"/>
  <pageSetup paperSize="9" scale="80" firstPageNumber="53"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7808F-443C-4448-828B-3567508D53C4}">
  <dimension ref="A1:F64"/>
  <sheetViews>
    <sheetView tabSelected="1" view="pageLayout" zoomScaleNormal="100" zoomScaleSheetLayoutView="130" workbookViewId="0">
      <selection activeCell="D33" sqref="D33"/>
    </sheetView>
  </sheetViews>
  <sheetFormatPr defaultRowHeight="14.4"/>
  <cols>
    <col min="1" max="1" width="36.88671875" customWidth="1"/>
    <col min="2" max="2" width="7.88671875" customWidth="1"/>
    <col min="3" max="3" width="6.33203125" customWidth="1"/>
    <col min="4" max="4" width="24.33203125" customWidth="1"/>
    <col min="5" max="5" width="27" style="38" customWidth="1"/>
  </cols>
  <sheetData>
    <row r="1" spans="1:6" ht="21.75" customHeight="1">
      <c r="A1" s="16" t="s">
        <v>1850</v>
      </c>
      <c r="B1" s="17"/>
      <c r="C1" s="17"/>
      <c r="D1" s="17"/>
      <c r="E1" s="18"/>
      <c r="F1" s="19"/>
    </row>
    <row r="2" spans="1:6" ht="22.5" customHeight="1">
      <c r="A2" s="20" t="s">
        <v>1</v>
      </c>
      <c r="B2" s="21"/>
      <c r="C2" s="21"/>
      <c r="D2" s="22"/>
      <c r="E2" s="23" t="s">
        <v>2</v>
      </c>
    </row>
    <row r="3" spans="1:6" ht="15" customHeight="1">
      <c r="A3" s="24"/>
      <c r="B3" s="25"/>
      <c r="C3" s="25"/>
      <c r="D3" s="25"/>
      <c r="E3" s="26"/>
    </row>
    <row r="4" spans="1:6" ht="15" customHeight="1">
      <c r="A4" s="603" t="s">
        <v>1851</v>
      </c>
      <c r="B4" s="604"/>
      <c r="C4" s="604"/>
      <c r="D4" s="605"/>
      <c r="E4" s="608" t="s">
        <v>1852</v>
      </c>
    </row>
    <row r="5" spans="1:6" ht="22.5" customHeight="1">
      <c r="A5" s="603"/>
      <c r="B5" s="604"/>
      <c r="C5" s="604"/>
      <c r="D5" s="605"/>
      <c r="E5" s="607"/>
    </row>
    <row r="6" spans="1:6" ht="33" customHeight="1">
      <c r="A6" s="603" t="s">
        <v>1853</v>
      </c>
      <c r="B6" s="604"/>
      <c r="C6" s="604"/>
      <c r="D6" s="605"/>
      <c r="E6" s="608" t="s">
        <v>1852</v>
      </c>
    </row>
    <row r="7" spans="1:6" ht="14.25" customHeight="1">
      <c r="A7" s="603"/>
      <c r="B7" s="604"/>
      <c r="C7" s="604"/>
      <c r="D7" s="605"/>
      <c r="E7" s="607"/>
    </row>
    <row r="8" spans="1:6" ht="18.75" customHeight="1">
      <c r="A8" s="603" t="s">
        <v>1854</v>
      </c>
      <c r="B8" s="604"/>
      <c r="C8" s="604"/>
      <c r="D8" s="605"/>
      <c r="E8" s="606" t="s">
        <v>1852</v>
      </c>
    </row>
    <row r="9" spans="1:6" ht="24" customHeight="1">
      <c r="A9" s="603"/>
      <c r="B9" s="604"/>
      <c r="C9" s="604"/>
      <c r="D9" s="605"/>
      <c r="E9" s="607"/>
    </row>
    <row r="10" spans="1:6" ht="20.25" customHeight="1">
      <c r="A10" s="603" t="s">
        <v>1855</v>
      </c>
      <c r="B10" s="604"/>
      <c r="C10" s="604"/>
      <c r="D10" s="605"/>
      <c r="E10" s="606" t="s">
        <v>1852</v>
      </c>
    </row>
    <row r="11" spans="1:6" ht="23.25" customHeight="1">
      <c r="A11" s="603"/>
      <c r="B11" s="604"/>
      <c r="C11" s="604"/>
      <c r="D11" s="605"/>
      <c r="E11" s="607"/>
    </row>
    <row r="12" spans="1:6" ht="23.25" customHeight="1">
      <c r="A12" s="603" t="s">
        <v>1856</v>
      </c>
      <c r="B12" s="604"/>
      <c r="C12" s="604"/>
      <c r="D12" s="605"/>
      <c r="E12" s="606" t="s">
        <v>1852</v>
      </c>
    </row>
    <row r="13" spans="1:6" ht="23.25" customHeight="1">
      <c r="A13" s="603"/>
      <c r="B13" s="604"/>
      <c r="C13" s="604"/>
      <c r="D13" s="605"/>
      <c r="E13" s="607"/>
    </row>
    <row r="14" spans="1:6" ht="20.25" customHeight="1">
      <c r="A14" s="603" t="s">
        <v>1860</v>
      </c>
      <c r="B14" s="604"/>
      <c r="C14" s="604"/>
      <c r="D14" s="605"/>
      <c r="E14" s="608" t="s">
        <v>1852</v>
      </c>
    </row>
    <row r="15" spans="1:6" ht="21.75" customHeight="1">
      <c r="A15" s="603"/>
      <c r="B15" s="604"/>
      <c r="C15" s="604"/>
      <c r="D15" s="605"/>
      <c r="E15" s="607"/>
    </row>
    <row r="16" spans="1:6" ht="15" customHeight="1">
      <c r="A16" s="27"/>
      <c r="B16" s="28"/>
      <c r="C16" s="25"/>
      <c r="D16" s="25"/>
      <c r="E16" s="40"/>
    </row>
    <row r="17" spans="1:5" ht="31.5" customHeight="1">
      <c r="A17" s="591" t="s">
        <v>1857</v>
      </c>
      <c r="B17" s="592"/>
      <c r="C17" s="592"/>
      <c r="D17" s="592"/>
      <c r="E17" s="41" t="s">
        <v>1852</v>
      </c>
    </row>
    <row r="18" spans="1:5">
      <c r="A18" s="576"/>
      <c r="B18" s="593"/>
      <c r="C18" s="593"/>
      <c r="D18" s="593"/>
      <c r="E18" s="577"/>
    </row>
    <row r="19" spans="1:5" ht="15" customHeight="1">
      <c r="A19" s="578"/>
      <c r="B19" s="594"/>
      <c r="C19" s="594"/>
      <c r="D19" s="594"/>
      <c r="E19" s="579"/>
    </row>
    <row r="20" spans="1:5" ht="15" customHeight="1">
      <c r="A20" s="29" t="s">
        <v>1858</v>
      </c>
      <c r="B20" s="602" t="s">
        <v>1979</v>
      </c>
      <c r="C20" s="602"/>
      <c r="D20" s="602"/>
      <c r="E20" s="43" t="s">
        <v>1852</v>
      </c>
    </row>
    <row r="21" spans="1:5" ht="15" customHeight="1">
      <c r="A21" s="29"/>
      <c r="B21" s="602"/>
      <c r="C21" s="602"/>
      <c r="D21" s="602"/>
      <c r="E21" s="42"/>
    </row>
    <row r="22" spans="1:5" ht="15" customHeight="1">
      <c r="A22" s="29" t="s">
        <v>1858</v>
      </c>
      <c r="B22" s="602" t="s">
        <v>1980</v>
      </c>
      <c r="C22" s="602"/>
      <c r="D22" s="602"/>
      <c r="E22" s="43" t="s">
        <v>1852</v>
      </c>
    </row>
    <row r="23" spans="1:5" ht="15" customHeight="1">
      <c r="A23" s="29"/>
      <c r="B23" s="602"/>
      <c r="C23" s="602"/>
      <c r="D23" s="602"/>
      <c r="E23" s="42"/>
    </row>
    <row r="24" spans="1:5" ht="32.25" customHeight="1">
      <c r="A24" s="600" t="s">
        <v>1901</v>
      </c>
      <c r="B24" s="601"/>
      <c r="C24" s="601"/>
      <c r="D24" s="601"/>
      <c r="E24" s="41" t="s">
        <v>1852</v>
      </c>
    </row>
    <row r="25" spans="1:5" ht="15" customHeight="1">
      <c r="A25" s="600"/>
      <c r="B25" s="601"/>
      <c r="C25" s="601"/>
      <c r="D25" s="601"/>
      <c r="E25" s="42"/>
    </row>
    <row r="26" spans="1:5" ht="15" customHeight="1">
      <c r="A26" s="29"/>
      <c r="B26" s="575"/>
      <c r="C26" s="575"/>
      <c r="D26" s="575"/>
      <c r="E26" s="42"/>
    </row>
    <row r="27" spans="1:5" ht="30.75" customHeight="1">
      <c r="A27" s="30" t="s">
        <v>1858</v>
      </c>
      <c r="B27" s="595" t="s">
        <v>1900</v>
      </c>
      <c r="C27" s="595"/>
      <c r="D27" s="595"/>
      <c r="E27" s="43" t="s">
        <v>1852</v>
      </c>
    </row>
    <row r="28" spans="1:5" ht="15" customHeight="1">
      <c r="A28" s="596" t="s">
        <v>1859</v>
      </c>
      <c r="B28" s="597"/>
      <c r="C28" s="597"/>
      <c r="D28" s="597"/>
      <c r="E28" s="587" t="s">
        <v>1852</v>
      </c>
    </row>
    <row r="29" spans="1:5" ht="24.75" customHeight="1">
      <c r="A29" s="598"/>
      <c r="B29" s="599"/>
      <c r="C29" s="599"/>
      <c r="D29" s="599"/>
      <c r="E29" s="588"/>
    </row>
    <row r="30" spans="1:5" ht="15" customHeight="1">
      <c r="A30" s="589"/>
      <c r="B30" s="589"/>
      <c r="C30" s="589"/>
      <c r="D30" s="589"/>
      <c r="E30" s="31"/>
    </row>
    <row r="31" spans="1:5" ht="15" customHeight="1">
      <c r="A31" s="590"/>
      <c r="B31" s="590"/>
      <c r="C31" s="39"/>
      <c r="D31" s="590"/>
      <c r="E31" s="590"/>
    </row>
    <row r="32" spans="1:5" ht="15" customHeight="1">
      <c r="A32" s="590"/>
      <c r="B32" s="590"/>
      <c r="C32" s="39"/>
      <c r="D32" s="590"/>
      <c r="E32" s="590"/>
    </row>
    <row r="33" spans="1:5" ht="15" customHeight="1">
      <c r="A33" s="32"/>
      <c r="B33" s="33"/>
      <c r="C33" s="33"/>
      <c r="D33" s="33"/>
      <c r="E33" s="34"/>
    </row>
    <row r="34" spans="1:5" ht="15" customHeight="1">
      <c r="A34" s="32"/>
      <c r="B34" s="33"/>
      <c r="C34" s="33"/>
      <c r="D34" s="33"/>
      <c r="E34" s="34"/>
    </row>
    <row r="35" spans="1:5" ht="15" customHeight="1">
      <c r="A35" s="32"/>
      <c r="B35" s="33"/>
      <c r="C35" s="33"/>
      <c r="D35" s="33"/>
      <c r="E35" s="34"/>
    </row>
    <row r="36" spans="1:5" ht="15" customHeight="1">
      <c r="A36" s="32"/>
      <c r="B36" s="33"/>
      <c r="C36" s="33"/>
      <c r="D36" s="33"/>
      <c r="E36" s="34"/>
    </row>
    <row r="37" spans="1:5" ht="15" customHeight="1">
      <c r="A37" s="32"/>
      <c r="B37" s="33"/>
      <c r="C37" s="33"/>
      <c r="D37" s="33"/>
      <c r="E37" s="34"/>
    </row>
    <row r="38" spans="1:5" ht="15" customHeight="1">
      <c r="A38" s="32"/>
      <c r="B38" s="33"/>
      <c r="C38" s="33"/>
      <c r="D38" s="33"/>
      <c r="E38" s="34"/>
    </row>
    <row r="39" spans="1:5" ht="15" customHeight="1">
      <c r="A39" s="32"/>
      <c r="B39" s="33"/>
      <c r="C39" s="33"/>
      <c r="D39" s="33"/>
      <c r="E39" s="34"/>
    </row>
    <row r="40" spans="1:5" ht="15" customHeight="1">
      <c r="A40" s="32"/>
      <c r="B40" s="33"/>
      <c r="C40" s="33"/>
      <c r="D40" s="33"/>
      <c r="E40" s="34"/>
    </row>
    <row r="41" spans="1:5" ht="15" customHeight="1">
      <c r="A41" s="32"/>
      <c r="B41" s="33"/>
      <c r="C41" s="33"/>
      <c r="D41" s="33"/>
      <c r="E41" s="34"/>
    </row>
    <row r="42" spans="1:5" ht="15" customHeight="1">
      <c r="A42" s="32"/>
      <c r="B42" s="33"/>
      <c r="C42" s="33"/>
      <c r="D42" s="33"/>
      <c r="E42" s="34"/>
    </row>
    <row r="43" spans="1:5" ht="15" customHeight="1">
      <c r="A43" s="32"/>
      <c r="B43" s="33"/>
      <c r="C43" s="33"/>
      <c r="D43" s="33"/>
      <c r="E43" s="34"/>
    </row>
    <row r="44" spans="1:5" ht="15" customHeight="1">
      <c r="A44" s="32"/>
      <c r="B44" s="33"/>
      <c r="C44" s="33"/>
      <c r="D44" s="33"/>
      <c r="E44" s="34"/>
    </row>
    <row r="45" spans="1:5" ht="15" customHeight="1">
      <c r="A45" s="32"/>
      <c r="B45" s="33"/>
      <c r="C45" s="33"/>
      <c r="D45" s="33"/>
      <c r="E45" s="34"/>
    </row>
    <row r="46" spans="1:5" ht="15" customHeight="1">
      <c r="A46" s="32"/>
      <c r="B46" s="33"/>
      <c r="C46" s="33"/>
      <c r="D46" s="33"/>
      <c r="E46" s="34"/>
    </row>
    <row r="47" spans="1:5" ht="15" customHeight="1">
      <c r="A47" s="32"/>
      <c r="B47" s="33"/>
      <c r="C47" s="33"/>
      <c r="D47" s="33"/>
      <c r="E47" s="34"/>
    </row>
    <row r="48" spans="1:5" ht="15" customHeight="1">
      <c r="A48" s="32"/>
      <c r="B48" s="33"/>
      <c r="C48" s="33"/>
      <c r="D48" s="33"/>
      <c r="E48" s="34"/>
    </row>
    <row r="49" spans="1:5" ht="15" customHeight="1">
      <c r="A49" s="32"/>
      <c r="B49" s="33"/>
      <c r="C49" s="33"/>
      <c r="D49" s="33"/>
      <c r="E49" s="34"/>
    </row>
    <row r="50" spans="1:5" ht="15" customHeight="1">
      <c r="A50" s="32"/>
      <c r="B50" s="33"/>
      <c r="C50" s="33"/>
      <c r="D50" s="33"/>
      <c r="E50" s="34"/>
    </row>
    <row r="51" spans="1:5" ht="15" customHeight="1">
      <c r="A51" s="32"/>
      <c r="B51" s="33"/>
      <c r="C51" s="33"/>
      <c r="D51" s="33"/>
      <c r="E51" s="34"/>
    </row>
    <row r="52" spans="1:5" ht="15" customHeight="1">
      <c r="A52" s="32"/>
      <c r="B52" s="33"/>
      <c r="C52" s="33"/>
      <c r="D52" s="33"/>
      <c r="E52" s="34"/>
    </row>
    <row r="53" spans="1:5" ht="15" customHeight="1">
      <c r="A53" s="32"/>
      <c r="B53" s="33"/>
      <c r="C53" s="33"/>
      <c r="D53" s="33"/>
      <c r="E53" s="34"/>
    </row>
    <row r="54" spans="1:5" ht="15" customHeight="1">
      <c r="A54" s="32"/>
      <c r="B54" s="33"/>
      <c r="C54" s="33"/>
      <c r="D54" s="33"/>
      <c r="E54" s="34"/>
    </row>
    <row r="55" spans="1:5" ht="15" customHeight="1">
      <c r="A55" s="32"/>
      <c r="B55" s="33"/>
      <c r="C55" s="33"/>
      <c r="D55" s="33"/>
      <c r="E55" s="34"/>
    </row>
    <row r="56" spans="1:5" ht="15" customHeight="1">
      <c r="A56" s="32"/>
      <c r="B56" s="33"/>
      <c r="C56" s="33"/>
      <c r="D56" s="33"/>
      <c r="E56" s="34"/>
    </row>
    <row r="57" spans="1:5" ht="15" customHeight="1">
      <c r="A57" s="32"/>
      <c r="B57" s="33"/>
      <c r="C57" s="33"/>
      <c r="D57" s="33"/>
      <c r="E57" s="34"/>
    </row>
    <row r="58" spans="1:5" ht="15" customHeight="1">
      <c r="A58" s="32"/>
      <c r="B58" s="33"/>
      <c r="C58" s="33"/>
      <c r="D58" s="33"/>
      <c r="E58" s="34"/>
    </row>
    <row r="59" spans="1:5" ht="15" customHeight="1">
      <c r="A59" s="32"/>
      <c r="B59" s="33"/>
      <c r="C59" s="33"/>
      <c r="D59" s="33"/>
      <c r="E59" s="34"/>
    </row>
    <row r="60" spans="1:5" ht="15" customHeight="1">
      <c r="A60" s="33"/>
      <c r="B60" s="33"/>
      <c r="C60" s="33"/>
      <c r="D60" s="33"/>
      <c r="E60" s="35"/>
    </row>
    <row r="61" spans="1:5">
      <c r="E61" s="36"/>
    </row>
    <row r="62" spans="1:5">
      <c r="E62" s="37"/>
    </row>
    <row r="63" spans="1:5">
      <c r="E63" s="37"/>
    </row>
    <row r="64" spans="1:5">
      <c r="E64" s="37"/>
    </row>
  </sheetData>
  <mergeCells count="29">
    <mergeCell ref="A4:D5"/>
    <mergeCell ref="E4:E5"/>
    <mergeCell ref="A6:D7"/>
    <mergeCell ref="E6:E7"/>
    <mergeCell ref="A8:D9"/>
    <mergeCell ref="E8:E9"/>
    <mergeCell ref="A10:D11"/>
    <mergeCell ref="E10:E11"/>
    <mergeCell ref="A14:D15"/>
    <mergeCell ref="E14:E15"/>
    <mergeCell ref="A12:D13"/>
    <mergeCell ref="E12:E13"/>
    <mergeCell ref="A17:D17"/>
    <mergeCell ref="B18:D18"/>
    <mergeCell ref="B19:D19"/>
    <mergeCell ref="B27:D27"/>
    <mergeCell ref="A28:D29"/>
    <mergeCell ref="A25:D25"/>
    <mergeCell ref="A24:D24"/>
    <mergeCell ref="B20:D20"/>
    <mergeCell ref="B21:D21"/>
    <mergeCell ref="B22:D22"/>
    <mergeCell ref="B23:D23"/>
    <mergeCell ref="E28:E29"/>
    <mergeCell ref="A30:D30"/>
    <mergeCell ref="A31:B31"/>
    <mergeCell ref="D31:E31"/>
    <mergeCell ref="A32:B32"/>
    <mergeCell ref="D32:E32"/>
  </mergeCells>
  <pageMargins left="0.70866141732283505" right="0.70866141732283505" top="1.2992125984252001" bottom="0.74803149606299202" header="0.31496062992126" footer="0.31496062992126"/>
  <pageSetup paperSize="9" scale="80" firstPageNumber="54"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CD70F-9258-4695-9F2B-34EF0FADB185}">
  <dimension ref="A1:K120"/>
  <sheetViews>
    <sheetView view="pageBreakPreview" topLeftCell="A114" zoomScale="130" zoomScaleNormal="100" zoomScaleSheetLayoutView="130" zoomScalePageLayoutView="115" workbookViewId="0">
      <selection activeCell="J13" sqref="J13"/>
    </sheetView>
  </sheetViews>
  <sheetFormatPr defaultColWidth="1.6640625" defaultRowHeight="13.8"/>
  <cols>
    <col min="1" max="1" width="6.5546875" style="88" customWidth="1"/>
    <col min="2" max="2" width="7.88671875" style="89" customWidth="1"/>
    <col min="3" max="3" width="47.88671875" style="90" customWidth="1"/>
    <col min="4" max="4" width="7" style="91" customWidth="1"/>
    <col min="5" max="5" width="7.109375" style="92" customWidth="1"/>
    <col min="6" max="6" width="13.88671875" style="44" customWidth="1"/>
    <col min="7" max="7" width="22" style="88" customWidth="1"/>
    <col min="8" max="16384" width="1.6640625" style="44"/>
  </cols>
  <sheetData>
    <row r="1" spans="1:11" ht="22.5" customHeight="1">
      <c r="A1" s="613" t="s">
        <v>3</v>
      </c>
      <c r="B1" s="614"/>
      <c r="C1" s="614"/>
      <c r="D1" s="614"/>
      <c r="E1" s="614"/>
      <c r="F1" s="614"/>
      <c r="G1" s="615"/>
    </row>
    <row r="2" spans="1:11" s="50" customFormat="1" ht="27.6">
      <c r="A2" s="481" t="s">
        <v>4</v>
      </c>
      <c r="B2" s="46" t="s">
        <v>5</v>
      </c>
      <c r="C2" s="45" t="s">
        <v>1</v>
      </c>
      <c r="D2" s="47" t="s">
        <v>6</v>
      </c>
      <c r="E2" s="48" t="s">
        <v>7</v>
      </c>
      <c r="F2" s="49" t="s">
        <v>8</v>
      </c>
      <c r="G2" s="47" t="s">
        <v>9</v>
      </c>
    </row>
    <row r="3" spans="1:11" ht="15.75" customHeight="1">
      <c r="A3" s="497"/>
      <c r="B3" s="498"/>
      <c r="C3" s="499"/>
      <c r="D3" s="59"/>
      <c r="E3" s="500"/>
      <c r="F3" s="501"/>
      <c r="G3" s="502"/>
    </row>
    <row r="4" spans="1:11" ht="20.399999999999999">
      <c r="A4" s="503">
        <v>1</v>
      </c>
      <c r="B4" s="402" t="s">
        <v>10</v>
      </c>
      <c r="C4" s="504" t="s">
        <v>3</v>
      </c>
      <c r="D4" s="59"/>
      <c r="E4" s="500"/>
      <c r="F4" s="541"/>
      <c r="G4" s="542"/>
    </row>
    <row r="5" spans="1:11" ht="33" customHeight="1">
      <c r="A5" s="505">
        <v>1.1000000000000001</v>
      </c>
      <c r="B5" s="506">
        <v>8.3000000000000007</v>
      </c>
      <c r="C5" s="507" t="s">
        <v>11</v>
      </c>
      <c r="D5" s="59"/>
      <c r="E5" s="500"/>
      <c r="F5" s="541"/>
      <c r="G5" s="542"/>
    </row>
    <row r="6" spans="1:11" ht="14.25" customHeight="1">
      <c r="A6" s="505"/>
      <c r="B6" s="125"/>
      <c r="C6" s="507"/>
      <c r="D6" s="59"/>
      <c r="E6" s="500"/>
      <c r="F6" s="541"/>
      <c r="G6" s="542"/>
    </row>
    <row r="7" spans="1:11" ht="18" customHeight="1">
      <c r="A7" s="508" t="s">
        <v>12</v>
      </c>
      <c r="B7" s="108" t="s">
        <v>13</v>
      </c>
      <c r="C7" s="121" t="s">
        <v>14</v>
      </c>
      <c r="D7" s="59" t="s">
        <v>15</v>
      </c>
      <c r="E7" s="66">
        <v>1</v>
      </c>
      <c r="F7" s="543"/>
      <c r="G7" s="544"/>
      <c r="H7" s="75"/>
      <c r="I7" s="75"/>
      <c r="J7" s="75"/>
      <c r="K7" s="75"/>
    </row>
    <row r="8" spans="1:11" s="75" customFormat="1" ht="18" customHeight="1">
      <c r="A8" s="508" t="s">
        <v>16</v>
      </c>
      <c r="B8" s="159" t="s">
        <v>17</v>
      </c>
      <c r="C8" s="121" t="s">
        <v>18</v>
      </c>
      <c r="D8" s="59"/>
      <c r="E8" s="66"/>
      <c r="F8" s="543"/>
      <c r="G8" s="544"/>
    </row>
    <row r="9" spans="1:11" s="75" customFormat="1" ht="18" customHeight="1">
      <c r="A9" s="508" t="s">
        <v>19</v>
      </c>
      <c r="B9" s="108" t="s">
        <v>20</v>
      </c>
      <c r="C9" s="121" t="s">
        <v>21</v>
      </c>
      <c r="D9" s="59"/>
      <c r="E9" s="66"/>
      <c r="F9" s="543"/>
      <c r="G9" s="544"/>
    </row>
    <row r="10" spans="1:11" s="164" customFormat="1" ht="18" customHeight="1">
      <c r="A10" s="508" t="s">
        <v>22</v>
      </c>
      <c r="B10" s="509"/>
      <c r="C10" s="109" t="s">
        <v>1473</v>
      </c>
      <c r="D10" s="170" t="s">
        <v>15</v>
      </c>
      <c r="E10" s="171">
        <v>1</v>
      </c>
      <c r="F10" s="543"/>
      <c r="G10" s="544"/>
    </row>
    <row r="11" spans="1:11" s="164" customFormat="1" ht="18" customHeight="1">
      <c r="A11" s="508" t="s">
        <v>24</v>
      </c>
      <c r="B11" s="206"/>
      <c r="C11" s="109" t="s">
        <v>1474</v>
      </c>
      <c r="D11" s="170" t="s">
        <v>15</v>
      </c>
      <c r="E11" s="171">
        <v>1</v>
      </c>
      <c r="F11" s="543"/>
      <c r="G11" s="544"/>
    </row>
    <row r="12" spans="1:11" s="75" customFormat="1" ht="18" customHeight="1">
      <c r="A12" s="508" t="s">
        <v>26</v>
      </c>
      <c r="B12" s="509"/>
      <c r="C12" s="109" t="s">
        <v>1475</v>
      </c>
      <c r="D12" s="170" t="s">
        <v>15</v>
      </c>
      <c r="E12" s="171">
        <v>1</v>
      </c>
      <c r="F12" s="543"/>
      <c r="G12" s="544"/>
    </row>
    <row r="13" spans="1:11" s="75" customFormat="1" ht="18" customHeight="1">
      <c r="A13" s="508" t="s">
        <v>31</v>
      </c>
      <c r="B13" s="108" t="s">
        <v>27</v>
      </c>
      <c r="C13" s="121" t="s">
        <v>28</v>
      </c>
      <c r="D13" s="59"/>
      <c r="E13" s="66"/>
      <c r="F13" s="543"/>
      <c r="G13" s="544"/>
    </row>
    <row r="14" spans="1:11" s="75" customFormat="1" ht="18" customHeight="1">
      <c r="A14" s="508" t="s">
        <v>33</v>
      </c>
      <c r="B14" s="108"/>
      <c r="C14" s="510" t="s">
        <v>29</v>
      </c>
      <c r="D14" s="59" t="s">
        <v>15</v>
      </c>
      <c r="E14" s="66">
        <v>1</v>
      </c>
      <c r="F14" s="543"/>
      <c r="G14" s="544"/>
    </row>
    <row r="15" spans="1:11" s="75" customFormat="1" ht="18" customHeight="1">
      <c r="A15" s="508" t="s">
        <v>35</v>
      </c>
      <c r="B15" s="108"/>
      <c r="C15" s="510" t="s">
        <v>30</v>
      </c>
      <c r="D15" s="59" t="s">
        <v>15</v>
      </c>
      <c r="E15" s="66">
        <v>1</v>
      </c>
      <c r="F15" s="543"/>
      <c r="G15" s="544"/>
    </row>
    <row r="16" spans="1:11" ht="18" customHeight="1">
      <c r="A16" s="508" t="s">
        <v>37</v>
      </c>
      <c r="B16" s="108"/>
      <c r="C16" s="510" t="s">
        <v>32</v>
      </c>
      <c r="D16" s="59" t="s">
        <v>15</v>
      </c>
      <c r="E16" s="66">
        <v>1</v>
      </c>
      <c r="F16" s="543"/>
      <c r="G16" s="544"/>
    </row>
    <row r="17" spans="1:11" ht="18" customHeight="1">
      <c r="A17" s="508" t="s">
        <v>39</v>
      </c>
      <c r="B17" s="108"/>
      <c r="C17" s="510" t="s">
        <v>34</v>
      </c>
      <c r="D17" s="59" t="s">
        <v>15</v>
      </c>
      <c r="E17" s="66">
        <v>1</v>
      </c>
      <c r="F17" s="543"/>
      <c r="G17" s="544"/>
    </row>
    <row r="18" spans="1:11" ht="18" customHeight="1">
      <c r="A18" s="508" t="s">
        <v>41</v>
      </c>
      <c r="B18" s="108"/>
      <c r="C18" s="510" t="s">
        <v>36</v>
      </c>
      <c r="D18" s="59" t="s">
        <v>15</v>
      </c>
      <c r="E18" s="66">
        <v>1</v>
      </c>
      <c r="F18" s="543"/>
      <c r="G18" s="544"/>
      <c r="H18" s="75"/>
      <c r="I18" s="75"/>
      <c r="J18" s="75"/>
      <c r="K18" s="75"/>
    </row>
    <row r="19" spans="1:11" s="75" customFormat="1" ht="18" customHeight="1">
      <c r="A19" s="508" t="s">
        <v>43</v>
      </c>
      <c r="B19" s="108"/>
      <c r="C19" s="510" t="s">
        <v>38</v>
      </c>
      <c r="D19" s="59" t="s">
        <v>15</v>
      </c>
      <c r="E19" s="66">
        <v>1</v>
      </c>
      <c r="F19" s="543"/>
      <c r="G19" s="544"/>
    </row>
    <row r="20" spans="1:11" s="164" customFormat="1" ht="18" customHeight="1">
      <c r="A20" s="508" t="s">
        <v>44</v>
      </c>
      <c r="B20" s="108"/>
      <c r="C20" s="510" t="s">
        <v>40</v>
      </c>
      <c r="D20" s="59" t="s">
        <v>15</v>
      </c>
      <c r="E20" s="66">
        <v>1</v>
      </c>
      <c r="F20" s="543"/>
      <c r="G20" s="544"/>
    </row>
    <row r="21" spans="1:11" s="75" customFormat="1" ht="18" customHeight="1">
      <c r="A21" s="508" t="s">
        <v>46</v>
      </c>
      <c r="B21" s="108"/>
      <c r="C21" s="510" t="s">
        <v>42</v>
      </c>
      <c r="D21" s="59" t="s">
        <v>15</v>
      </c>
      <c r="E21" s="66">
        <v>1</v>
      </c>
      <c r="F21" s="543"/>
      <c r="G21" s="544"/>
    </row>
    <row r="22" spans="1:11" s="75" customFormat="1">
      <c r="A22" s="508" t="s">
        <v>49</v>
      </c>
      <c r="B22" s="108"/>
      <c r="C22" s="510" t="s">
        <v>1952</v>
      </c>
      <c r="D22" s="59" t="s">
        <v>15</v>
      </c>
      <c r="E22" s="66">
        <v>1</v>
      </c>
      <c r="F22" s="543"/>
      <c r="G22" s="544"/>
    </row>
    <row r="23" spans="1:11" ht="18" customHeight="1">
      <c r="A23" s="508" t="s">
        <v>51</v>
      </c>
      <c r="B23" s="108"/>
      <c r="C23" s="510" t="s">
        <v>45</v>
      </c>
      <c r="D23" s="59" t="s">
        <v>15</v>
      </c>
      <c r="E23" s="66">
        <v>1</v>
      </c>
      <c r="F23" s="543"/>
      <c r="G23" s="544"/>
    </row>
    <row r="24" spans="1:11" ht="18" customHeight="1">
      <c r="A24" s="508" t="s">
        <v>53</v>
      </c>
      <c r="B24" s="159" t="s">
        <v>47</v>
      </c>
      <c r="C24" s="121" t="s">
        <v>48</v>
      </c>
      <c r="D24" s="59"/>
      <c r="E24" s="66"/>
      <c r="F24" s="543"/>
      <c r="G24" s="544"/>
    </row>
    <row r="25" spans="1:11" ht="18" customHeight="1">
      <c r="A25" s="508" t="s">
        <v>55</v>
      </c>
      <c r="B25" s="207"/>
      <c r="C25" s="510" t="s">
        <v>50</v>
      </c>
      <c r="D25" s="59" t="s">
        <v>15</v>
      </c>
      <c r="E25" s="66">
        <v>1</v>
      </c>
      <c r="F25" s="543"/>
      <c r="G25" s="544"/>
    </row>
    <row r="26" spans="1:11" ht="18" customHeight="1">
      <c r="A26" s="508" t="s">
        <v>1491</v>
      </c>
      <c r="B26" s="208"/>
      <c r="C26" s="510" t="s">
        <v>52</v>
      </c>
      <c r="D26" s="59" t="s">
        <v>15</v>
      </c>
      <c r="E26" s="66">
        <v>1</v>
      </c>
      <c r="F26" s="543"/>
      <c r="G26" s="544"/>
    </row>
    <row r="27" spans="1:11" ht="18" customHeight="1">
      <c r="A27" s="508" t="s">
        <v>1492</v>
      </c>
      <c r="B27" s="207"/>
      <c r="C27" s="510" t="s">
        <v>54</v>
      </c>
      <c r="D27" s="59" t="s">
        <v>15</v>
      </c>
      <c r="E27" s="66">
        <v>1</v>
      </c>
      <c r="F27" s="543"/>
      <c r="G27" s="544"/>
    </row>
    <row r="28" spans="1:11" ht="18" customHeight="1">
      <c r="A28" s="508" t="s">
        <v>56</v>
      </c>
      <c r="B28" s="207"/>
      <c r="C28" s="517" t="s">
        <v>99</v>
      </c>
      <c r="D28" s="59" t="s">
        <v>15</v>
      </c>
      <c r="E28" s="66">
        <v>1</v>
      </c>
      <c r="F28" s="543"/>
      <c r="G28" s="544"/>
    </row>
    <row r="29" spans="1:11" ht="18" customHeight="1">
      <c r="A29" s="508" t="s">
        <v>1493</v>
      </c>
      <c r="B29" s="207"/>
      <c r="C29" s="515" t="s">
        <v>1556</v>
      </c>
      <c r="D29" s="59" t="s">
        <v>15</v>
      </c>
      <c r="E29" s="66">
        <v>1</v>
      </c>
      <c r="F29" s="543"/>
      <c r="G29" s="544"/>
    </row>
    <row r="30" spans="1:11" ht="18" customHeight="1">
      <c r="A30" s="508" t="s">
        <v>1915</v>
      </c>
      <c r="B30" s="207"/>
      <c r="C30" s="515" t="s">
        <v>1955</v>
      </c>
      <c r="D30" s="59" t="s">
        <v>15</v>
      </c>
      <c r="E30" s="66">
        <v>1</v>
      </c>
      <c r="F30" s="543"/>
      <c r="G30" s="544"/>
    </row>
    <row r="31" spans="1:11" ht="18" customHeight="1">
      <c r="A31" s="508" t="s">
        <v>1953</v>
      </c>
      <c r="B31" s="208"/>
      <c r="C31" s="517" t="s">
        <v>1956</v>
      </c>
      <c r="D31" s="59" t="s">
        <v>15</v>
      </c>
      <c r="E31" s="66">
        <v>1</v>
      </c>
      <c r="F31" s="543"/>
      <c r="G31" s="544"/>
    </row>
    <row r="32" spans="1:11" ht="18" customHeight="1">
      <c r="A32" s="508" t="s">
        <v>1954</v>
      </c>
      <c r="B32" s="207" t="s">
        <v>57</v>
      </c>
      <c r="C32" s="121" t="s">
        <v>58</v>
      </c>
      <c r="D32" s="59" t="s">
        <v>15</v>
      </c>
      <c r="E32" s="66">
        <v>1</v>
      </c>
      <c r="F32" s="543"/>
      <c r="G32" s="544"/>
    </row>
    <row r="33" spans="1:7" ht="12.75" customHeight="1">
      <c r="A33" s="511"/>
      <c r="B33" s="57"/>
      <c r="D33" s="84"/>
      <c r="E33" s="124"/>
      <c r="F33" s="543"/>
      <c r="G33" s="544"/>
    </row>
    <row r="34" spans="1:7" ht="18" customHeight="1">
      <c r="A34" s="512">
        <v>1.2</v>
      </c>
      <c r="B34" s="71">
        <v>8.4</v>
      </c>
      <c r="C34" s="507" t="s">
        <v>59</v>
      </c>
      <c r="D34" s="59"/>
      <c r="E34" s="66"/>
      <c r="F34" s="543"/>
      <c r="G34" s="544"/>
    </row>
    <row r="35" spans="1:7" ht="18" customHeight="1">
      <c r="A35" s="508" t="s">
        <v>60</v>
      </c>
      <c r="B35" s="208" t="s">
        <v>61</v>
      </c>
      <c r="C35" s="121" t="s">
        <v>14</v>
      </c>
      <c r="D35" s="59" t="s">
        <v>15</v>
      </c>
      <c r="E35" s="66">
        <v>1</v>
      </c>
      <c r="F35" s="543"/>
      <c r="G35" s="544"/>
    </row>
    <row r="36" spans="1:7" ht="36.75" customHeight="1">
      <c r="A36" s="513" t="s">
        <v>62</v>
      </c>
      <c r="B36" s="208" t="s">
        <v>63</v>
      </c>
      <c r="C36" s="121" t="s">
        <v>64</v>
      </c>
      <c r="D36" s="59"/>
      <c r="E36" s="66"/>
      <c r="F36" s="543"/>
      <c r="G36" s="544"/>
    </row>
    <row r="37" spans="1:7" ht="18" customHeight="1">
      <c r="A37" s="513" t="s">
        <v>65</v>
      </c>
      <c r="B37" s="77" t="s">
        <v>66</v>
      </c>
      <c r="C37" s="514" t="s">
        <v>67</v>
      </c>
      <c r="D37" s="59"/>
      <c r="E37" s="66"/>
      <c r="F37" s="543"/>
      <c r="G37" s="544"/>
    </row>
    <row r="38" spans="1:7" ht="18" customHeight="1">
      <c r="A38" s="513" t="s">
        <v>68</v>
      </c>
      <c r="B38" s="509"/>
      <c r="C38" s="163" t="s">
        <v>23</v>
      </c>
      <c r="D38" s="59" t="s">
        <v>15</v>
      </c>
      <c r="E38" s="66">
        <v>1</v>
      </c>
      <c r="F38" s="543"/>
      <c r="G38" s="544"/>
    </row>
    <row r="39" spans="1:7" ht="18" customHeight="1">
      <c r="A39" s="513" t="s">
        <v>69</v>
      </c>
      <c r="B39" s="509"/>
      <c r="C39" s="510" t="s">
        <v>25</v>
      </c>
      <c r="D39" s="59" t="s">
        <v>156</v>
      </c>
      <c r="E39" s="66">
        <v>1</v>
      </c>
      <c r="F39" s="543"/>
      <c r="G39" s="544"/>
    </row>
    <row r="40" spans="1:7" ht="18" customHeight="1">
      <c r="A40" s="513" t="s">
        <v>71</v>
      </c>
      <c r="B40" s="410"/>
      <c r="C40" s="515" t="s">
        <v>1555</v>
      </c>
      <c r="D40" s="170" t="s">
        <v>15</v>
      </c>
      <c r="E40" s="171">
        <v>1</v>
      </c>
      <c r="F40" s="543"/>
      <c r="G40" s="544"/>
    </row>
    <row r="41" spans="1:7" ht="18" customHeight="1">
      <c r="A41" s="508" t="s">
        <v>72</v>
      </c>
      <c r="B41" s="207" t="s">
        <v>70</v>
      </c>
      <c r="C41" s="516" t="s">
        <v>28</v>
      </c>
      <c r="D41" s="59"/>
      <c r="E41" s="66"/>
      <c r="F41" s="543"/>
      <c r="G41" s="544"/>
    </row>
    <row r="42" spans="1:7" ht="18" customHeight="1">
      <c r="A42" s="508" t="s">
        <v>73</v>
      </c>
      <c r="B42" s="218"/>
      <c r="C42" s="517" t="s">
        <v>29</v>
      </c>
      <c r="D42" s="59" t="s">
        <v>15</v>
      </c>
      <c r="E42" s="66">
        <v>1</v>
      </c>
      <c r="F42" s="543"/>
      <c r="G42" s="544"/>
    </row>
    <row r="43" spans="1:7" ht="18" customHeight="1">
      <c r="A43" s="508" t="s">
        <v>74</v>
      </c>
      <c r="B43" s="207"/>
      <c r="C43" s="510" t="s">
        <v>30</v>
      </c>
      <c r="D43" s="59" t="s">
        <v>15</v>
      </c>
      <c r="E43" s="66">
        <v>1</v>
      </c>
      <c r="F43" s="543"/>
      <c r="G43" s="544"/>
    </row>
    <row r="44" spans="1:7" ht="18" customHeight="1">
      <c r="A44" s="508" t="s">
        <v>75</v>
      </c>
      <c r="B44" s="207"/>
      <c r="C44" s="510" t="s">
        <v>32</v>
      </c>
      <c r="D44" s="59" t="s">
        <v>15</v>
      </c>
      <c r="E44" s="66">
        <v>1</v>
      </c>
      <c r="F44" s="543"/>
      <c r="G44" s="544"/>
    </row>
    <row r="45" spans="1:7" ht="18" customHeight="1">
      <c r="A45" s="508" t="s">
        <v>76</v>
      </c>
      <c r="B45" s="207"/>
      <c r="C45" s="510" t="s">
        <v>34</v>
      </c>
      <c r="D45" s="59" t="s">
        <v>15</v>
      </c>
      <c r="E45" s="66">
        <v>1</v>
      </c>
      <c r="F45" s="543"/>
      <c r="G45" s="544"/>
    </row>
    <row r="46" spans="1:7" ht="18" customHeight="1">
      <c r="A46" s="508" t="s">
        <v>77</v>
      </c>
      <c r="B46" s="207"/>
      <c r="C46" s="510" t="s">
        <v>36</v>
      </c>
      <c r="D46" s="59" t="s">
        <v>15</v>
      </c>
      <c r="E46" s="66">
        <v>1</v>
      </c>
      <c r="F46" s="543"/>
      <c r="G46" s="544"/>
    </row>
    <row r="47" spans="1:7" ht="18" customHeight="1">
      <c r="A47" s="616" t="s">
        <v>88</v>
      </c>
      <c r="B47" s="617"/>
      <c r="C47" s="618"/>
      <c r="D47" s="518"/>
      <c r="E47" s="518"/>
      <c r="F47" s="545"/>
      <c r="G47" s="546"/>
    </row>
    <row r="48" spans="1:7" ht="18" customHeight="1">
      <c r="A48" s="616" t="s">
        <v>89</v>
      </c>
      <c r="B48" s="617"/>
      <c r="C48" s="618"/>
      <c r="D48" s="518"/>
      <c r="E48" s="519"/>
      <c r="F48" s="545"/>
      <c r="G48" s="546"/>
    </row>
    <row r="49" spans="1:7" ht="18" customHeight="1">
      <c r="A49" s="508" t="s">
        <v>78</v>
      </c>
      <c r="B49" s="207"/>
      <c r="C49" s="510" t="s">
        <v>38</v>
      </c>
      <c r="D49" s="59" t="s">
        <v>15</v>
      </c>
      <c r="E49" s="66">
        <v>1</v>
      </c>
      <c r="F49" s="543"/>
      <c r="G49" s="544"/>
    </row>
    <row r="50" spans="1:7" ht="18" customHeight="1">
      <c r="A50" s="508" t="s">
        <v>79</v>
      </c>
      <c r="B50" s="207"/>
      <c r="C50" s="510" t="s">
        <v>40</v>
      </c>
      <c r="D50" s="59" t="s">
        <v>15</v>
      </c>
      <c r="E50" s="66">
        <v>1</v>
      </c>
      <c r="F50" s="543"/>
      <c r="G50" s="544"/>
    </row>
    <row r="51" spans="1:7" ht="18" customHeight="1">
      <c r="A51" s="508" t="s">
        <v>80</v>
      </c>
      <c r="B51" s="207"/>
      <c r="C51" s="510" t="s">
        <v>42</v>
      </c>
      <c r="D51" s="59" t="s">
        <v>15</v>
      </c>
      <c r="E51" s="66">
        <v>1</v>
      </c>
      <c r="F51" s="543"/>
      <c r="G51" s="544"/>
    </row>
    <row r="52" spans="1:7" ht="18" customHeight="1">
      <c r="A52" s="508" t="s">
        <v>82</v>
      </c>
      <c r="B52" s="207"/>
      <c r="C52" s="510" t="s">
        <v>1952</v>
      </c>
      <c r="D52" s="59" t="s">
        <v>15</v>
      </c>
      <c r="E52" s="66">
        <v>1</v>
      </c>
      <c r="F52" s="543"/>
      <c r="G52" s="544"/>
    </row>
    <row r="53" spans="1:7" ht="18" customHeight="1">
      <c r="A53" s="508" t="s">
        <v>85</v>
      </c>
      <c r="B53" s="207" t="s">
        <v>81</v>
      </c>
      <c r="C53" s="510" t="s">
        <v>45</v>
      </c>
      <c r="D53" s="59" t="s">
        <v>15</v>
      </c>
      <c r="E53" s="66">
        <v>1</v>
      </c>
      <c r="F53" s="543"/>
      <c r="G53" s="544"/>
    </row>
    <row r="54" spans="1:7" ht="18" customHeight="1">
      <c r="A54" s="508" t="s">
        <v>90</v>
      </c>
      <c r="B54" s="208" t="s">
        <v>83</v>
      </c>
      <c r="C54" s="121" t="s">
        <v>84</v>
      </c>
      <c r="D54" s="59" t="s">
        <v>15</v>
      </c>
      <c r="E54" s="66">
        <v>1</v>
      </c>
      <c r="F54" s="543"/>
      <c r="G54" s="544"/>
    </row>
    <row r="55" spans="1:7" ht="30.75" customHeight="1">
      <c r="A55" s="508" t="s">
        <v>93</v>
      </c>
      <c r="B55" s="208" t="s">
        <v>86</v>
      </c>
      <c r="C55" s="121" t="s">
        <v>87</v>
      </c>
      <c r="D55" s="64" t="s">
        <v>15</v>
      </c>
      <c r="E55" s="66">
        <v>1</v>
      </c>
      <c r="F55" s="494"/>
      <c r="G55" s="306"/>
    </row>
    <row r="56" spans="1:7" ht="18" customHeight="1">
      <c r="A56" s="80" t="s">
        <v>95</v>
      </c>
      <c r="B56" s="208" t="s">
        <v>91</v>
      </c>
      <c r="C56" s="156" t="s">
        <v>92</v>
      </c>
      <c r="D56" s="59"/>
      <c r="E56" s="66"/>
      <c r="F56" s="494"/>
      <c r="G56" s="306"/>
    </row>
    <row r="57" spans="1:7" ht="18" customHeight="1">
      <c r="A57" s="80" t="s">
        <v>96</v>
      </c>
      <c r="B57" s="57"/>
      <c r="C57" s="517" t="s">
        <v>94</v>
      </c>
      <c r="D57" s="59" t="s">
        <v>15</v>
      </c>
      <c r="E57" s="66">
        <v>1</v>
      </c>
      <c r="F57" s="494"/>
      <c r="G57" s="306"/>
    </row>
    <row r="58" spans="1:7" ht="18" customHeight="1">
      <c r="A58" s="80" t="s">
        <v>98</v>
      </c>
      <c r="B58" s="207"/>
      <c r="C58" s="517" t="s">
        <v>52</v>
      </c>
      <c r="D58" s="59" t="s">
        <v>15</v>
      </c>
      <c r="E58" s="66">
        <v>1</v>
      </c>
      <c r="F58" s="494"/>
      <c r="G58" s="306"/>
    </row>
    <row r="59" spans="1:7" ht="18" customHeight="1">
      <c r="A59" s="80" t="s">
        <v>100</v>
      </c>
      <c r="B59" s="207"/>
      <c r="C59" s="517" t="s">
        <v>97</v>
      </c>
      <c r="D59" s="59" t="s">
        <v>15</v>
      </c>
      <c r="E59" s="66">
        <v>1</v>
      </c>
      <c r="F59" s="494"/>
      <c r="G59" s="306"/>
    </row>
    <row r="60" spans="1:7" ht="18" customHeight="1">
      <c r="A60" s="80" t="s">
        <v>101</v>
      </c>
      <c r="B60" s="520"/>
      <c r="C60" s="517" t="s">
        <v>99</v>
      </c>
      <c r="D60" s="84" t="s">
        <v>15</v>
      </c>
      <c r="E60" s="66">
        <v>1</v>
      </c>
      <c r="F60" s="494"/>
      <c r="G60" s="306"/>
    </row>
    <row r="61" spans="1:7" ht="18" customHeight="1">
      <c r="A61" s="80" t="s">
        <v>1494</v>
      </c>
      <c r="B61" s="207"/>
      <c r="C61" s="515" t="s">
        <v>1556</v>
      </c>
      <c r="D61" s="170" t="s">
        <v>15</v>
      </c>
      <c r="E61" s="171">
        <v>1</v>
      </c>
      <c r="F61" s="494"/>
      <c r="G61" s="306"/>
    </row>
    <row r="62" spans="1:7" ht="18" customHeight="1">
      <c r="A62" s="80" t="s">
        <v>1495</v>
      </c>
      <c r="B62" s="207"/>
      <c r="C62" s="515" t="s">
        <v>1955</v>
      </c>
      <c r="D62" s="170" t="s">
        <v>15</v>
      </c>
      <c r="E62" s="171">
        <v>1</v>
      </c>
      <c r="F62" s="494"/>
      <c r="G62" s="306"/>
    </row>
    <row r="63" spans="1:7" ht="18" customHeight="1">
      <c r="A63" s="80" t="s">
        <v>1957</v>
      </c>
      <c r="B63" s="207"/>
      <c r="C63" s="517" t="s">
        <v>1956</v>
      </c>
      <c r="D63" s="170" t="s">
        <v>15</v>
      </c>
      <c r="E63" s="171">
        <v>1</v>
      </c>
      <c r="F63" s="494"/>
      <c r="G63" s="306"/>
    </row>
    <row r="64" spans="1:7" ht="32.25" customHeight="1">
      <c r="A64" s="299">
        <v>1.3</v>
      </c>
      <c r="B64" s="506">
        <v>8.5</v>
      </c>
      <c r="C64" s="58" t="s">
        <v>102</v>
      </c>
      <c r="D64" s="168"/>
      <c r="E64" s="66"/>
      <c r="F64" s="494"/>
      <c r="G64" s="306"/>
    </row>
    <row r="65" spans="1:10" ht="60" customHeight="1">
      <c r="A65" s="105" t="s">
        <v>103</v>
      </c>
      <c r="B65" s="108"/>
      <c r="C65" s="580" t="s">
        <v>1557</v>
      </c>
      <c r="D65" s="105" t="s">
        <v>104</v>
      </c>
      <c r="E65" s="66">
        <v>1</v>
      </c>
      <c r="F65" s="494"/>
      <c r="G65" s="291">
        <v>95000</v>
      </c>
    </row>
    <row r="66" spans="1:10" ht="23.25" customHeight="1">
      <c r="A66" s="105" t="s">
        <v>105</v>
      </c>
      <c r="B66" s="108"/>
      <c r="C66" s="580" t="s">
        <v>106</v>
      </c>
      <c r="D66" s="154" t="s">
        <v>107</v>
      </c>
      <c r="E66" s="10"/>
      <c r="F66" s="538"/>
      <c r="G66" s="267"/>
      <c r="J66" s="521"/>
    </row>
    <row r="67" spans="1:10" ht="49.5" customHeight="1">
      <c r="A67" s="105" t="s">
        <v>108</v>
      </c>
      <c r="B67" s="159"/>
      <c r="C67" s="580" t="s">
        <v>1558</v>
      </c>
      <c r="D67" s="64" t="s">
        <v>104</v>
      </c>
      <c r="E67" s="66">
        <v>1</v>
      </c>
      <c r="F67" s="494"/>
      <c r="G67" s="291">
        <v>120000</v>
      </c>
      <c r="J67" s="521"/>
    </row>
    <row r="68" spans="1:10" ht="23.25" customHeight="1">
      <c r="A68" s="105" t="s">
        <v>109</v>
      </c>
      <c r="B68" s="108"/>
      <c r="C68" s="580" t="s">
        <v>110</v>
      </c>
      <c r="D68" s="154" t="s">
        <v>107</v>
      </c>
      <c r="E68" s="10"/>
      <c r="F68" s="538"/>
      <c r="G68" s="267"/>
    </row>
    <row r="69" spans="1:10" ht="37.5" customHeight="1">
      <c r="A69" s="105" t="s">
        <v>111</v>
      </c>
      <c r="B69" s="108" t="s">
        <v>1914</v>
      </c>
      <c r="C69" s="581" t="s">
        <v>1913</v>
      </c>
      <c r="D69" s="64" t="s">
        <v>104</v>
      </c>
      <c r="E69" s="66">
        <v>1</v>
      </c>
      <c r="F69" s="494"/>
      <c r="G69" s="291">
        <v>400000</v>
      </c>
    </row>
    <row r="70" spans="1:10" s="75" customFormat="1" ht="23.25" customHeight="1">
      <c r="A70" s="105" t="s">
        <v>112</v>
      </c>
      <c r="B70" s="108"/>
      <c r="C70" s="580" t="s">
        <v>113</v>
      </c>
      <c r="D70" s="154" t="s">
        <v>107</v>
      </c>
      <c r="E70" s="10"/>
      <c r="F70" s="538"/>
      <c r="G70" s="267"/>
    </row>
    <row r="71" spans="1:10" ht="18" customHeight="1">
      <c r="A71" s="105" t="s">
        <v>114</v>
      </c>
      <c r="B71" s="108"/>
      <c r="C71" s="581" t="s">
        <v>1910</v>
      </c>
      <c r="D71" s="64" t="s">
        <v>104</v>
      </c>
      <c r="E71" s="66">
        <v>1</v>
      </c>
      <c r="F71" s="494"/>
      <c r="G71" s="291">
        <v>338000</v>
      </c>
    </row>
    <row r="72" spans="1:10" s="75" customFormat="1" ht="23.25" customHeight="1">
      <c r="A72" s="105" t="s">
        <v>116</v>
      </c>
      <c r="B72" s="108"/>
      <c r="C72" s="580" t="s">
        <v>1668</v>
      </c>
      <c r="D72" s="154" t="s">
        <v>107</v>
      </c>
      <c r="E72" s="10"/>
      <c r="F72" s="538"/>
      <c r="G72" s="267"/>
    </row>
    <row r="73" spans="1:10" s="75" customFormat="1" ht="49.5" customHeight="1">
      <c r="A73" s="105" t="s">
        <v>117</v>
      </c>
      <c r="B73" s="108" t="s">
        <v>115</v>
      </c>
      <c r="C73" s="581" t="s">
        <v>1559</v>
      </c>
      <c r="D73" s="64" t="s">
        <v>104</v>
      </c>
      <c r="E73" s="66">
        <v>1</v>
      </c>
      <c r="F73" s="494"/>
      <c r="G73" s="522">
        <v>1100000</v>
      </c>
    </row>
    <row r="74" spans="1:10" s="75" customFormat="1" ht="19.5" customHeight="1">
      <c r="A74" s="105" t="s">
        <v>119</v>
      </c>
      <c r="B74" s="108">
        <v>8.5</v>
      </c>
      <c r="C74" s="580" t="s">
        <v>120</v>
      </c>
      <c r="D74" s="154" t="s">
        <v>107</v>
      </c>
      <c r="E74" s="10"/>
      <c r="F74" s="538"/>
      <c r="G74" s="267"/>
    </row>
    <row r="75" spans="1:10" s="75" customFormat="1" ht="28.5" customHeight="1">
      <c r="A75" s="105" t="s">
        <v>1666</v>
      </c>
      <c r="B75" s="108" t="s">
        <v>118</v>
      </c>
      <c r="C75" s="581" t="s">
        <v>1902</v>
      </c>
      <c r="D75" s="64" t="s">
        <v>104</v>
      </c>
      <c r="E75" s="66">
        <v>1</v>
      </c>
      <c r="F75" s="494"/>
      <c r="G75" s="291">
        <v>560000</v>
      </c>
    </row>
    <row r="76" spans="1:10" s="75" customFormat="1" ht="19.5" customHeight="1">
      <c r="A76" s="105" t="s">
        <v>1667</v>
      </c>
      <c r="B76" s="108">
        <v>8.5</v>
      </c>
      <c r="C76" s="580" t="s">
        <v>1673</v>
      </c>
      <c r="D76" s="154" t="s">
        <v>107</v>
      </c>
      <c r="E76" s="10"/>
      <c r="F76" s="538"/>
      <c r="G76" s="267"/>
    </row>
    <row r="77" spans="1:10" s="75" customFormat="1" ht="19.5" customHeight="1">
      <c r="A77" s="105" t="s">
        <v>1669</v>
      </c>
      <c r="B77" s="108"/>
      <c r="C77" s="582" t="s">
        <v>1671</v>
      </c>
      <c r="D77" s="64" t="s">
        <v>104</v>
      </c>
      <c r="E77" s="66">
        <v>1</v>
      </c>
      <c r="F77" s="494"/>
      <c r="G77" s="291">
        <v>2000000</v>
      </c>
    </row>
    <row r="78" spans="1:10" s="75" customFormat="1" ht="19.5" customHeight="1">
      <c r="A78" s="105" t="s">
        <v>1670</v>
      </c>
      <c r="B78" s="108"/>
      <c r="C78" s="580" t="s">
        <v>1672</v>
      </c>
      <c r="D78" s="154" t="s">
        <v>107</v>
      </c>
      <c r="E78" s="10"/>
      <c r="F78" s="538"/>
      <c r="G78" s="267"/>
    </row>
    <row r="79" spans="1:10" s="75" customFormat="1" ht="24.75" customHeight="1">
      <c r="A79" s="105" t="s">
        <v>1897</v>
      </c>
      <c r="B79" s="574"/>
      <c r="C79" s="580" t="s">
        <v>1911</v>
      </c>
      <c r="D79" s="64" t="s">
        <v>104</v>
      </c>
      <c r="E79" s="10">
        <v>1</v>
      </c>
      <c r="F79" s="494"/>
      <c r="G79" s="291">
        <v>3900000</v>
      </c>
    </row>
    <row r="80" spans="1:10" s="75" customFormat="1" ht="19.5" customHeight="1">
      <c r="A80" s="105" t="s">
        <v>1898</v>
      </c>
      <c r="B80" s="574"/>
      <c r="C80" s="580" t="s">
        <v>1905</v>
      </c>
      <c r="D80" s="154" t="s">
        <v>107</v>
      </c>
      <c r="E80" s="10"/>
      <c r="F80" s="494"/>
      <c r="G80" s="291"/>
    </row>
    <row r="81" spans="1:7" s="75" customFormat="1" ht="19.5" customHeight="1">
      <c r="A81" s="105" t="s">
        <v>1906</v>
      </c>
      <c r="B81" s="574"/>
      <c r="C81" s="580" t="s">
        <v>1907</v>
      </c>
      <c r="D81" s="64" t="s">
        <v>104</v>
      </c>
      <c r="E81" s="66">
        <v>1</v>
      </c>
      <c r="F81" s="494"/>
      <c r="G81" s="291">
        <v>5570000</v>
      </c>
    </row>
    <row r="82" spans="1:7" s="75" customFormat="1" ht="19.5" customHeight="1">
      <c r="A82" s="105" t="s">
        <v>1908</v>
      </c>
      <c r="B82" s="574"/>
      <c r="C82" s="580" t="s">
        <v>1909</v>
      </c>
      <c r="D82" s="154" t="s">
        <v>107</v>
      </c>
      <c r="E82" s="10"/>
      <c r="F82" s="494"/>
      <c r="G82" s="291"/>
    </row>
    <row r="83" spans="1:7" s="75" customFormat="1">
      <c r="A83" s="105" t="s">
        <v>1903</v>
      </c>
      <c r="B83" s="574"/>
      <c r="C83" s="580" t="s">
        <v>1899</v>
      </c>
      <c r="D83" s="64" t="s">
        <v>104</v>
      </c>
      <c r="E83" s="66">
        <v>1</v>
      </c>
      <c r="F83" s="494"/>
      <c r="G83" s="291">
        <v>400000</v>
      </c>
    </row>
    <row r="84" spans="1:7" s="75" customFormat="1">
      <c r="A84" s="105" t="s">
        <v>1904</v>
      </c>
      <c r="B84" s="574"/>
      <c r="C84" s="583" t="s">
        <v>1965</v>
      </c>
      <c r="D84" s="154" t="s">
        <v>107</v>
      </c>
      <c r="E84" s="15"/>
      <c r="F84" s="538"/>
      <c r="G84" s="267"/>
    </row>
    <row r="85" spans="1:7" ht="18" customHeight="1">
      <c r="A85" s="616" t="s">
        <v>88</v>
      </c>
      <c r="B85" s="619"/>
      <c r="C85" s="620"/>
      <c r="D85" s="518"/>
      <c r="E85" s="518"/>
      <c r="F85" s="539"/>
      <c r="G85" s="540"/>
    </row>
    <row r="86" spans="1:7" ht="18" customHeight="1">
      <c r="A86" s="616" t="s">
        <v>89</v>
      </c>
      <c r="B86" s="619"/>
      <c r="C86" s="620"/>
      <c r="D86" s="518"/>
      <c r="E86" s="519"/>
      <c r="F86" s="539"/>
      <c r="G86" s="540"/>
    </row>
    <row r="87" spans="1:7" s="75" customFormat="1" ht="18" customHeight="1">
      <c r="A87" s="299">
        <v>1.4</v>
      </c>
      <c r="B87" s="523" t="s">
        <v>121</v>
      </c>
      <c r="C87" s="58" t="s">
        <v>122</v>
      </c>
      <c r="D87" s="59"/>
      <c r="E87" s="524"/>
      <c r="F87" s="494"/>
      <c r="G87" s="306"/>
    </row>
    <row r="88" spans="1:7" s="75" customFormat="1" ht="18" customHeight="1">
      <c r="A88" s="84" t="s">
        <v>123</v>
      </c>
      <c r="B88" s="207"/>
      <c r="C88" s="156" t="s">
        <v>124</v>
      </c>
      <c r="D88" s="59"/>
      <c r="E88" s="66"/>
      <c r="F88" s="494"/>
      <c r="G88" s="306"/>
    </row>
    <row r="89" spans="1:7" ht="18" customHeight="1">
      <c r="A89" s="84" t="s">
        <v>125</v>
      </c>
      <c r="B89" s="207"/>
      <c r="C89" s="517" t="s">
        <v>126</v>
      </c>
      <c r="D89" s="59" t="s">
        <v>127</v>
      </c>
      <c r="E89" s="66">
        <f>8*2*3*15</f>
        <v>720</v>
      </c>
      <c r="F89" s="494"/>
      <c r="G89" s="306"/>
    </row>
    <row r="90" spans="1:7" s="75" customFormat="1" ht="18" customHeight="1">
      <c r="A90" s="84" t="s">
        <v>128</v>
      </c>
      <c r="B90" s="207"/>
      <c r="C90" s="517" t="s">
        <v>129</v>
      </c>
      <c r="D90" s="59" t="s">
        <v>127</v>
      </c>
      <c r="E90" s="66">
        <f>8*3*4*15</f>
        <v>1440</v>
      </c>
      <c r="F90" s="494"/>
      <c r="G90" s="306"/>
    </row>
    <row r="91" spans="1:7" s="50" customFormat="1" ht="18" customHeight="1">
      <c r="A91" s="84" t="s">
        <v>130</v>
      </c>
      <c r="B91" s="207"/>
      <c r="C91" s="517" t="s">
        <v>131</v>
      </c>
      <c r="D91" s="59" t="s">
        <v>127</v>
      </c>
      <c r="E91" s="66">
        <f>8*3*4*15</f>
        <v>1440</v>
      </c>
      <c r="F91" s="494"/>
      <c r="G91" s="306"/>
    </row>
    <row r="92" spans="1:7" ht="18" customHeight="1">
      <c r="A92" s="84" t="s">
        <v>132</v>
      </c>
      <c r="B92" s="207"/>
      <c r="C92" s="517" t="s">
        <v>133</v>
      </c>
      <c r="D92" s="59" t="s">
        <v>127</v>
      </c>
      <c r="E92" s="66">
        <f>8*3*4*15</f>
        <v>1440</v>
      </c>
      <c r="F92" s="494"/>
      <c r="G92" s="306"/>
    </row>
    <row r="93" spans="1:7" ht="18" customHeight="1">
      <c r="A93" s="84" t="s">
        <v>1496</v>
      </c>
      <c r="B93" s="207"/>
      <c r="C93" s="79" t="s">
        <v>135</v>
      </c>
      <c r="D93" s="59"/>
      <c r="E93" s="66"/>
      <c r="F93" s="494"/>
      <c r="G93" s="306"/>
    </row>
    <row r="94" spans="1:7" ht="18" customHeight="1">
      <c r="A94" s="84" t="s">
        <v>134</v>
      </c>
      <c r="B94" s="207"/>
      <c r="C94" s="517" t="s">
        <v>1674</v>
      </c>
      <c r="D94" s="59" t="s">
        <v>127</v>
      </c>
      <c r="E94" s="66">
        <v>200</v>
      </c>
      <c r="F94" s="494"/>
      <c r="G94" s="306"/>
    </row>
    <row r="95" spans="1:7" ht="18" customHeight="1">
      <c r="A95" s="84" t="s">
        <v>1497</v>
      </c>
      <c r="B95" s="207"/>
      <c r="C95" s="517" t="s">
        <v>138</v>
      </c>
      <c r="D95" s="59" t="s">
        <v>127</v>
      </c>
      <c r="E95" s="66">
        <v>150</v>
      </c>
      <c r="F95" s="494"/>
      <c r="G95" s="306"/>
    </row>
    <row r="96" spans="1:7" ht="18" customHeight="1">
      <c r="A96" s="84" t="s">
        <v>136</v>
      </c>
      <c r="B96" s="207"/>
      <c r="C96" s="517" t="s">
        <v>139</v>
      </c>
      <c r="D96" s="59" t="s">
        <v>127</v>
      </c>
      <c r="E96" s="66">
        <v>150</v>
      </c>
      <c r="F96" s="494"/>
      <c r="G96" s="306"/>
    </row>
    <row r="97" spans="1:7" ht="23.25" customHeight="1">
      <c r="A97" s="84" t="s">
        <v>1498</v>
      </c>
      <c r="B97" s="207"/>
      <c r="C97" s="517" t="s">
        <v>140</v>
      </c>
      <c r="D97" s="59" t="s">
        <v>127</v>
      </c>
      <c r="E97" s="66">
        <v>250</v>
      </c>
      <c r="F97" s="494"/>
      <c r="G97" s="306"/>
    </row>
    <row r="98" spans="1:7" ht="18" customHeight="1">
      <c r="A98" s="84" t="s">
        <v>1499</v>
      </c>
      <c r="B98" s="207"/>
      <c r="C98" s="517" t="s">
        <v>141</v>
      </c>
      <c r="D98" s="59" t="s">
        <v>127</v>
      </c>
      <c r="E98" s="66">
        <v>550</v>
      </c>
      <c r="F98" s="494"/>
      <c r="G98" s="306"/>
    </row>
    <row r="99" spans="1:7" ht="18" customHeight="1">
      <c r="A99" s="84" t="s">
        <v>1500</v>
      </c>
      <c r="B99" s="207"/>
      <c r="C99" s="517" t="s">
        <v>142</v>
      </c>
      <c r="D99" s="59" t="s">
        <v>127</v>
      </c>
      <c r="E99" s="66"/>
      <c r="F99" s="494"/>
      <c r="G99" s="306"/>
    </row>
    <row r="100" spans="1:7" ht="18" customHeight="1">
      <c r="A100" s="84" t="s">
        <v>1501</v>
      </c>
      <c r="B100" s="207"/>
      <c r="C100" s="79" t="s">
        <v>143</v>
      </c>
      <c r="D100" s="59"/>
      <c r="E100" s="66"/>
      <c r="F100" s="494"/>
      <c r="G100" s="306"/>
    </row>
    <row r="101" spans="1:7" ht="18" customHeight="1">
      <c r="A101" s="84" t="s">
        <v>137</v>
      </c>
      <c r="B101" s="207"/>
      <c r="C101" s="517" t="s">
        <v>144</v>
      </c>
      <c r="D101" s="59" t="s">
        <v>104</v>
      </c>
      <c r="E101" s="66">
        <v>1</v>
      </c>
      <c r="F101" s="537"/>
      <c r="G101" s="522">
        <v>105000</v>
      </c>
    </row>
    <row r="102" spans="1:7" ht="18" customHeight="1">
      <c r="A102" s="84" t="s">
        <v>1502</v>
      </c>
      <c r="B102" s="207"/>
      <c r="C102" s="517" t="s">
        <v>1966</v>
      </c>
      <c r="D102" s="64" t="s">
        <v>107</v>
      </c>
      <c r="E102" s="10"/>
      <c r="F102" s="534"/>
      <c r="G102" s="535"/>
    </row>
    <row r="103" spans="1:7" ht="18" customHeight="1">
      <c r="A103" s="299">
        <v>1.5</v>
      </c>
      <c r="B103" s="441"/>
      <c r="C103" s="525" t="s">
        <v>1476</v>
      </c>
      <c r="D103" s="170"/>
      <c r="E103" s="171"/>
      <c r="F103" s="400"/>
      <c r="G103" s="536"/>
    </row>
    <row r="104" spans="1:7" ht="18" customHeight="1">
      <c r="A104" s="84" t="s">
        <v>1503</v>
      </c>
      <c r="B104" s="509" t="s">
        <v>1477</v>
      </c>
      <c r="C104" s="109" t="s">
        <v>1478</v>
      </c>
      <c r="D104" s="170" t="s">
        <v>15</v>
      </c>
      <c r="E104" s="171">
        <v>1</v>
      </c>
      <c r="F104" s="400"/>
      <c r="G104" s="536"/>
    </row>
    <row r="105" spans="1:7" ht="18" customHeight="1">
      <c r="A105" s="84" t="s">
        <v>1560</v>
      </c>
      <c r="B105" s="509"/>
      <c r="C105" s="121" t="s">
        <v>150</v>
      </c>
      <c r="D105" s="64"/>
      <c r="E105" s="66"/>
      <c r="F105" s="400"/>
      <c r="G105" s="536"/>
    </row>
    <row r="106" spans="1:7" ht="64.5" customHeight="1">
      <c r="A106" s="84"/>
      <c r="B106" s="509"/>
      <c r="C106" s="527" t="s">
        <v>151</v>
      </c>
      <c r="D106" s="64" t="s">
        <v>152</v>
      </c>
      <c r="E106" s="66">
        <v>1</v>
      </c>
      <c r="F106" s="400"/>
      <c r="G106" s="536"/>
    </row>
    <row r="107" spans="1:7" ht="27" customHeight="1">
      <c r="A107" s="528">
        <v>1.6</v>
      </c>
      <c r="B107" s="529" t="s">
        <v>1479</v>
      </c>
      <c r="C107" s="530" t="s">
        <v>1480</v>
      </c>
      <c r="D107" s="170"/>
      <c r="E107" s="171"/>
      <c r="F107" s="400"/>
      <c r="G107" s="536"/>
    </row>
    <row r="108" spans="1:7" ht="21" customHeight="1">
      <c r="A108" s="64" t="s">
        <v>146</v>
      </c>
      <c r="B108" s="584" t="s">
        <v>1481</v>
      </c>
      <c r="C108" s="109" t="s">
        <v>1482</v>
      </c>
      <c r="D108" s="170" t="s">
        <v>104</v>
      </c>
      <c r="E108" s="171">
        <v>1</v>
      </c>
      <c r="F108" s="400"/>
      <c r="G108" s="526">
        <v>45000</v>
      </c>
    </row>
    <row r="109" spans="1:7" ht="18" customHeight="1">
      <c r="A109" s="64" t="s">
        <v>149</v>
      </c>
      <c r="B109" s="584" t="s">
        <v>1483</v>
      </c>
      <c r="C109" s="109" t="s">
        <v>1484</v>
      </c>
      <c r="D109" s="170" t="s">
        <v>104</v>
      </c>
      <c r="E109" s="171">
        <v>1</v>
      </c>
      <c r="F109" s="400"/>
      <c r="G109" s="526">
        <v>11000</v>
      </c>
    </row>
    <row r="110" spans="1:7" ht="18" customHeight="1">
      <c r="A110" s="64" t="s">
        <v>1504</v>
      </c>
      <c r="B110" s="584" t="s">
        <v>1485</v>
      </c>
      <c r="C110" s="109" t="s">
        <v>1486</v>
      </c>
      <c r="D110" s="170" t="s">
        <v>104</v>
      </c>
      <c r="E110" s="171">
        <v>1</v>
      </c>
      <c r="F110" s="400"/>
      <c r="G110" s="526">
        <v>110000</v>
      </c>
    </row>
    <row r="111" spans="1:7" ht="18" customHeight="1">
      <c r="A111" s="64" t="s">
        <v>1505</v>
      </c>
      <c r="B111" s="584" t="s">
        <v>1487</v>
      </c>
      <c r="C111" s="109" t="s">
        <v>1488</v>
      </c>
      <c r="D111" s="170" t="s">
        <v>104</v>
      </c>
      <c r="E111" s="171">
        <v>1</v>
      </c>
      <c r="F111" s="400"/>
      <c r="G111" s="526">
        <v>13500</v>
      </c>
    </row>
    <row r="112" spans="1:7" ht="18" customHeight="1">
      <c r="A112" s="64" t="s">
        <v>1506</v>
      </c>
      <c r="B112" s="584" t="s">
        <v>1489</v>
      </c>
      <c r="C112" s="109" t="s">
        <v>1508</v>
      </c>
      <c r="D112" s="170" t="s">
        <v>104</v>
      </c>
      <c r="E112" s="171">
        <v>1</v>
      </c>
      <c r="F112" s="400"/>
      <c r="G112" s="526">
        <v>112000</v>
      </c>
    </row>
    <row r="113" spans="1:7" ht="28.2">
      <c r="A113" s="64" t="s">
        <v>1507</v>
      </c>
      <c r="B113" s="584" t="s">
        <v>1490</v>
      </c>
      <c r="C113" s="109" t="s">
        <v>1918</v>
      </c>
      <c r="D113" s="170" t="s">
        <v>104</v>
      </c>
      <c r="E113" s="171">
        <v>1</v>
      </c>
      <c r="F113" s="400"/>
      <c r="G113" s="526">
        <v>335000</v>
      </c>
    </row>
    <row r="114" spans="1:7" ht="30.75" customHeight="1">
      <c r="A114" s="64" t="s">
        <v>1917</v>
      </c>
      <c r="B114" s="584" t="s">
        <v>1916</v>
      </c>
      <c r="C114" s="79" t="s">
        <v>1919</v>
      </c>
      <c r="D114" s="64" t="s">
        <v>107</v>
      </c>
      <c r="E114" s="10"/>
      <c r="F114" s="534"/>
      <c r="G114" s="535"/>
    </row>
    <row r="115" spans="1:7" ht="28.5" customHeight="1">
      <c r="A115" s="531">
        <v>1.7</v>
      </c>
      <c r="B115" s="532"/>
      <c r="C115" s="73" t="s">
        <v>145</v>
      </c>
      <c r="D115" s="85"/>
      <c r="E115" s="124"/>
      <c r="F115" s="494"/>
      <c r="G115" s="306"/>
    </row>
    <row r="116" spans="1:7" ht="18" customHeight="1">
      <c r="A116" s="508" t="s">
        <v>154</v>
      </c>
      <c r="B116" s="523"/>
      <c r="C116" s="121" t="s">
        <v>147</v>
      </c>
      <c r="D116" s="59"/>
      <c r="E116" s="66"/>
      <c r="F116" s="494"/>
      <c r="G116" s="306"/>
    </row>
    <row r="117" spans="1:7" ht="156.75" customHeight="1">
      <c r="A117" s="508" t="s">
        <v>1509</v>
      </c>
      <c r="B117" s="208"/>
      <c r="C117" s="527" t="s">
        <v>148</v>
      </c>
      <c r="D117" s="64" t="s">
        <v>15</v>
      </c>
      <c r="E117" s="66">
        <v>1</v>
      </c>
      <c r="F117" s="494"/>
      <c r="G117" s="306"/>
    </row>
    <row r="118" spans="1:7" ht="18" customHeight="1">
      <c r="A118" s="531">
        <v>1.8</v>
      </c>
      <c r="B118" s="532"/>
      <c r="C118" s="73" t="s">
        <v>153</v>
      </c>
      <c r="D118" s="64"/>
      <c r="E118" s="66"/>
      <c r="F118" s="494"/>
      <c r="G118" s="306"/>
    </row>
    <row r="119" spans="1:7" ht="33.75" customHeight="1">
      <c r="A119" s="508" t="s">
        <v>1510</v>
      </c>
      <c r="B119" s="208"/>
      <c r="C119" s="110" t="s">
        <v>1552</v>
      </c>
      <c r="D119" s="64" t="s">
        <v>155</v>
      </c>
      <c r="E119" s="533">
        <v>12</v>
      </c>
      <c r="F119" s="494"/>
      <c r="G119" s="306"/>
    </row>
    <row r="120" spans="1:7" ht="20.25" customHeight="1">
      <c r="A120" s="610" t="s">
        <v>1877</v>
      </c>
      <c r="B120" s="611"/>
      <c r="C120" s="611"/>
      <c r="D120" s="611"/>
      <c r="E120" s="611"/>
      <c r="F120" s="612"/>
      <c r="G120" s="144"/>
    </row>
  </sheetData>
  <mergeCells count="6">
    <mergeCell ref="A120:F120"/>
    <mergeCell ref="A1:G1"/>
    <mergeCell ref="A47:C47"/>
    <mergeCell ref="A48:C48"/>
    <mergeCell ref="A85:C85"/>
    <mergeCell ref="A86:C86"/>
  </mergeCells>
  <phoneticPr fontId="11" type="noConversion"/>
  <pageMargins left="0.70866141732283505" right="0.70866141732283505" top="1.2992125984252001" bottom="0.74803149606299202" header="0.31496062992126" footer="0.31496062992126"/>
  <pageSetup paperSize="9" scale="76" firstPageNumber="10"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rowBreaks count="2" manualBreakCount="2">
    <brk id="47" max="16383" man="1"/>
    <brk id="85"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FC1C-D87C-4ED4-8006-81FC86021815}">
  <dimension ref="A1:G43"/>
  <sheetViews>
    <sheetView view="pageBreakPreview" topLeftCell="A20" zoomScaleNormal="100" zoomScaleSheetLayoutView="100" zoomScalePageLayoutView="85" workbookViewId="0">
      <selection activeCell="J13" sqref="J13"/>
    </sheetView>
  </sheetViews>
  <sheetFormatPr defaultColWidth="9.109375" defaultRowHeight="13.8"/>
  <cols>
    <col min="1" max="1" width="6.5546875" style="88" customWidth="1"/>
    <col min="2" max="2" width="8.6640625" style="89" customWidth="1"/>
    <col min="3" max="3" width="43.6640625" style="90" customWidth="1"/>
    <col min="4" max="4" width="6.33203125" style="91" customWidth="1"/>
    <col min="5" max="5" width="7.6640625" style="92" customWidth="1"/>
    <col min="6" max="6" width="15.109375" style="44" customWidth="1"/>
    <col min="7" max="7" width="20.88671875" style="44" customWidth="1"/>
    <col min="8" max="16384" width="9.109375" style="44"/>
  </cols>
  <sheetData>
    <row r="1" spans="1:7" ht="22.5" customHeight="1">
      <c r="A1" s="621" t="s">
        <v>157</v>
      </c>
      <c r="B1" s="621"/>
      <c r="C1" s="621"/>
      <c r="D1" s="621"/>
      <c r="E1" s="621"/>
      <c r="F1" s="621"/>
      <c r="G1" s="621"/>
    </row>
    <row r="2" spans="1:7" s="50" customFormat="1" ht="27.6">
      <c r="A2" s="481" t="s">
        <v>4</v>
      </c>
      <c r="B2" s="482" t="s">
        <v>5</v>
      </c>
      <c r="C2" s="45" t="s">
        <v>1</v>
      </c>
      <c r="D2" s="47" t="s">
        <v>6</v>
      </c>
      <c r="E2" s="48" t="s">
        <v>7</v>
      </c>
      <c r="F2" s="49" t="s">
        <v>8</v>
      </c>
      <c r="G2" s="49" t="s">
        <v>9</v>
      </c>
    </row>
    <row r="3" spans="1:7">
      <c r="A3" s="51"/>
      <c r="B3" s="52"/>
      <c r="C3" s="483"/>
      <c r="D3" s="51"/>
      <c r="E3" s="54"/>
      <c r="F3" s="93"/>
      <c r="G3" s="93"/>
    </row>
    <row r="4" spans="1:7" ht="27.6">
      <c r="A4" s="56">
        <v>2.1</v>
      </c>
      <c r="B4" s="57"/>
      <c r="C4" s="58" t="str">
        <f>A1</f>
        <v>SCHEDULE 2.1 : CIVIL ENGINEERING - SITE CLEARANCE</v>
      </c>
      <c r="D4" s="59"/>
      <c r="E4" s="60"/>
      <c r="F4" s="94"/>
      <c r="G4" s="94"/>
    </row>
    <row r="5" spans="1:7">
      <c r="A5" s="56"/>
      <c r="B5" s="57"/>
      <c r="C5" s="58"/>
      <c r="D5" s="59"/>
      <c r="E5" s="60"/>
      <c r="F5" s="94"/>
      <c r="G5" s="94"/>
    </row>
    <row r="6" spans="1:7" ht="18" customHeight="1">
      <c r="A6" s="56" t="s">
        <v>158</v>
      </c>
      <c r="B6" s="71" t="s">
        <v>159</v>
      </c>
      <c r="C6" s="73" t="s">
        <v>160</v>
      </c>
      <c r="D6" s="64"/>
      <c r="E6" s="64"/>
      <c r="F6" s="490"/>
      <c r="G6" s="491"/>
    </row>
    <row r="7" spans="1:7" ht="18" customHeight="1">
      <c r="A7" s="105" t="s">
        <v>179</v>
      </c>
      <c r="B7" s="206" t="s">
        <v>161</v>
      </c>
      <c r="C7" s="484" t="s">
        <v>162</v>
      </c>
      <c r="D7" s="235"/>
      <c r="E7" s="235"/>
      <c r="F7" s="492"/>
      <c r="G7" s="491"/>
    </row>
    <row r="8" spans="1:7" ht="18" customHeight="1">
      <c r="A8" s="105" t="s">
        <v>180</v>
      </c>
      <c r="B8" s="206"/>
      <c r="C8" s="131" t="s">
        <v>163</v>
      </c>
      <c r="D8" s="236" t="s">
        <v>164</v>
      </c>
      <c r="E8" s="124">
        <v>7.8300000000000008E-2</v>
      </c>
      <c r="F8" s="493"/>
      <c r="G8" s="493"/>
    </row>
    <row r="9" spans="1:7" ht="18" customHeight="1">
      <c r="A9" s="105" t="s">
        <v>181</v>
      </c>
      <c r="B9" s="218"/>
      <c r="C9" s="426" t="s">
        <v>165</v>
      </c>
      <c r="D9" s="236" t="s">
        <v>164</v>
      </c>
      <c r="E9" s="124">
        <v>7.8300000000000008E-2</v>
      </c>
      <c r="F9" s="493"/>
      <c r="G9" s="493"/>
    </row>
    <row r="10" spans="1:7" ht="18" customHeight="1">
      <c r="A10" s="105" t="s">
        <v>182</v>
      </c>
      <c r="B10" s="218"/>
      <c r="C10" s="426" t="s">
        <v>1572</v>
      </c>
      <c r="D10" s="236" t="s">
        <v>164</v>
      </c>
      <c r="E10" s="124">
        <v>3.3710870000000004E-2</v>
      </c>
      <c r="F10" s="493"/>
      <c r="G10" s="493"/>
    </row>
    <row r="11" spans="1:7" ht="18" customHeight="1">
      <c r="A11" s="105" t="s">
        <v>183</v>
      </c>
      <c r="B11" s="218"/>
      <c r="C11" s="426" t="s">
        <v>1571</v>
      </c>
      <c r="D11" s="236" t="s">
        <v>303</v>
      </c>
      <c r="E11" s="124">
        <v>350</v>
      </c>
      <c r="F11" s="493"/>
      <c r="G11" s="493"/>
    </row>
    <row r="12" spans="1:7" ht="18" customHeight="1">
      <c r="A12" s="105"/>
      <c r="B12" s="218"/>
      <c r="C12" s="85"/>
      <c r="D12" s="85"/>
      <c r="E12" s="485"/>
      <c r="F12" s="493"/>
      <c r="G12" s="493"/>
    </row>
    <row r="13" spans="1:7" ht="18" customHeight="1">
      <c r="A13" s="105" t="s">
        <v>184</v>
      </c>
      <c r="B13" s="207" t="s">
        <v>166</v>
      </c>
      <c r="C13" s="69" t="s">
        <v>167</v>
      </c>
      <c r="D13" s="236"/>
      <c r="E13" s="66"/>
      <c r="F13" s="493"/>
      <c r="G13" s="493"/>
    </row>
    <row r="14" spans="1:7" ht="18" customHeight="1">
      <c r="A14" s="105" t="s">
        <v>185</v>
      </c>
      <c r="B14" s="207"/>
      <c r="C14" s="153" t="s">
        <v>168</v>
      </c>
      <c r="D14" s="236"/>
      <c r="E14" s="66"/>
      <c r="F14" s="493"/>
      <c r="G14" s="493"/>
    </row>
    <row r="15" spans="1:7" ht="18" customHeight="1">
      <c r="A15" s="105" t="s">
        <v>186</v>
      </c>
      <c r="B15" s="57"/>
      <c r="C15" s="486" t="s">
        <v>163</v>
      </c>
      <c r="D15" s="105" t="s">
        <v>156</v>
      </c>
      <c r="E15" s="124">
        <v>1</v>
      </c>
      <c r="F15" s="494"/>
      <c r="G15" s="494"/>
    </row>
    <row r="16" spans="1:7" ht="18" customHeight="1">
      <c r="A16" s="105" t="s">
        <v>187</v>
      </c>
      <c r="B16" s="57"/>
      <c r="C16" s="427" t="s">
        <v>169</v>
      </c>
      <c r="D16" s="105" t="s">
        <v>156</v>
      </c>
      <c r="E16" s="124">
        <v>1</v>
      </c>
      <c r="F16" s="494"/>
      <c r="G16" s="494"/>
    </row>
    <row r="17" spans="1:7" ht="18" customHeight="1">
      <c r="A17" s="105" t="s">
        <v>188</v>
      </c>
      <c r="B17" s="57"/>
      <c r="C17" s="427" t="s">
        <v>170</v>
      </c>
      <c r="D17" s="105" t="s">
        <v>156</v>
      </c>
      <c r="E17" s="124">
        <v>1</v>
      </c>
      <c r="F17" s="494"/>
      <c r="G17" s="494"/>
    </row>
    <row r="18" spans="1:7" ht="18" customHeight="1">
      <c r="A18" s="105"/>
      <c r="B18" s="57"/>
      <c r="C18" s="209"/>
      <c r="D18" s="84"/>
      <c r="E18" s="485"/>
      <c r="F18" s="493"/>
      <c r="G18" s="493"/>
    </row>
    <row r="19" spans="1:7" ht="34.5" customHeight="1">
      <c r="A19" s="105" t="s">
        <v>189</v>
      </c>
      <c r="B19" s="159" t="s">
        <v>171</v>
      </c>
      <c r="C19" s="487" t="s">
        <v>172</v>
      </c>
      <c r="D19" s="84"/>
      <c r="E19" s="485"/>
      <c r="F19" s="493"/>
      <c r="G19" s="493"/>
    </row>
    <row r="20" spans="1:7" ht="42.75" customHeight="1">
      <c r="A20" s="105" t="s">
        <v>190</v>
      </c>
      <c r="B20" s="488"/>
      <c r="C20" s="78" t="s">
        <v>1551</v>
      </c>
      <c r="D20" s="235"/>
      <c r="E20" s="489"/>
      <c r="F20" s="492"/>
      <c r="G20" s="493"/>
    </row>
    <row r="21" spans="1:7" ht="18" customHeight="1">
      <c r="A21" s="105" t="s">
        <v>191</v>
      </c>
      <c r="B21" s="488"/>
      <c r="C21" s="486" t="s">
        <v>163</v>
      </c>
      <c r="D21" s="105" t="s">
        <v>156</v>
      </c>
      <c r="E21" s="124">
        <v>1</v>
      </c>
      <c r="F21" s="495"/>
      <c r="G21" s="495"/>
    </row>
    <row r="22" spans="1:7" ht="27.6">
      <c r="A22" s="105" t="s">
        <v>192</v>
      </c>
      <c r="B22" s="488"/>
      <c r="C22" s="427" t="s">
        <v>169</v>
      </c>
      <c r="D22" s="105" t="s">
        <v>156</v>
      </c>
      <c r="E22" s="124">
        <v>1</v>
      </c>
      <c r="F22" s="495"/>
      <c r="G22" s="495"/>
    </row>
    <row r="23" spans="1:7" ht="35.25" customHeight="1">
      <c r="A23" s="105" t="s">
        <v>193</v>
      </c>
      <c r="B23" s="488"/>
      <c r="C23" s="427" t="s">
        <v>170</v>
      </c>
      <c r="D23" s="105" t="s">
        <v>156</v>
      </c>
      <c r="E23" s="124">
        <v>1</v>
      </c>
      <c r="F23" s="495"/>
      <c r="G23" s="495"/>
    </row>
    <row r="24" spans="1:7" ht="27.6">
      <c r="A24" s="105" t="s">
        <v>194</v>
      </c>
      <c r="B24" s="488"/>
      <c r="C24" s="427" t="s">
        <v>173</v>
      </c>
      <c r="D24" s="105" t="s">
        <v>156</v>
      </c>
      <c r="E24" s="124">
        <v>2</v>
      </c>
      <c r="F24" s="495"/>
      <c r="G24" s="495"/>
    </row>
    <row r="25" spans="1:7" ht="27.6">
      <c r="A25" s="105" t="s">
        <v>195</v>
      </c>
      <c r="B25" s="488"/>
      <c r="C25" s="427" t="s">
        <v>1970</v>
      </c>
      <c r="D25" s="323" t="s">
        <v>1675</v>
      </c>
      <c r="E25" s="124">
        <f>3</f>
        <v>3</v>
      </c>
      <c r="F25" s="495"/>
      <c r="G25" s="495"/>
    </row>
    <row r="26" spans="1:7" ht="18" customHeight="1">
      <c r="A26" s="105"/>
      <c r="B26" s="488"/>
      <c r="C26" s="235"/>
      <c r="D26" s="235"/>
      <c r="E26" s="489"/>
      <c r="F26" s="493"/>
      <c r="G26" s="391"/>
    </row>
    <row r="27" spans="1:7" ht="18" customHeight="1">
      <c r="A27" s="105" t="s">
        <v>196</v>
      </c>
      <c r="B27" s="206" t="s">
        <v>174</v>
      </c>
      <c r="C27" s="69" t="s">
        <v>175</v>
      </c>
      <c r="D27" s="85"/>
      <c r="E27" s="66"/>
      <c r="F27" s="493"/>
      <c r="G27" s="391"/>
    </row>
    <row r="28" spans="1:7" ht="66" customHeight="1">
      <c r="A28" s="105" t="s">
        <v>197</v>
      </c>
      <c r="B28" s="206"/>
      <c r="C28" s="74" t="s">
        <v>176</v>
      </c>
      <c r="D28" s="235"/>
      <c r="E28" s="66"/>
      <c r="F28" s="493"/>
      <c r="G28" s="391"/>
    </row>
    <row r="29" spans="1:7" ht="40.5" customHeight="1">
      <c r="A29" s="105" t="s">
        <v>198</v>
      </c>
      <c r="B29" s="206"/>
      <c r="C29" s="355" t="s">
        <v>178</v>
      </c>
      <c r="D29" s="105" t="s">
        <v>177</v>
      </c>
      <c r="E29" s="66">
        <v>100</v>
      </c>
      <c r="F29" s="494"/>
      <c r="G29" s="495"/>
    </row>
    <row r="30" spans="1:7">
      <c r="A30" s="56"/>
      <c r="B30" s="57"/>
      <c r="C30" s="58"/>
      <c r="D30" s="59"/>
      <c r="E30" s="60"/>
      <c r="F30" s="94"/>
      <c r="G30" s="94"/>
    </row>
    <row r="31" spans="1:7">
      <c r="A31" s="56"/>
      <c r="B31" s="57"/>
      <c r="C31" s="58"/>
      <c r="D31" s="59"/>
      <c r="E31" s="60"/>
      <c r="F31" s="94"/>
      <c r="G31" s="94"/>
    </row>
    <row r="32" spans="1:7">
      <c r="A32" s="56"/>
      <c r="B32" s="57"/>
      <c r="C32" s="58"/>
      <c r="D32" s="59"/>
      <c r="E32" s="60"/>
      <c r="F32" s="94"/>
      <c r="G32" s="94"/>
    </row>
    <row r="33" spans="1:7">
      <c r="A33" s="56"/>
      <c r="B33" s="57"/>
      <c r="C33" s="58"/>
      <c r="D33" s="59"/>
      <c r="E33" s="60"/>
      <c r="F33" s="94"/>
      <c r="G33" s="94"/>
    </row>
    <row r="34" spans="1:7">
      <c r="A34" s="56"/>
      <c r="B34" s="57"/>
      <c r="C34" s="58"/>
      <c r="D34" s="59"/>
      <c r="E34" s="60"/>
      <c r="F34" s="94"/>
      <c r="G34" s="94"/>
    </row>
    <row r="35" spans="1:7">
      <c r="A35" s="56"/>
      <c r="B35" s="57"/>
      <c r="C35" s="58"/>
      <c r="D35" s="59"/>
      <c r="E35" s="60"/>
      <c r="F35" s="94"/>
      <c r="G35" s="94"/>
    </row>
    <row r="36" spans="1:7">
      <c r="A36" s="56"/>
      <c r="B36" s="57"/>
      <c r="C36" s="58"/>
      <c r="D36" s="59"/>
      <c r="E36" s="60"/>
      <c r="F36" s="94"/>
      <c r="G36" s="94"/>
    </row>
    <row r="37" spans="1:7">
      <c r="A37" s="56"/>
      <c r="B37" s="57"/>
      <c r="C37" s="58"/>
      <c r="D37" s="59"/>
      <c r="E37" s="60"/>
      <c r="F37" s="94"/>
      <c r="G37" s="94"/>
    </row>
    <row r="38" spans="1:7" ht="22.5" customHeight="1">
      <c r="A38" s="610" t="s">
        <v>1861</v>
      </c>
      <c r="B38" s="611"/>
      <c r="C38" s="611"/>
      <c r="D38" s="611"/>
      <c r="E38" s="611"/>
      <c r="F38" s="612"/>
      <c r="G38" s="496"/>
    </row>
    <row r="43" spans="1:7" ht="42" customHeight="1"/>
  </sheetData>
  <mergeCells count="2">
    <mergeCell ref="A1:G1"/>
    <mergeCell ref="A38:F38"/>
  </mergeCells>
  <phoneticPr fontId="11" type="noConversion"/>
  <pageMargins left="0.70866141732283505" right="0.70866141732283505" top="1.2992125984252001" bottom="0.74803149606299202" header="0.31496062992126" footer="0.31496062992126"/>
  <pageSetup paperSize="9" scale="80" firstPageNumber="13"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6DF39-A023-4F52-B2B3-BF9AA68AAD85}">
  <sheetPr>
    <tabColor rgb="FFFFFF00"/>
  </sheetPr>
  <dimension ref="A1:K140"/>
  <sheetViews>
    <sheetView view="pageBreakPreview" zoomScaleNormal="100" zoomScaleSheetLayoutView="100" workbookViewId="0">
      <selection activeCell="J13" sqref="J13"/>
    </sheetView>
  </sheetViews>
  <sheetFormatPr defaultColWidth="9.109375" defaultRowHeight="13.8"/>
  <cols>
    <col min="1" max="1" width="7.6640625" style="88" customWidth="1"/>
    <col min="2" max="2" width="9.88671875" style="89" customWidth="1"/>
    <col min="3" max="3" width="46.88671875" style="90" customWidth="1"/>
    <col min="4" max="4" width="6.88671875" style="91" customWidth="1"/>
    <col min="5" max="5" width="6.6640625" style="92" customWidth="1"/>
    <col min="6" max="6" width="14.88671875" style="44" customWidth="1"/>
    <col min="7" max="7" width="16.6640625" style="44" customWidth="1"/>
    <col min="8" max="16384" width="9.109375" style="44"/>
  </cols>
  <sheetData>
    <row r="1" spans="1:11" ht="22.5" customHeight="1">
      <c r="A1" s="621" t="s">
        <v>199</v>
      </c>
      <c r="B1" s="621"/>
      <c r="C1" s="621"/>
      <c r="D1" s="621"/>
      <c r="E1" s="621"/>
      <c r="F1" s="621"/>
      <c r="G1" s="621"/>
    </row>
    <row r="2" spans="1:11" s="50" customFormat="1" ht="27.6">
      <c r="A2" s="45" t="s">
        <v>4</v>
      </c>
      <c r="B2" s="46" t="s">
        <v>5</v>
      </c>
      <c r="C2" s="45" t="s">
        <v>1</v>
      </c>
      <c r="D2" s="47" t="s">
        <v>6</v>
      </c>
      <c r="E2" s="48" t="s">
        <v>7</v>
      </c>
      <c r="F2" s="49" t="s">
        <v>8</v>
      </c>
      <c r="G2" s="49" t="s">
        <v>9</v>
      </c>
    </row>
    <row r="3" spans="1:11" ht="16.5" customHeight="1">
      <c r="A3" s="624" t="s">
        <v>1862</v>
      </c>
      <c r="B3" s="625"/>
      <c r="C3" s="625"/>
      <c r="D3" s="625"/>
      <c r="E3" s="626"/>
      <c r="F3" s="192"/>
      <c r="G3" s="193"/>
    </row>
    <row r="4" spans="1:11">
      <c r="A4" s="466"/>
      <c r="B4" s="467"/>
      <c r="C4" s="468"/>
      <c r="D4" s="80"/>
      <c r="E4" s="404"/>
      <c r="F4" s="390"/>
      <c r="G4" s="391"/>
    </row>
    <row r="5" spans="1:11" ht="27.6">
      <c r="A5" s="401">
        <v>2.2000000000000002</v>
      </c>
      <c r="B5" s="402"/>
      <c r="C5" s="403" t="str">
        <f>A1</f>
        <v>SCHEDULE 2.2 : CIVIL ENGINEERING - NEW MCC FOR BELT PRESS SET A (6 no. off)</v>
      </c>
      <c r="D5" s="80"/>
      <c r="E5" s="404"/>
      <c r="F5" s="390"/>
      <c r="G5" s="391"/>
    </row>
    <row r="6" spans="1:11">
      <c r="A6" s="401"/>
      <c r="B6" s="402"/>
      <c r="C6" s="403" t="s">
        <v>1692</v>
      </c>
      <c r="D6" s="80"/>
      <c r="E6" s="404"/>
      <c r="F6" s="390"/>
      <c r="G6" s="391"/>
    </row>
    <row r="7" spans="1:11" ht="18" customHeight="1">
      <c r="A7" s="84"/>
      <c r="B7" s="321" t="s">
        <v>200</v>
      </c>
      <c r="C7" s="405" t="s">
        <v>201</v>
      </c>
      <c r="D7" s="323"/>
      <c r="E7" s="406"/>
      <c r="F7" s="390"/>
      <c r="G7" s="391"/>
    </row>
    <row r="8" spans="1:11" s="75" customFormat="1" ht="18" customHeight="1">
      <c r="A8" s="84" t="s">
        <v>202</v>
      </c>
      <c r="B8" s="206" t="s">
        <v>13</v>
      </c>
      <c r="C8" s="212" t="s">
        <v>203</v>
      </c>
      <c r="D8" s="323"/>
      <c r="E8" s="406"/>
      <c r="F8" s="390"/>
      <c r="G8" s="391"/>
    </row>
    <row r="9" spans="1:11" ht="18" customHeight="1">
      <c r="A9" s="84" t="s">
        <v>204</v>
      </c>
      <c r="B9" s="207" t="s">
        <v>205</v>
      </c>
      <c r="C9" s="212" t="s">
        <v>206</v>
      </c>
      <c r="D9" s="407" t="s">
        <v>207</v>
      </c>
      <c r="E9" s="324">
        <f>136646999.9999/1000^2</f>
        <v>136.6469999999</v>
      </c>
      <c r="F9" s="448"/>
      <c r="G9" s="266"/>
      <c r="H9" s="75"/>
      <c r="I9" s="75"/>
      <c r="J9" s="75"/>
      <c r="K9" s="75"/>
    </row>
    <row r="10" spans="1:11" ht="30.75" customHeight="1">
      <c r="A10" s="84" t="s">
        <v>208</v>
      </c>
      <c r="B10" s="207" t="s">
        <v>209</v>
      </c>
      <c r="C10" s="74" t="s">
        <v>210</v>
      </c>
      <c r="D10" s="407" t="s">
        <v>207</v>
      </c>
      <c r="E10" s="324">
        <f>136646999.9999/1000^2</f>
        <v>136.6469999999</v>
      </c>
      <c r="F10" s="448"/>
      <c r="G10" s="266"/>
      <c r="H10" s="75"/>
      <c r="I10" s="75"/>
      <c r="J10" s="75"/>
      <c r="K10" s="75"/>
    </row>
    <row r="11" spans="1:11" s="75" customFormat="1" ht="18" customHeight="1">
      <c r="A11" s="84" t="s">
        <v>211</v>
      </c>
      <c r="B11" s="206" t="s">
        <v>212</v>
      </c>
      <c r="C11" s="212" t="s">
        <v>213</v>
      </c>
      <c r="D11" s="408"/>
      <c r="E11" s="324"/>
      <c r="F11" s="448"/>
      <c r="G11" s="266"/>
    </row>
    <row r="12" spans="1:11" s="75" customFormat="1" ht="18" customHeight="1">
      <c r="A12" s="84" t="s">
        <v>214</v>
      </c>
      <c r="B12" s="409"/>
      <c r="C12" s="212" t="s">
        <v>1550</v>
      </c>
      <c r="D12" s="323" t="s">
        <v>215</v>
      </c>
      <c r="E12" s="324">
        <f>((77056564.3906-42724497.5675)/1000^2)*1.5+27.19</f>
        <v>78.688100234649994</v>
      </c>
      <c r="F12" s="448"/>
      <c r="G12" s="266"/>
    </row>
    <row r="13" spans="1:11" s="164" customFormat="1" ht="18" customHeight="1">
      <c r="A13" s="84" t="s">
        <v>216</v>
      </c>
      <c r="B13" s="206" t="s">
        <v>47</v>
      </c>
      <c r="C13" s="212" t="s">
        <v>1539</v>
      </c>
      <c r="D13" s="323"/>
      <c r="E13" s="324"/>
      <c r="F13" s="392"/>
      <c r="G13" s="266"/>
    </row>
    <row r="14" spans="1:11" s="164" customFormat="1" ht="18" customHeight="1">
      <c r="A14" s="84" t="s">
        <v>217</v>
      </c>
      <c r="B14" s="206"/>
      <c r="C14" s="198" t="s">
        <v>218</v>
      </c>
      <c r="D14" s="408"/>
      <c r="E14" s="324"/>
      <c r="F14" s="393"/>
      <c r="G14" s="266"/>
    </row>
    <row r="15" spans="1:11" s="75" customFormat="1" ht="18" customHeight="1">
      <c r="A15" s="84" t="s">
        <v>219</v>
      </c>
      <c r="B15" s="207"/>
      <c r="C15" s="198" t="s">
        <v>220</v>
      </c>
      <c r="D15" s="323" t="s">
        <v>215</v>
      </c>
      <c r="E15" s="324">
        <f>(E12+((9541875.1442*4)/1000^2)*1.5)*0.2</f>
        <v>27.187870219970002</v>
      </c>
      <c r="F15" s="392"/>
      <c r="G15" s="266"/>
    </row>
    <row r="16" spans="1:11" s="75" customFormat="1" ht="18" customHeight="1">
      <c r="A16" s="84" t="s">
        <v>221</v>
      </c>
      <c r="B16" s="207"/>
      <c r="C16" s="198" t="s">
        <v>222</v>
      </c>
      <c r="D16" s="323" t="s">
        <v>215</v>
      </c>
      <c r="E16" s="324">
        <f>E15</f>
        <v>27.187870219970002</v>
      </c>
      <c r="F16" s="392"/>
      <c r="G16" s="266"/>
    </row>
    <row r="17" spans="1:7" s="75" customFormat="1" ht="18" customHeight="1">
      <c r="A17" s="84" t="s">
        <v>223</v>
      </c>
      <c r="B17" s="77" t="s">
        <v>224</v>
      </c>
      <c r="C17" s="212" t="s">
        <v>225</v>
      </c>
      <c r="D17" s="323" t="s">
        <v>215</v>
      </c>
      <c r="E17" s="324">
        <f>((9541875.1442*4)/1000^2)*1.5</f>
        <v>57.251250865200007</v>
      </c>
      <c r="F17" s="392"/>
      <c r="G17" s="266"/>
    </row>
    <row r="18" spans="1:7" s="75" customFormat="1" ht="13.5" customHeight="1">
      <c r="A18" s="59"/>
      <c r="B18" s="410"/>
      <c r="C18" s="411"/>
      <c r="D18" s="84"/>
      <c r="E18" s="66"/>
      <c r="F18" s="449"/>
      <c r="G18" s="266"/>
    </row>
    <row r="19" spans="1:7" s="75" customFormat="1" ht="18" customHeight="1">
      <c r="A19" s="59" t="s">
        <v>366</v>
      </c>
      <c r="B19" s="208" t="s">
        <v>227</v>
      </c>
      <c r="C19" s="411" t="s">
        <v>228</v>
      </c>
      <c r="D19" s="413"/>
      <c r="E19" s="66"/>
      <c r="F19" s="449"/>
      <c r="G19" s="266"/>
    </row>
    <row r="20" spans="1:7" ht="18" customHeight="1">
      <c r="A20" s="59" t="s">
        <v>367</v>
      </c>
      <c r="B20" s="77">
        <v>8.1999999999999993</v>
      </c>
      <c r="C20" s="355" t="s">
        <v>230</v>
      </c>
      <c r="D20" s="413"/>
      <c r="E20" s="66"/>
      <c r="F20" s="449"/>
      <c r="G20" s="266"/>
    </row>
    <row r="21" spans="1:7" ht="18" customHeight="1">
      <c r="A21" s="59" t="s">
        <v>368</v>
      </c>
      <c r="B21" s="77" t="s">
        <v>161</v>
      </c>
      <c r="C21" s="414" t="s">
        <v>232</v>
      </c>
      <c r="D21" s="80"/>
      <c r="E21" s="124"/>
      <c r="F21" s="449"/>
      <c r="G21" s="266"/>
    </row>
    <row r="22" spans="1:7">
      <c r="A22" s="59" t="s">
        <v>369</v>
      </c>
      <c r="B22" s="415"/>
      <c r="C22" s="414" t="s">
        <v>1967</v>
      </c>
      <c r="D22" s="80" t="s">
        <v>207</v>
      </c>
      <c r="E22" s="124">
        <f>((3909000*2.5+2623500*2.5)/1000^2)*2.5</f>
        <v>40.828125</v>
      </c>
      <c r="F22" s="392"/>
      <c r="G22" s="266"/>
    </row>
    <row r="23" spans="1:7" ht="18" customHeight="1">
      <c r="A23" s="59" t="s">
        <v>370</v>
      </c>
      <c r="B23" s="77"/>
      <c r="C23" s="355" t="s">
        <v>1969</v>
      </c>
      <c r="D23" s="80" t="s">
        <v>207</v>
      </c>
      <c r="E23" s="124">
        <f>(1166880*2.5+1894990*4.5)/1000^2</f>
        <v>11.444654999999999</v>
      </c>
      <c r="F23" s="392"/>
      <c r="G23" s="266"/>
    </row>
    <row r="24" spans="1:7" ht="18" customHeight="1">
      <c r="A24" s="59" t="s">
        <v>371</v>
      </c>
      <c r="B24" s="77" t="s">
        <v>236</v>
      </c>
      <c r="C24" s="414" t="s">
        <v>1544</v>
      </c>
      <c r="D24" s="80"/>
      <c r="E24" s="124"/>
      <c r="F24" s="392"/>
      <c r="G24" s="266"/>
    </row>
    <row r="25" spans="1:7" ht="18" customHeight="1">
      <c r="A25" s="59" t="s">
        <v>226</v>
      </c>
      <c r="B25" s="415"/>
      <c r="C25" s="414" t="s">
        <v>238</v>
      </c>
      <c r="D25" s="80" t="s">
        <v>207</v>
      </c>
      <c r="E25" s="124">
        <f>(3265000*2.5+ 2673718.4551*2.5)/1000^2</f>
        <v>14.846796137749999</v>
      </c>
      <c r="F25" s="392"/>
      <c r="G25" s="266"/>
    </row>
    <row r="26" spans="1:7" ht="18" customHeight="1">
      <c r="A26" s="59" t="s">
        <v>229</v>
      </c>
      <c r="B26" s="415"/>
      <c r="C26" s="414" t="s">
        <v>240</v>
      </c>
      <c r="D26" s="80" t="s">
        <v>207</v>
      </c>
      <c r="E26" s="66">
        <f>(E47/0.2)*1.2</f>
        <v>166.1232</v>
      </c>
      <c r="F26" s="392"/>
      <c r="G26" s="266"/>
    </row>
    <row r="27" spans="1:7" ht="11.25" customHeight="1">
      <c r="A27" s="59"/>
      <c r="B27" s="416"/>
      <c r="C27" s="411"/>
      <c r="D27" s="413"/>
      <c r="E27" s="66"/>
      <c r="F27" s="449"/>
      <c r="G27" s="266"/>
    </row>
    <row r="28" spans="1:7" ht="18" customHeight="1">
      <c r="A28" s="59" t="s">
        <v>231</v>
      </c>
      <c r="B28" s="416">
        <v>8.3000000000000007</v>
      </c>
      <c r="C28" s="347" t="s">
        <v>242</v>
      </c>
      <c r="D28" s="413"/>
      <c r="E28" s="66"/>
      <c r="F28" s="449"/>
      <c r="G28" s="266"/>
    </row>
    <row r="29" spans="1:7" ht="18" customHeight="1">
      <c r="A29" s="59" t="s">
        <v>233</v>
      </c>
      <c r="B29" s="416" t="s">
        <v>13</v>
      </c>
      <c r="C29" s="417" t="s">
        <v>244</v>
      </c>
      <c r="D29" s="413"/>
      <c r="E29" s="66"/>
      <c r="F29" s="449"/>
      <c r="G29" s="266"/>
    </row>
    <row r="30" spans="1:7" ht="18" customHeight="1">
      <c r="A30" s="59" t="s">
        <v>234</v>
      </c>
      <c r="B30" s="416"/>
      <c r="C30" s="418" t="s">
        <v>246</v>
      </c>
      <c r="D30" s="413"/>
      <c r="E30" s="66"/>
      <c r="F30" s="449"/>
      <c r="G30" s="266"/>
    </row>
    <row r="31" spans="1:7" ht="18" customHeight="1">
      <c r="A31" s="59" t="s">
        <v>235</v>
      </c>
      <c r="B31" s="415"/>
      <c r="C31" s="469" t="s">
        <v>248</v>
      </c>
      <c r="D31" s="80"/>
      <c r="E31" s="124"/>
      <c r="F31" s="449"/>
      <c r="G31" s="266"/>
    </row>
    <row r="32" spans="1:7" ht="18" customHeight="1">
      <c r="A32" s="59" t="s">
        <v>237</v>
      </c>
      <c r="B32" s="57"/>
      <c r="C32" s="469" t="s">
        <v>250</v>
      </c>
      <c r="D32" s="80" t="s">
        <v>251</v>
      </c>
      <c r="E32" s="124">
        <f>E22*3%</f>
        <v>1.22484375</v>
      </c>
      <c r="F32" s="392"/>
      <c r="G32" s="266"/>
    </row>
    <row r="33" spans="1:7" ht="18" customHeight="1">
      <c r="A33" s="59" t="s">
        <v>239</v>
      </c>
      <c r="B33" s="57"/>
      <c r="C33" s="469" t="s">
        <v>253</v>
      </c>
      <c r="D33" s="80" t="s">
        <v>251</v>
      </c>
      <c r="E33" s="124">
        <f>(E43/0.2)*2.5%</f>
        <v>1.5416983290025001</v>
      </c>
      <c r="F33" s="392"/>
      <c r="G33" s="266"/>
    </row>
    <row r="34" spans="1:7" ht="18" customHeight="1">
      <c r="A34" s="59" t="s">
        <v>241</v>
      </c>
      <c r="B34" s="415"/>
      <c r="C34" s="469" t="s">
        <v>255</v>
      </c>
      <c r="D34" s="80" t="s">
        <v>251</v>
      </c>
      <c r="E34" s="66">
        <f>(E45/0.2)*2.5%</f>
        <v>0.72955641999087495</v>
      </c>
      <c r="F34" s="392"/>
      <c r="G34" s="266"/>
    </row>
    <row r="35" spans="1:7" ht="18" customHeight="1">
      <c r="A35" s="59" t="s">
        <v>243</v>
      </c>
      <c r="B35" s="207"/>
      <c r="C35" s="469" t="s">
        <v>256</v>
      </c>
      <c r="D35" s="80" t="s">
        <v>251</v>
      </c>
      <c r="E35" s="66">
        <f>E26*3%</f>
        <v>4.9836960000000001</v>
      </c>
      <c r="F35" s="450"/>
      <c r="G35" s="266"/>
    </row>
    <row r="36" spans="1:7" ht="18" customHeight="1">
      <c r="A36" s="59" t="s">
        <v>245</v>
      </c>
      <c r="B36" s="420" t="s">
        <v>17</v>
      </c>
      <c r="C36" s="78" t="s">
        <v>258</v>
      </c>
      <c r="D36" s="80"/>
      <c r="E36" s="124"/>
      <c r="F36" s="449"/>
      <c r="G36" s="266"/>
    </row>
    <row r="37" spans="1:7" ht="18" customHeight="1">
      <c r="A37" s="59" t="s">
        <v>247</v>
      </c>
      <c r="B37" s="415"/>
      <c r="C37" s="355" t="s">
        <v>260</v>
      </c>
      <c r="D37" s="80"/>
      <c r="E37" s="348"/>
      <c r="F37" s="449"/>
      <c r="G37" s="266"/>
    </row>
    <row r="38" spans="1:7" ht="18" customHeight="1">
      <c r="A38" s="59" t="s">
        <v>249</v>
      </c>
      <c r="B38" s="77"/>
      <c r="C38" s="422" t="s">
        <v>1842</v>
      </c>
      <c r="D38" s="80" t="s">
        <v>207</v>
      </c>
      <c r="E38" s="348">
        <f>6.5+(15*2+10*2)*1</f>
        <v>56.5</v>
      </c>
      <c r="F38" s="392"/>
      <c r="G38" s="266"/>
    </row>
    <row r="39" spans="1:7" ht="18" customHeight="1">
      <c r="A39" s="59" t="s">
        <v>252</v>
      </c>
      <c r="B39" s="77">
        <v>8.4</v>
      </c>
      <c r="C39" s="411" t="s">
        <v>264</v>
      </c>
      <c r="D39" s="413"/>
      <c r="E39" s="124"/>
      <c r="F39" s="451"/>
      <c r="G39" s="266"/>
    </row>
    <row r="40" spans="1:7" ht="18" customHeight="1">
      <c r="A40" s="59" t="s">
        <v>372</v>
      </c>
      <c r="B40" s="77" t="s">
        <v>63</v>
      </c>
      <c r="C40" s="296" t="s">
        <v>266</v>
      </c>
      <c r="D40" s="413"/>
      <c r="E40" s="230"/>
      <c r="F40" s="449"/>
      <c r="G40" s="266"/>
    </row>
    <row r="41" spans="1:7" ht="18" customHeight="1">
      <c r="A41" s="59" t="s">
        <v>254</v>
      </c>
      <c r="B41" s="415"/>
      <c r="C41" s="296" t="s">
        <v>268</v>
      </c>
      <c r="D41" s="80" t="s">
        <v>215</v>
      </c>
      <c r="E41" s="219">
        <f>SUM(E94:E96)*3.5%</f>
        <v>13.006183757175002</v>
      </c>
      <c r="F41" s="451"/>
      <c r="G41" s="266"/>
    </row>
    <row r="42" spans="1:7" ht="18" customHeight="1">
      <c r="A42" s="59" t="s">
        <v>257</v>
      </c>
      <c r="B42" s="77" t="s">
        <v>270</v>
      </c>
      <c r="C42" s="296" t="s">
        <v>271</v>
      </c>
      <c r="D42" s="413"/>
      <c r="E42" s="219"/>
      <c r="F42" s="449"/>
      <c r="G42" s="266"/>
    </row>
    <row r="43" spans="1:7" ht="18" customHeight="1">
      <c r="A43" s="59" t="s">
        <v>259</v>
      </c>
      <c r="B43" s="415"/>
      <c r="C43" s="422" t="s">
        <v>273</v>
      </c>
      <c r="D43" s="80" t="s">
        <v>215</v>
      </c>
      <c r="E43" s="219">
        <f>(95999999.9832/1000^2- ((77056564.3906-42724497.5675)/1000^2))*0.2</f>
        <v>12.333586632020001</v>
      </c>
      <c r="F43" s="392"/>
      <c r="G43" s="266"/>
    </row>
    <row r="44" spans="1:7" ht="18" customHeight="1">
      <c r="A44" s="59" t="s">
        <v>261</v>
      </c>
      <c r="B44" s="415"/>
      <c r="C44" s="422" t="s">
        <v>275</v>
      </c>
      <c r="D44" s="80" t="s">
        <v>215</v>
      </c>
      <c r="E44" s="219">
        <f>((240000*4)/1000^2)*0.8</f>
        <v>0.76800000000000002</v>
      </c>
      <c r="F44" s="392"/>
      <c r="G44" s="266"/>
    </row>
    <row r="45" spans="1:7" ht="18" customHeight="1">
      <c r="A45" s="59" t="s">
        <v>263</v>
      </c>
      <c r="B45" s="415"/>
      <c r="C45" s="422" t="s">
        <v>277</v>
      </c>
      <c r="D45" s="80" t="s">
        <v>215</v>
      </c>
      <c r="E45" s="219">
        <f>((77056564.3906-42724497.5675)/1000^2)*0.17</f>
        <v>5.8364513599269996</v>
      </c>
      <c r="F45" s="392"/>
      <c r="G45" s="266"/>
    </row>
    <row r="46" spans="1:7" ht="18" customHeight="1">
      <c r="A46" s="59" t="s">
        <v>265</v>
      </c>
      <c r="B46" s="425"/>
      <c r="C46" s="422" t="s">
        <v>279</v>
      </c>
      <c r="D46" s="80" t="s">
        <v>215</v>
      </c>
      <c r="E46" s="219">
        <f>E38*0.2</f>
        <v>11.3</v>
      </c>
      <c r="F46" s="392"/>
      <c r="G46" s="266"/>
    </row>
    <row r="47" spans="1:7" ht="18" customHeight="1">
      <c r="A47" s="59" t="s">
        <v>267</v>
      </c>
      <c r="B47" s="425"/>
      <c r="C47" s="422" t="s">
        <v>281</v>
      </c>
      <c r="D47" s="80" t="s">
        <v>215</v>
      </c>
      <c r="E47" s="219">
        <f>(3265000/1000^2)*8.48</f>
        <v>27.687200000000001</v>
      </c>
      <c r="F47" s="392"/>
      <c r="G47" s="266"/>
    </row>
    <row r="48" spans="1:7" ht="18" customHeight="1">
      <c r="A48" s="59" t="s">
        <v>269</v>
      </c>
      <c r="B48" s="218"/>
      <c r="C48" s="426" t="s">
        <v>283</v>
      </c>
      <c r="D48" s="80" t="s">
        <v>215</v>
      </c>
      <c r="E48" s="219">
        <f>((2989409.1119+4003711.5516+9689630.6534+10996035.2653+13480516.6585)/1000^2)*0.1</f>
        <v>4.1159303240699998</v>
      </c>
      <c r="F48" s="392"/>
      <c r="G48" s="266"/>
    </row>
    <row r="49" spans="1:7" ht="18" customHeight="1">
      <c r="A49" s="622" t="s">
        <v>88</v>
      </c>
      <c r="B49" s="623"/>
      <c r="C49" s="623"/>
      <c r="D49" s="356"/>
      <c r="E49" s="470"/>
      <c r="F49" s="475"/>
      <c r="G49" s="99"/>
    </row>
    <row r="50" spans="1:7" ht="18" customHeight="1">
      <c r="A50" s="622" t="s">
        <v>89</v>
      </c>
      <c r="B50" s="623"/>
      <c r="C50" s="623"/>
      <c r="D50" s="356"/>
      <c r="E50" s="470"/>
      <c r="F50" s="475"/>
      <c r="G50" s="176"/>
    </row>
    <row r="51" spans="1:7" ht="18" customHeight="1">
      <c r="A51" s="59" t="s">
        <v>373</v>
      </c>
      <c r="B51" s="77" t="s">
        <v>86</v>
      </c>
      <c r="C51" s="355" t="s">
        <v>285</v>
      </c>
      <c r="D51" s="413"/>
      <c r="E51" s="219"/>
      <c r="F51" s="452"/>
      <c r="G51" s="266"/>
    </row>
    <row r="52" spans="1:7" ht="18" customHeight="1">
      <c r="A52" s="59" t="s">
        <v>272</v>
      </c>
      <c r="B52" s="415"/>
      <c r="C52" s="355" t="s">
        <v>287</v>
      </c>
      <c r="D52" s="413"/>
      <c r="E52" s="219"/>
      <c r="F52" s="452"/>
      <c r="G52" s="266"/>
    </row>
    <row r="53" spans="1:7" ht="55.2">
      <c r="A53" s="64" t="s">
        <v>274</v>
      </c>
      <c r="B53" s="415"/>
      <c r="C53" s="355" t="s">
        <v>289</v>
      </c>
      <c r="D53" s="82" t="s">
        <v>251</v>
      </c>
      <c r="E53" s="219">
        <v>0.4</v>
      </c>
      <c r="F53" s="453"/>
      <c r="G53" s="97"/>
    </row>
    <row r="54" spans="1:7" ht="18" customHeight="1">
      <c r="A54" s="59" t="s">
        <v>276</v>
      </c>
      <c r="B54" s="415"/>
      <c r="C54" s="414" t="s">
        <v>291</v>
      </c>
      <c r="D54" s="80" t="s">
        <v>207</v>
      </c>
      <c r="E54" s="124">
        <f>E12</f>
        <v>78.688100234649994</v>
      </c>
      <c r="F54" s="388"/>
      <c r="G54" s="266"/>
    </row>
    <row r="55" spans="1:7" ht="18" customHeight="1">
      <c r="A55" s="59" t="s">
        <v>278</v>
      </c>
      <c r="B55" s="416"/>
      <c r="C55" s="414" t="s">
        <v>293</v>
      </c>
      <c r="D55" s="80" t="s">
        <v>207</v>
      </c>
      <c r="E55" s="219">
        <f>(3050743.2439*1.5)/1000^2</f>
        <v>4.5761148658499993</v>
      </c>
      <c r="F55" s="388"/>
      <c r="G55" s="266"/>
    </row>
    <row r="56" spans="1:7" ht="18" customHeight="1">
      <c r="A56" s="59" t="s">
        <v>280</v>
      </c>
      <c r="B56" s="416"/>
      <c r="C56" s="414" t="s">
        <v>295</v>
      </c>
      <c r="D56" s="80" t="s">
        <v>207</v>
      </c>
      <c r="E56" s="219">
        <f>E47/8.84</f>
        <v>3.132036199095023</v>
      </c>
      <c r="F56" s="392"/>
      <c r="G56" s="266"/>
    </row>
    <row r="57" spans="1:7" ht="18" customHeight="1">
      <c r="A57" s="59" t="s">
        <v>282</v>
      </c>
      <c r="B57" s="57"/>
      <c r="C57" s="427" t="s">
        <v>297</v>
      </c>
      <c r="D57" s="80" t="s">
        <v>207</v>
      </c>
      <c r="E57" s="324">
        <f>E48/0.1</f>
        <v>41.159303240699998</v>
      </c>
      <c r="F57" s="392"/>
      <c r="G57" s="266"/>
    </row>
    <row r="58" spans="1:7" ht="18" customHeight="1">
      <c r="A58" s="59" t="s">
        <v>284</v>
      </c>
      <c r="B58" s="416"/>
      <c r="C58" s="417" t="s">
        <v>1545</v>
      </c>
      <c r="D58" s="80" t="s">
        <v>207</v>
      </c>
      <c r="E58" s="219">
        <f>E43/0.17</f>
        <v>72.55050960011765</v>
      </c>
      <c r="F58" s="392"/>
      <c r="G58" s="266"/>
    </row>
    <row r="59" spans="1:7" ht="18" customHeight="1">
      <c r="A59" s="84"/>
      <c r="B59" s="416"/>
      <c r="C59" s="417"/>
      <c r="D59" s="80"/>
      <c r="E59" s="219"/>
      <c r="F59" s="392"/>
      <c r="G59" s="266"/>
    </row>
    <row r="60" spans="1:7" ht="18" customHeight="1">
      <c r="A60" s="84" t="s">
        <v>286</v>
      </c>
      <c r="B60" s="416">
        <v>8.5</v>
      </c>
      <c r="C60" s="429" t="s">
        <v>300</v>
      </c>
      <c r="D60" s="430"/>
      <c r="E60" s="324"/>
      <c r="F60" s="449"/>
      <c r="G60" s="266"/>
    </row>
    <row r="61" spans="1:7" ht="18" customHeight="1">
      <c r="A61" s="84" t="s">
        <v>288</v>
      </c>
      <c r="B61" s="416"/>
      <c r="C61" s="347" t="s">
        <v>302</v>
      </c>
      <c r="D61" s="430" t="s">
        <v>303</v>
      </c>
      <c r="E61" s="324">
        <f>(12.48*2+8.46*2)*1.5</f>
        <v>62.820000000000007</v>
      </c>
      <c r="F61" s="392"/>
      <c r="G61" s="266"/>
    </row>
    <row r="62" spans="1:7" ht="18" customHeight="1">
      <c r="A62" s="84" t="s">
        <v>290</v>
      </c>
      <c r="B62" s="416"/>
      <c r="C62" s="347" t="s">
        <v>305</v>
      </c>
      <c r="D62" s="323" t="s">
        <v>303</v>
      </c>
      <c r="E62" s="324">
        <f>E61*32%</f>
        <v>20.102400000000003</v>
      </c>
      <c r="F62" s="396"/>
      <c r="G62" s="97"/>
    </row>
    <row r="63" spans="1:7" ht="18" customHeight="1">
      <c r="A63" s="84"/>
      <c r="B63" s="416"/>
      <c r="C63" s="347"/>
      <c r="D63" s="323"/>
      <c r="E63" s="324"/>
      <c r="F63" s="459"/>
      <c r="G63" s="97"/>
    </row>
    <row r="64" spans="1:7" ht="18" customHeight="1">
      <c r="A64" s="105" t="s">
        <v>292</v>
      </c>
      <c r="B64" s="239" t="s">
        <v>307</v>
      </c>
      <c r="C64" s="432" t="s">
        <v>308</v>
      </c>
      <c r="D64" s="471"/>
      <c r="E64" s="324"/>
      <c r="F64" s="476"/>
      <c r="G64" s="97"/>
    </row>
    <row r="65" spans="1:7" ht="18" customHeight="1">
      <c r="A65" s="105"/>
      <c r="B65" s="239"/>
      <c r="C65" s="432"/>
      <c r="D65" s="471"/>
      <c r="E65" s="324"/>
      <c r="F65" s="476"/>
      <c r="G65" s="97"/>
    </row>
    <row r="66" spans="1:7" ht="18" customHeight="1">
      <c r="A66" s="105" t="s">
        <v>294</v>
      </c>
      <c r="B66" s="416" t="s">
        <v>13</v>
      </c>
      <c r="C66" s="434" t="s">
        <v>310</v>
      </c>
      <c r="D66" s="323"/>
      <c r="E66" s="324"/>
      <c r="F66" s="1"/>
      <c r="G66" s="97"/>
    </row>
    <row r="67" spans="1:7" ht="18" customHeight="1">
      <c r="A67" s="105" t="s">
        <v>296</v>
      </c>
      <c r="B67" s="416" t="s">
        <v>205</v>
      </c>
      <c r="C67" s="435" t="s">
        <v>312</v>
      </c>
      <c r="D67" s="323"/>
      <c r="E67" s="324"/>
      <c r="F67" s="1"/>
      <c r="G67" s="97"/>
    </row>
    <row r="68" spans="1:7" ht="33" customHeight="1">
      <c r="A68" s="105" t="s">
        <v>374</v>
      </c>
      <c r="B68" s="415"/>
      <c r="C68" s="347" t="s">
        <v>314</v>
      </c>
      <c r="D68" s="82" t="s">
        <v>251</v>
      </c>
      <c r="E68" s="324">
        <f>E76*1%</f>
        <v>0.34332066821500007</v>
      </c>
      <c r="F68" s="453"/>
      <c r="G68" s="97"/>
    </row>
    <row r="69" spans="1:7" ht="18" customHeight="1">
      <c r="A69" s="105" t="s">
        <v>298</v>
      </c>
      <c r="B69" s="416" t="s">
        <v>209</v>
      </c>
      <c r="C69" s="435" t="s">
        <v>316</v>
      </c>
      <c r="D69" s="323"/>
      <c r="E69" s="324"/>
      <c r="F69" s="2"/>
      <c r="G69" s="97"/>
    </row>
    <row r="70" spans="1:7" ht="33.75" customHeight="1">
      <c r="A70" s="105" t="s">
        <v>299</v>
      </c>
      <c r="B70" s="415"/>
      <c r="C70" s="347" t="s">
        <v>314</v>
      </c>
      <c r="D70" s="82" t="s">
        <v>251</v>
      </c>
      <c r="E70" s="324">
        <f>E76*1%</f>
        <v>0.34332066821500007</v>
      </c>
      <c r="F70" s="2"/>
      <c r="G70" s="97"/>
    </row>
    <row r="71" spans="1:7" s="75" customFormat="1" ht="18" customHeight="1">
      <c r="A71" s="105" t="s">
        <v>301</v>
      </c>
      <c r="B71" s="416" t="s">
        <v>17</v>
      </c>
      <c r="C71" s="434" t="s">
        <v>319</v>
      </c>
      <c r="D71" s="436"/>
      <c r="E71" s="324"/>
      <c r="F71" s="1"/>
      <c r="G71" s="97"/>
    </row>
    <row r="72" spans="1:7" s="75" customFormat="1" ht="18" customHeight="1">
      <c r="A72" s="105" t="s">
        <v>304</v>
      </c>
      <c r="B72" s="416" t="s">
        <v>20</v>
      </c>
      <c r="C72" s="435" t="s">
        <v>321</v>
      </c>
      <c r="D72" s="436"/>
      <c r="E72" s="324"/>
      <c r="F72" s="459"/>
      <c r="G72" s="97"/>
    </row>
    <row r="73" spans="1:7" s="75" customFormat="1" ht="36" customHeight="1">
      <c r="A73" s="105" t="s">
        <v>306</v>
      </c>
      <c r="B73" s="415"/>
      <c r="C73" s="347" t="s">
        <v>323</v>
      </c>
      <c r="D73" s="82" t="s">
        <v>251</v>
      </c>
      <c r="E73" s="324">
        <f>E76*1%</f>
        <v>0.34332066821500007</v>
      </c>
      <c r="F73" s="2"/>
      <c r="G73" s="97"/>
    </row>
    <row r="74" spans="1:7" s="75" customFormat="1" ht="18" customHeight="1">
      <c r="A74" s="105" t="s">
        <v>309</v>
      </c>
      <c r="B74" s="416" t="s">
        <v>224</v>
      </c>
      <c r="C74" s="434" t="s">
        <v>325</v>
      </c>
      <c r="D74" s="436"/>
      <c r="E74" s="324"/>
      <c r="F74" s="459"/>
      <c r="G74" s="97"/>
    </row>
    <row r="75" spans="1:7" ht="18" customHeight="1">
      <c r="A75" s="105" t="s">
        <v>311</v>
      </c>
      <c r="B75" s="415"/>
      <c r="C75" s="435" t="s">
        <v>327</v>
      </c>
      <c r="D75" s="436"/>
      <c r="E75" s="324"/>
      <c r="F75" s="477"/>
      <c r="G75" s="97"/>
    </row>
    <row r="76" spans="1:7" s="75" customFormat="1" ht="18" customHeight="1">
      <c r="A76" s="105" t="s">
        <v>313</v>
      </c>
      <c r="B76" s="415"/>
      <c r="C76" s="437" t="s">
        <v>329</v>
      </c>
      <c r="D76" s="323" t="s">
        <v>207</v>
      </c>
      <c r="E76" s="324">
        <f>34332066.8215/1000^2</f>
        <v>34.332066821500007</v>
      </c>
      <c r="F76" s="396"/>
      <c r="G76" s="97"/>
    </row>
    <row r="77" spans="1:7" s="50" customFormat="1" ht="18" customHeight="1">
      <c r="A77" s="105"/>
      <c r="B77" s="207"/>
      <c r="C77" s="438"/>
      <c r="D77" s="105"/>
      <c r="E77" s="124"/>
      <c r="F77" s="476"/>
      <c r="G77" s="97"/>
    </row>
    <row r="78" spans="1:7" ht="38.25" customHeight="1">
      <c r="A78" s="105" t="s">
        <v>315</v>
      </c>
      <c r="B78" s="239" t="s">
        <v>331</v>
      </c>
      <c r="C78" s="73" t="s">
        <v>332</v>
      </c>
      <c r="D78" s="323"/>
      <c r="E78" s="324"/>
      <c r="F78" s="459"/>
      <c r="G78" s="97"/>
    </row>
    <row r="79" spans="1:7" ht="18" customHeight="1">
      <c r="A79" s="105" t="s">
        <v>317</v>
      </c>
      <c r="B79" s="77" t="s">
        <v>334</v>
      </c>
      <c r="C79" s="247" t="s">
        <v>335</v>
      </c>
      <c r="D79" s="82"/>
      <c r="E79" s="324"/>
      <c r="F79" s="459"/>
      <c r="G79" s="97"/>
    </row>
    <row r="80" spans="1:7" ht="18" customHeight="1">
      <c r="A80" s="105" t="s">
        <v>318</v>
      </c>
      <c r="B80" s="77"/>
      <c r="C80" s="422" t="s">
        <v>337</v>
      </c>
      <c r="D80" s="82" t="s">
        <v>251</v>
      </c>
      <c r="E80" s="324">
        <f>E73</f>
        <v>0.34332066821500007</v>
      </c>
      <c r="F80" s="453"/>
      <c r="G80" s="97"/>
    </row>
    <row r="81" spans="1:7" ht="18" customHeight="1">
      <c r="A81" s="105" t="s">
        <v>320</v>
      </c>
      <c r="B81" s="77"/>
      <c r="C81" s="422" t="s">
        <v>339</v>
      </c>
      <c r="D81" s="82" t="s">
        <v>251</v>
      </c>
      <c r="E81" s="324">
        <f>E80*10%</f>
        <v>3.4332066821500008E-2</v>
      </c>
      <c r="F81" s="396"/>
      <c r="G81" s="97"/>
    </row>
    <row r="82" spans="1:7" ht="18" customHeight="1">
      <c r="A82" s="105"/>
      <c r="B82" s="409"/>
      <c r="C82" s="347"/>
      <c r="D82" s="436"/>
      <c r="E82" s="324"/>
      <c r="F82" s="447"/>
      <c r="G82" s="97"/>
    </row>
    <row r="83" spans="1:7" ht="18" customHeight="1">
      <c r="A83" s="105" t="s">
        <v>322</v>
      </c>
      <c r="B83" s="239" t="s">
        <v>341</v>
      </c>
      <c r="C83" s="432" t="s">
        <v>342</v>
      </c>
      <c r="D83" s="436"/>
      <c r="E83" s="324"/>
      <c r="F83" s="456"/>
      <c r="G83" s="97"/>
    </row>
    <row r="84" spans="1:7" ht="18" customHeight="1">
      <c r="A84" s="105" t="s">
        <v>324</v>
      </c>
      <c r="B84" s="416" t="s">
        <v>344</v>
      </c>
      <c r="C84" s="434" t="s">
        <v>345</v>
      </c>
      <c r="D84" s="436"/>
      <c r="E84" s="66"/>
      <c r="F84" s="457"/>
      <c r="G84" s="97"/>
    </row>
    <row r="85" spans="1:7" ht="18" customHeight="1">
      <c r="A85" s="105" t="s">
        <v>326</v>
      </c>
      <c r="B85" s="409"/>
      <c r="C85" s="435" t="s">
        <v>346</v>
      </c>
      <c r="D85" s="436"/>
      <c r="E85" s="324"/>
      <c r="F85" s="457"/>
      <c r="G85" s="97"/>
    </row>
    <row r="86" spans="1:7" ht="50.25" customHeight="1">
      <c r="A86" s="105" t="s">
        <v>328</v>
      </c>
      <c r="B86" s="409"/>
      <c r="C86" s="347" t="s">
        <v>347</v>
      </c>
      <c r="D86" s="323" t="s">
        <v>156</v>
      </c>
      <c r="E86" s="324">
        <v>4</v>
      </c>
      <c r="F86" s="456"/>
      <c r="G86" s="97"/>
    </row>
    <row r="87" spans="1:7" ht="18" customHeight="1">
      <c r="A87" s="622" t="s">
        <v>88</v>
      </c>
      <c r="B87" s="623"/>
      <c r="C87" s="623"/>
      <c r="D87" s="356"/>
      <c r="E87" s="470"/>
      <c r="F87" s="475"/>
      <c r="G87" s="99"/>
    </row>
    <row r="88" spans="1:7" ht="18" customHeight="1">
      <c r="A88" s="622" t="s">
        <v>89</v>
      </c>
      <c r="B88" s="623"/>
      <c r="C88" s="623"/>
      <c r="D88" s="356"/>
      <c r="E88" s="470"/>
      <c r="F88" s="475"/>
      <c r="G88" s="99"/>
    </row>
    <row r="89" spans="1:7" ht="18" customHeight="1">
      <c r="A89" s="105" t="s">
        <v>330</v>
      </c>
      <c r="B89" s="441" t="s">
        <v>348</v>
      </c>
      <c r="C89" s="432" t="s">
        <v>349</v>
      </c>
      <c r="D89" s="323"/>
      <c r="E89" s="324"/>
      <c r="F89" s="457"/>
      <c r="G89" s="97"/>
    </row>
    <row r="90" spans="1:7" ht="18" customHeight="1">
      <c r="A90" s="105"/>
      <c r="B90" s="441"/>
      <c r="C90" s="432"/>
      <c r="D90" s="323"/>
      <c r="E90" s="324"/>
      <c r="F90" s="457"/>
      <c r="G90" s="97"/>
    </row>
    <row r="91" spans="1:7" ht="18" customHeight="1">
      <c r="A91" s="105" t="s">
        <v>333</v>
      </c>
      <c r="B91" s="416" t="s">
        <v>350</v>
      </c>
      <c r="C91" s="247" t="s">
        <v>351</v>
      </c>
      <c r="D91" s="323"/>
      <c r="E91" s="324"/>
      <c r="F91" s="456"/>
      <c r="G91" s="97"/>
    </row>
    <row r="92" spans="1:7" ht="18" customHeight="1">
      <c r="A92" s="105"/>
      <c r="B92" s="416"/>
      <c r="C92" s="247"/>
      <c r="D92" s="323"/>
      <c r="E92" s="324"/>
      <c r="F92" s="456"/>
      <c r="G92" s="97"/>
    </row>
    <row r="93" spans="1:7" ht="18" customHeight="1">
      <c r="A93" s="105" t="s">
        <v>336</v>
      </c>
      <c r="B93" s="416" t="s">
        <v>352</v>
      </c>
      <c r="C93" s="435" t="s">
        <v>353</v>
      </c>
      <c r="D93" s="323"/>
      <c r="E93" s="324"/>
      <c r="F93" s="447"/>
      <c r="G93" s="97"/>
    </row>
    <row r="94" spans="1:7" ht="27.6">
      <c r="A94" s="105" t="s">
        <v>338</v>
      </c>
      <c r="B94" s="416"/>
      <c r="C94" s="429" t="s">
        <v>1693</v>
      </c>
      <c r="D94" s="323" t="s">
        <v>207</v>
      </c>
      <c r="E94" s="324">
        <f>((51584400+35193600)*2)/1000^2</f>
        <v>173.55600000000001</v>
      </c>
      <c r="F94" s="456"/>
      <c r="G94" s="97"/>
    </row>
    <row r="95" spans="1:7">
      <c r="A95" s="105" t="s">
        <v>340</v>
      </c>
      <c r="B95" s="416"/>
      <c r="C95" s="429" t="s">
        <v>1694</v>
      </c>
      <c r="D95" s="323" t="s">
        <v>207</v>
      </c>
      <c r="E95" s="324">
        <f>E94</f>
        <v>173.55600000000001</v>
      </c>
      <c r="F95" s="456"/>
      <c r="G95" s="97"/>
    </row>
    <row r="96" spans="1:7" ht="27.6">
      <c r="A96" s="105" t="s">
        <v>343</v>
      </c>
      <c r="B96" s="416"/>
      <c r="C96" s="429" t="s">
        <v>1695</v>
      </c>
      <c r="D96" s="323" t="s">
        <v>207</v>
      </c>
      <c r="E96" s="324">
        <f>((11360+6783.1483)*2*675)/1000^2</f>
        <v>24.493250205000002</v>
      </c>
      <c r="F96" s="456"/>
      <c r="G96" s="97"/>
    </row>
    <row r="97" spans="1:7">
      <c r="A97" s="105"/>
      <c r="B97" s="416"/>
      <c r="C97" s="429"/>
      <c r="D97" s="323"/>
      <c r="E97" s="324"/>
      <c r="F97" s="456"/>
      <c r="G97" s="97"/>
    </row>
    <row r="98" spans="1:7">
      <c r="A98" s="105" t="s">
        <v>1696</v>
      </c>
      <c r="B98" s="416"/>
      <c r="C98" s="429" t="s">
        <v>1697</v>
      </c>
      <c r="D98" s="323"/>
      <c r="E98" s="324"/>
      <c r="F98" s="456"/>
      <c r="G98" s="97"/>
    </row>
    <row r="99" spans="1:7">
      <c r="A99" s="105" t="s">
        <v>1698</v>
      </c>
      <c r="B99" s="416"/>
      <c r="C99" s="429" t="s">
        <v>1699</v>
      </c>
      <c r="D99" s="323"/>
      <c r="E99" s="324"/>
      <c r="F99" s="456"/>
      <c r="G99" s="97"/>
    </row>
    <row r="100" spans="1:7">
      <c r="A100" s="105" t="s">
        <v>1700</v>
      </c>
      <c r="B100" s="416"/>
      <c r="C100" s="429" t="s">
        <v>1701</v>
      </c>
      <c r="D100" s="323" t="s">
        <v>207</v>
      </c>
      <c r="E100" s="324">
        <f>3.3*(13*2+8.2*2)*1.2</f>
        <v>167.90399999999997</v>
      </c>
      <c r="F100" s="456"/>
      <c r="G100" s="97"/>
    </row>
    <row r="101" spans="1:7">
      <c r="A101" s="105" t="s">
        <v>1702</v>
      </c>
      <c r="B101" s="416"/>
      <c r="C101" s="429" t="s">
        <v>1703</v>
      </c>
      <c r="D101" s="323"/>
      <c r="E101" s="324"/>
      <c r="F101" s="456"/>
      <c r="G101" s="97"/>
    </row>
    <row r="102" spans="1:7">
      <c r="A102" s="105" t="s">
        <v>1704</v>
      </c>
      <c r="B102" s="416"/>
      <c r="C102" s="429" t="s">
        <v>1705</v>
      </c>
      <c r="D102" s="323" t="s">
        <v>303</v>
      </c>
      <c r="E102" s="324">
        <f>3.3*(13*2+8.2*2)*2</f>
        <v>279.83999999999997</v>
      </c>
      <c r="F102" s="456"/>
      <c r="G102" s="97"/>
    </row>
    <row r="103" spans="1:7">
      <c r="A103" s="105" t="s">
        <v>1706</v>
      </c>
      <c r="B103" s="416"/>
      <c r="C103" s="429" t="s">
        <v>1707</v>
      </c>
      <c r="D103" s="323"/>
      <c r="E103" s="324"/>
      <c r="F103" s="456"/>
      <c r="G103" s="97"/>
    </row>
    <row r="104" spans="1:7">
      <c r="A104" s="105" t="s">
        <v>1708</v>
      </c>
      <c r="B104" s="416"/>
      <c r="C104" s="429" t="s">
        <v>1709</v>
      </c>
      <c r="D104" s="323" t="s">
        <v>303</v>
      </c>
      <c r="E104" s="324">
        <v>2</v>
      </c>
      <c r="F104" s="456"/>
      <c r="G104" s="97"/>
    </row>
    <row r="105" spans="1:7">
      <c r="A105" s="105"/>
      <c r="B105" s="416"/>
      <c r="C105" s="429"/>
      <c r="D105" s="323"/>
      <c r="E105" s="324"/>
      <c r="F105" s="456"/>
      <c r="G105" s="97"/>
    </row>
    <row r="106" spans="1:7">
      <c r="A106" s="105" t="s">
        <v>1728</v>
      </c>
      <c r="B106" s="416"/>
      <c r="C106" s="429" t="s">
        <v>1711</v>
      </c>
      <c r="D106" s="323"/>
      <c r="E106" s="324"/>
      <c r="F106" s="456"/>
      <c r="G106" s="97"/>
    </row>
    <row r="107" spans="1:7">
      <c r="A107" s="105" t="s">
        <v>1729</v>
      </c>
      <c r="B107" s="416"/>
      <c r="C107" s="429" t="s">
        <v>1713</v>
      </c>
      <c r="D107" s="323" t="s">
        <v>207</v>
      </c>
      <c r="E107" s="324">
        <f>3.3*(13*2+8.2*2)*1.1</f>
        <v>153.91200000000001</v>
      </c>
      <c r="F107" s="456"/>
      <c r="G107" s="97"/>
    </row>
    <row r="108" spans="1:7">
      <c r="A108" s="105"/>
      <c r="B108" s="416"/>
      <c r="C108" s="429"/>
      <c r="D108" s="323"/>
      <c r="E108" s="324"/>
      <c r="F108" s="456"/>
      <c r="G108" s="97"/>
    </row>
    <row r="109" spans="1:7">
      <c r="A109" s="105" t="s">
        <v>1730</v>
      </c>
      <c r="B109" s="416"/>
      <c r="C109" s="429" t="s">
        <v>1715</v>
      </c>
      <c r="D109" s="323"/>
      <c r="E109" s="324"/>
      <c r="F109" s="456"/>
      <c r="G109" s="97"/>
    </row>
    <row r="110" spans="1:7" ht="41.4">
      <c r="A110" s="105" t="s">
        <v>1731</v>
      </c>
      <c r="B110" s="416"/>
      <c r="C110" s="429" t="s">
        <v>1717</v>
      </c>
      <c r="D110" s="323" t="s">
        <v>207</v>
      </c>
      <c r="E110" s="324">
        <f>E107</f>
        <v>153.91200000000001</v>
      </c>
      <c r="F110" s="456"/>
      <c r="G110" s="97"/>
    </row>
    <row r="111" spans="1:7" ht="18" customHeight="1">
      <c r="A111" s="105"/>
      <c r="B111" s="416"/>
      <c r="C111" s="435"/>
      <c r="D111" s="323"/>
      <c r="E111" s="324"/>
      <c r="F111" s="456"/>
      <c r="G111" s="97"/>
    </row>
    <row r="112" spans="1:7" ht="18" customHeight="1">
      <c r="A112" s="105" t="s">
        <v>1718</v>
      </c>
      <c r="B112" s="416" t="s">
        <v>354</v>
      </c>
      <c r="C112" s="434" t="s">
        <v>355</v>
      </c>
      <c r="D112" s="323"/>
      <c r="E112" s="324"/>
      <c r="F112" s="458"/>
      <c r="G112" s="97"/>
    </row>
    <row r="113" spans="1:7" ht="18" customHeight="1">
      <c r="A113" s="105"/>
      <c r="B113" s="416"/>
      <c r="C113" s="434"/>
      <c r="D113" s="323"/>
      <c r="E113" s="324"/>
      <c r="F113" s="458"/>
      <c r="G113" s="97"/>
    </row>
    <row r="114" spans="1:7" ht="18" customHeight="1">
      <c r="A114" s="105" t="s">
        <v>1732</v>
      </c>
      <c r="B114" s="416" t="s">
        <v>356</v>
      </c>
      <c r="C114" s="435" t="s">
        <v>357</v>
      </c>
      <c r="D114" s="323"/>
      <c r="E114" s="324"/>
      <c r="F114" s="458"/>
      <c r="G114" s="97"/>
    </row>
    <row r="115" spans="1:7" ht="66" customHeight="1">
      <c r="A115" s="105" t="s">
        <v>1733</v>
      </c>
      <c r="B115" s="425"/>
      <c r="C115" s="429" t="s">
        <v>358</v>
      </c>
      <c r="D115" s="323" t="s">
        <v>156</v>
      </c>
      <c r="E115" s="66">
        <v>3</v>
      </c>
      <c r="F115" s="456"/>
      <c r="G115" s="97"/>
    </row>
    <row r="116" spans="1:7" ht="27.6">
      <c r="A116" s="105" t="s">
        <v>1734</v>
      </c>
      <c r="B116" s="472"/>
      <c r="C116" s="429" t="s">
        <v>1719</v>
      </c>
      <c r="D116" s="323" t="s">
        <v>156</v>
      </c>
      <c r="E116" s="66">
        <v>4</v>
      </c>
      <c r="F116" s="1"/>
      <c r="G116" s="97"/>
    </row>
    <row r="117" spans="1:7">
      <c r="A117" s="473"/>
      <c r="B117" s="472"/>
      <c r="C117" s="429"/>
      <c r="D117" s="323"/>
      <c r="E117" s="66"/>
      <c r="F117" s="1"/>
      <c r="G117" s="97"/>
    </row>
    <row r="118" spans="1:7" ht="18" customHeight="1">
      <c r="A118" s="105" t="s">
        <v>1735</v>
      </c>
      <c r="B118" s="206" t="s">
        <v>359</v>
      </c>
      <c r="C118" s="443" t="s">
        <v>1546</v>
      </c>
      <c r="D118" s="82"/>
      <c r="E118" s="474"/>
      <c r="F118" s="459"/>
      <c r="G118" s="97"/>
    </row>
    <row r="119" spans="1:7" ht="18" customHeight="1">
      <c r="A119" s="105"/>
      <c r="B119" s="206"/>
      <c r="C119" s="443"/>
      <c r="D119" s="82"/>
      <c r="E119" s="474"/>
      <c r="F119" s="459"/>
      <c r="G119" s="97"/>
    </row>
    <row r="120" spans="1:7" ht="18" customHeight="1">
      <c r="A120" s="105" t="s">
        <v>1720</v>
      </c>
      <c r="B120" s="159"/>
      <c r="C120" s="429" t="s">
        <v>360</v>
      </c>
      <c r="D120" s="323" t="s">
        <v>156</v>
      </c>
      <c r="E120" s="324">
        <v>12</v>
      </c>
      <c r="F120" s="2"/>
      <c r="G120" s="97"/>
    </row>
    <row r="121" spans="1:7" ht="55.2">
      <c r="A121" s="105" t="s">
        <v>1722</v>
      </c>
      <c r="B121" s="208"/>
      <c r="C121" s="429" t="s">
        <v>1751</v>
      </c>
      <c r="D121" s="323" t="s">
        <v>303</v>
      </c>
      <c r="E121" s="124">
        <f>E61</f>
        <v>62.820000000000007</v>
      </c>
      <c r="F121" s="97"/>
      <c r="G121" s="97"/>
    </row>
    <row r="122" spans="1:7">
      <c r="A122" s="105"/>
      <c r="B122" s="208"/>
      <c r="C122" s="429"/>
      <c r="D122" s="323"/>
      <c r="E122" s="124"/>
      <c r="F122" s="97"/>
      <c r="G122" s="97"/>
    </row>
    <row r="123" spans="1:7">
      <c r="A123" s="105"/>
      <c r="B123" s="208"/>
      <c r="C123" s="429"/>
      <c r="D123" s="323"/>
      <c r="E123" s="124"/>
      <c r="F123" s="97"/>
      <c r="G123" s="97"/>
    </row>
    <row r="124" spans="1:7">
      <c r="A124" s="105"/>
      <c r="B124" s="208"/>
      <c r="C124" s="429"/>
      <c r="D124" s="323"/>
      <c r="E124" s="124"/>
      <c r="F124" s="97"/>
      <c r="G124" s="97"/>
    </row>
    <row r="125" spans="1:7">
      <c r="A125" s="622" t="s">
        <v>88</v>
      </c>
      <c r="B125" s="623"/>
      <c r="C125" s="623"/>
      <c r="D125" s="356"/>
      <c r="E125" s="470"/>
      <c r="F125" s="475"/>
      <c r="G125" s="99"/>
    </row>
    <row r="126" spans="1:7">
      <c r="A126" s="622" t="s">
        <v>89</v>
      </c>
      <c r="B126" s="623"/>
      <c r="C126" s="623"/>
      <c r="D126" s="356"/>
      <c r="E126" s="470"/>
      <c r="F126" s="475"/>
      <c r="G126" s="99"/>
    </row>
    <row r="127" spans="1:7">
      <c r="A127" s="460"/>
      <c r="B127" s="461"/>
      <c r="C127" s="461"/>
      <c r="D127" s="80"/>
      <c r="E127" s="348"/>
      <c r="F127" s="478"/>
      <c r="G127" s="479"/>
    </row>
    <row r="128" spans="1:7" ht="18" customHeight="1">
      <c r="A128" s="84" t="s">
        <v>1724</v>
      </c>
      <c r="B128" s="409"/>
      <c r="C128" s="462" t="s">
        <v>361</v>
      </c>
      <c r="D128" s="430"/>
      <c r="E128" s="66"/>
      <c r="F128" s="447"/>
      <c r="G128" s="1"/>
    </row>
    <row r="129" spans="1:7" ht="87.75" customHeight="1">
      <c r="A129" s="84" t="s">
        <v>1726</v>
      </c>
      <c r="B129" s="409"/>
      <c r="C129" s="429" t="s">
        <v>1752</v>
      </c>
      <c r="D129" s="323" t="s">
        <v>363</v>
      </c>
      <c r="E129" s="66">
        <v>1</v>
      </c>
      <c r="F129" s="2"/>
      <c r="G129" s="97"/>
    </row>
    <row r="130" spans="1:7">
      <c r="A130" s="460"/>
      <c r="B130" s="461"/>
      <c r="C130" s="461"/>
      <c r="D130" s="80"/>
      <c r="E130" s="348"/>
      <c r="F130" s="478"/>
      <c r="G130" s="479"/>
    </row>
    <row r="131" spans="1:7" ht="18" customHeight="1">
      <c r="A131" s="84" t="s">
        <v>1710</v>
      </c>
      <c r="B131" s="409"/>
      <c r="C131" s="462" t="s">
        <v>364</v>
      </c>
      <c r="D131" s="430"/>
      <c r="E131" s="66"/>
      <c r="F131" s="447"/>
      <c r="G131" s="1"/>
    </row>
    <row r="132" spans="1:7" ht="35.25" customHeight="1">
      <c r="A132" s="84" t="s">
        <v>1712</v>
      </c>
      <c r="B132" s="409"/>
      <c r="C132" s="347" t="s">
        <v>1548</v>
      </c>
      <c r="D132" s="323" t="s">
        <v>363</v>
      </c>
      <c r="E132" s="66">
        <v>1</v>
      </c>
      <c r="F132" s="2"/>
      <c r="G132" s="97"/>
    </row>
    <row r="133" spans="1:7" ht="32.25" customHeight="1">
      <c r="A133" s="84" t="s">
        <v>1714</v>
      </c>
      <c r="B133" s="409"/>
      <c r="C133" s="347" t="s">
        <v>1549</v>
      </c>
      <c r="D133" s="323" t="s">
        <v>363</v>
      </c>
      <c r="E133" s="66">
        <v>1</v>
      </c>
      <c r="F133" s="97"/>
      <c r="G133" s="97"/>
    </row>
    <row r="134" spans="1:7" ht="18" customHeight="1">
      <c r="A134" s="84"/>
      <c r="B134" s="409"/>
      <c r="C134" s="408"/>
      <c r="D134" s="436"/>
      <c r="E134" s="124"/>
      <c r="F134" s="447"/>
      <c r="G134" s="97"/>
    </row>
    <row r="135" spans="1:7" ht="18" customHeight="1">
      <c r="A135" s="84" t="s">
        <v>1716</v>
      </c>
      <c r="B135" s="409"/>
      <c r="C135" s="462" t="s">
        <v>365</v>
      </c>
      <c r="D135" s="436"/>
      <c r="E135" s="124"/>
      <c r="F135" s="459"/>
      <c r="G135" s="97"/>
    </row>
    <row r="136" spans="1:7" ht="18" customHeight="1">
      <c r="A136" s="84" t="s">
        <v>1736</v>
      </c>
      <c r="B136" s="429"/>
      <c r="C136" s="429" t="s">
        <v>1721</v>
      </c>
      <c r="D136" s="445" t="s">
        <v>207</v>
      </c>
      <c r="E136" s="445">
        <f>13*8.2*1.2</f>
        <v>127.91999999999999</v>
      </c>
      <c r="F136" s="480"/>
      <c r="G136" s="3"/>
    </row>
    <row r="137" spans="1:7" ht="18" customHeight="1">
      <c r="A137" s="84" t="s">
        <v>1737</v>
      </c>
      <c r="B137" s="429"/>
      <c r="C137" s="429" t="s">
        <v>1723</v>
      </c>
      <c r="D137" s="445" t="s">
        <v>207</v>
      </c>
      <c r="E137" s="445">
        <f>E136*1.58</f>
        <v>202.11359999999999</v>
      </c>
      <c r="F137" s="480"/>
      <c r="G137" s="385"/>
    </row>
    <row r="138" spans="1:7" ht="18" customHeight="1">
      <c r="A138" s="84" t="s">
        <v>1738</v>
      </c>
      <c r="B138" s="429"/>
      <c r="C138" s="429" t="s">
        <v>1725</v>
      </c>
      <c r="D138" s="445" t="s">
        <v>207</v>
      </c>
      <c r="E138" s="445">
        <f>3.3*(13*2+8.2*2)*1.1</f>
        <v>153.91200000000001</v>
      </c>
      <c r="F138" s="480"/>
      <c r="G138" s="385"/>
    </row>
    <row r="139" spans="1:7" ht="18" customHeight="1">
      <c r="A139" s="84" t="s">
        <v>1739</v>
      </c>
      <c r="B139" s="429"/>
      <c r="C139" s="429" t="s">
        <v>1727</v>
      </c>
      <c r="D139" s="445" t="s">
        <v>207</v>
      </c>
      <c r="E139" s="445">
        <f>3.3*(13*2+8.2*2)</f>
        <v>139.91999999999999</v>
      </c>
      <c r="F139" s="480"/>
      <c r="G139" s="97"/>
    </row>
    <row r="140" spans="1:7" ht="16.5" customHeight="1">
      <c r="A140" s="610" t="s">
        <v>1863</v>
      </c>
      <c r="B140" s="611"/>
      <c r="C140" s="611"/>
      <c r="D140" s="611"/>
      <c r="E140" s="611"/>
      <c r="F140" s="612"/>
      <c r="G140" s="446"/>
    </row>
  </sheetData>
  <mergeCells count="9">
    <mergeCell ref="A125:C125"/>
    <mergeCell ref="A126:C126"/>
    <mergeCell ref="A3:E3"/>
    <mergeCell ref="A140:F140"/>
    <mergeCell ref="A1:G1"/>
    <mergeCell ref="A49:C49"/>
    <mergeCell ref="A50:C50"/>
    <mergeCell ref="A87:C87"/>
    <mergeCell ref="A88:C88"/>
  </mergeCells>
  <phoneticPr fontId="11" type="noConversion"/>
  <pageMargins left="0.70866141732283505" right="0.70866141732283505" top="1.2992125984252001" bottom="0.74803149606299202" header="0.31496062992126" footer="0.31496062992126"/>
  <pageSetup paperSize="9" scale="73" firstPageNumber="14"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rowBreaks count="3" manualBreakCount="3">
    <brk id="49" max="16383" man="1"/>
    <brk id="87" max="16383" man="1"/>
    <brk id="125"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127B-33A9-47C6-AC15-87BD6F3DD083}">
  <sheetPr>
    <tabColor rgb="FFFFFF00"/>
  </sheetPr>
  <dimension ref="A1:K134"/>
  <sheetViews>
    <sheetView view="pageBreakPreview" topLeftCell="A55" zoomScaleNormal="100" zoomScaleSheetLayoutView="100" workbookViewId="0">
      <selection activeCell="J13" sqref="J13"/>
    </sheetView>
  </sheetViews>
  <sheetFormatPr defaultColWidth="9.109375" defaultRowHeight="13.8"/>
  <cols>
    <col min="1" max="1" width="6.6640625" style="88" customWidth="1"/>
    <col min="2" max="2" width="9.33203125" style="89" customWidth="1"/>
    <col min="3" max="3" width="45.33203125" style="90" customWidth="1"/>
    <col min="4" max="4" width="6.44140625" style="91" customWidth="1"/>
    <col min="5" max="5" width="7.33203125" style="92" customWidth="1"/>
    <col min="6" max="6" width="15" style="44" customWidth="1"/>
    <col min="7" max="7" width="20.33203125" style="44" customWidth="1"/>
    <col min="8" max="16384" width="9.109375" style="44"/>
  </cols>
  <sheetData>
    <row r="1" spans="1:11" ht="23.25" customHeight="1">
      <c r="A1" s="621" t="s">
        <v>375</v>
      </c>
      <c r="B1" s="621"/>
      <c r="C1" s="621"/>
      <c r="D1" s="621"/>
      <c r="E1" s="621"/>
      <c r="F1" s="621"/>
      <c r="G1" s="621"/>
    </row>
    <row r="2" spans="1:11" s="50" customFormat="1" ht="27.6">
      <c r="A2" s="45" t="s">
        <v>4</v>
      </c>
      <c r="B2" s="46" t="s">
        <v>5</v>
      </c>
      <c r="C2" s="45" t="s">
        <v>1</v>
      </c>
      <c r="D2" s="47" t="s">
        <v>6</v>
      </c>
      <c r="E2" s="48" t="s">
        <v>7</v>
      </c>
      <c r="F2" s="49" t="s">
        <v>8</v>
      </c>
      <c r="G2" s="49" t="s">
        <v>9</v>
      </c>
    </row>
    <row r="3" spans="1:11" ht="13.5" customHeight="1">
      <c r="A3" s="624" t="s">
        <v>1864</v>
      </c>
      <c r="B3" s="625"/>
      <c r="C3" s="625"/>
      <c r="D3" s="625"/>
      <c r="E3" s="626"/>
      <c r="F3" s="192"/>
      <c r="G3" s="193"/>
    </row>
    <row r="4" spans="1:11" ht="13.5" customHeight="1">
      <c r="A4" s="316"/>
      <c r="B4" s="317"/>
      <c r="C4" s="317"/>
      <c r="D4" s="317"/>
      <c r="E4" s="318"/>
      <c r="F4" s="319"/>
      <c r="G4" s="320"/>
    </row>
    <row r="5" spans="1:11" ht="51.75" customHeight="1">
      <c r="A5" s="401">
        <v>2.2999999999999998</v>
      </c>
      <c r="B5" s="402"/>
      <c r="C5" s="403" t="str">
        <f>A1</f>
        <v>SCHEDULE 2.3 : CIVIL ENGINEERING - NEW MCC FOR BELT PRESS SET C (4 no. off)</v>
      </c>
      <c r="D5" s="80"/>
      <c r="E5" s="404"/>
      <c r="F5" s="390"/>
      <c r="G5" s="391"/>
    </row>
    <row r="6" spans="1:11" ht="18" customHeight="1">
      <c r="A6" s="401"/>
      <c r="B6" s="402"/>
      <c r="C6" s="403" t="s">
        <v>376</v>
      </c>
      <c r="D6" s="80"/>
      <c r="E6" s="404"/>
      <c r="F6" s="390"/>
      <c r="G6" s="391"/>
    </row>
    <row r="7" spans="1:11" ht="18" customHeight="1">
      <c r="A7" s="105"/>
      <c r="B7" s="321" t="s">
        <v>200</v>
      </c>
      <c r="C7" s="405" t="s">
        <v>201</v>
      </c>
      <c r="D7" s="323"/>
      <c r="E7" s="406"/>
      <c r="F7" s="390"/>
      <c r="G7" s="391"/>
    </row>
    <row r="8" spans="1:11" s="75" customFormat="1" ht="18" customHeight="1">
      <c r="A8" s="105" t="s">
        <v>377</v>
      </c>
      <c r="B8" s="206" t="s">
        <v>13</v>
      </c>
      <c r="C8" s="212" t="s">
        <v>203</v>
      </c>
      <c r="D8" s="323"/>
      <c r="E8" s="406"/>
      <c r="F8" s="390"/>
      <c r="G8" s="391"/>
    </row>
    <row r="9" spans="1:11" ht="18" customHeight="1">
      <c r="A9" s="105" t="s">
        <v>378</v>
      </c>
      <c r="B9" s="207" t="s">
        <v>205</v>
      </c>
      <c r="C9" s="212" t="s">
        <v>206</v>
      </c>
      <c r="D9" s="407" t="s">
        <v>207</v>
      </c>
      <c r="E9" s="324">
        <f>91686201.9659/1000^2</f>
        <v>91.686201965899997</v>
      </c>
      <c r="F9" s="448"/>
      <c r="G9" s="266"/>
      <c r="H9" s="75"/>
      <c r="I9" s="75"/>
      <c r="J9" s="75"/>
      <c r="K9" s="75"/>
    </row>
    <row r="10" spans="1:11" ht="30" customHeight="1">
      <c r="A10" s="105" t="s">
        <v>379</v>
      </c>
      <c r="B10" s="207" t="s">
        <v>209</v>
      </c>
      <c r="C10" s="74" t="s">
        <v>210</v>
      </c>
      <c r="D10" s="407" t="s">
        <v>207</v>
      </c>
      <c r="E10" s="324">
        <f>E9</f>
        <v>91.686201965899997</v>
      </c>
      <c r="F10" s="448"/>
      <c r="G10" s="266"/>
      <c r="H10" s="75"/>
      <c r="I10" s="75"/>
      <c r="J10" s="75"/>
      <c r="K10" s="75"/>
    </row>
    <row r="11" spans="1:11" s="75" customFormat="1" ht="18" customHeight="1">
      <c r="A11" s="105" t="s">
        <v>380</v>
      </c>
      <c r="B11" s="206" t="s">
        <v>212</v>
      </c>
      <c r="C11" s="212" t="s">
        <v>213</v>
      </c>
      <c r="D11" s="408"/>
      <c r="E11" s="324"/>
      <c r="F11" s="448"/>
      <c r="G11" s="266"/>
    </row>
    <row r="12" spans="1:11" s="75" customFormat="1" ht="35.25" customHeight="1">
      <c r="A12" s="105" t="s">
        <v>381</v>
      </c>
      <c r="B12" s="409"/>
      <c r="C12" s="74" t="s">
        <v>1543</v>
      </c>
      <c r="D12" s="323" t="s">
        <v>215</v>
      </c>
      <c r="E12" s="324">
        <f>(26420799.9982/1000^2)*1.5</f>
        <v>39.631199997300001</v>
      </c>
      <c r="F12" s="448"/>
      <c r="G12" s="266"/>
    </row>
    <row r="13" spans="1:11" s="164" customFormat="1" ht="18" customHeight="1">
      <c r="A13" s="105" t="s">
        <v>382</v>
      </c>
      <c r="B13" s="206" t="s">
        <v>47</v>
      </c>
      <c r="C13" s="212" t="s">
        <v>1539</v>
      </c>
      <c r="D13" s="323"/>
      <c r="E13" s="324"/>
      <c r="F13" s="392"/>
      <c r="G13" s="266"/>
    </row>
    <row r="14" spans="1:11" s="164" customFormat="1" ht="18" customHeight="1">
      <c r="A14" s="105" t="s">
        <v>383</v>
      </c>
      <c r="B14" s="206"/>
      <c r="C14" s="198" t="s">
        <v>384</v>
      </c>
      <c r="D14" s="408"/>
      <c r="E14" s="324"/>
      <c r="F14" s="393"/>
      <c r="G14" s="266"/>
    </row>
    <row r="15" spans="1:11" s="75" customFormat="1" ht="18" customHeight="1">
      <c r="A15" s="105" t="s">
        <v>385</v>
      </c>
      <c r="B15" s="207"/>
      <c r="C15" s="198" t="s">
        <v>220</v>
      </c>
      <c r="D15" s="323" t="s">
        <v>215</v>
      </c>
      <c r="E15" s="324">
        <f>E12+(3553253.5528/1000^2)*1.5*4</f>
        <v>60.950721314100001</v>
      </c>
      <c r="F15" s="392"/>
      <c r="G15" s="266"/>
    </row>
    <row r="16" spans="1:11" s="75" customFormat="1" ht="18" customHeight="1">
      <c r="A16" s="105" t="s">
        <v>386</v>
      </c>
      <c r="B16" s="207"/>
      <c r="C16" s="198" t="s">
        <v>222</v>
      </c>
      <c r="D16" s="323" t="s">
        <v>215</v>
      </c>
      <c r="E16" s="324">
        <f>E15*0.5</f>
        <v>30.47536065705</v>
      </c>
      <c r="F16" s="392"/>
      <c r="G16" s="266"/>
    </row>
    <row r="17" spans="1:7" s="75" customFormat="1" ht="18" customHeight="1">
      <c r="A17" s="105" t="s">
        <v>387</v>
      </c>
      <c r="B17" s="77" t="s">
        <v>224</v>
      </c>
      <c r="C17" s="212" t="s">
        <v>225</v>
      </c>
      <c r="D17" s="323" t="s">
        <v>215</v>
      </c>
      <c r="E17" s="66">
        <f>(3553253.5528/1000^2)*1.5*4</f>
        <v>21.3195213168</v>
      </c>
      <c r="F17" s="392"/>
      <c r="G17" s="266"/>
    </row>
    <row r="18" spans="1:7" s="75" customFormat="1" ht="18" customHeight="1">
      <c r="A18" s="64"/>
      <c r="B18" s="410"/>
      <c r="C18" s="411"/>
      <c r="D18" s="84"/>
      <c r="E18" s="412"/>
      <c r="F18" s="449"/>
      <c r="G18" s="266"/>
    </row>
    <row r="19" spans="1:7" s="75" customFormat="1" ht="18" customHeight="1">
      <c r="A19" s="64" t="s">
        <v>454</v>
      </c>
      <c r="B19" s="208" t="s">
        <v>227</v>
      </c>
      <c r="C19" s="411" t="s">
        <v>228</v>
      </c>
      <c r="D19" s="413"/>
      <c r="E19" s="412"/>
      <c r="F19" s="449"/>
      <c r="G19" s="266"/>
    </row>
    <row r="20" spans="1:7" ht="18" customHeight="1">
      <c r="A20" s="64" t="s">
        <v>455</v>
      </c>
      <c r="B20" s="77">
        <v>8.1999999999999993</v>
      </c>
      <c r="C20" s="355" t="s">
        <v>230</v>
      </c>
      <c r="D20" s="413"/>
      <c r="E20" s="412"/>
      <c r="F20" s="449"/>
      <c r="G20" s="266"/>
    </row>
    <row r="21" spans="1:7" ht="18" customHeight="1">
      <c r="A21" s="64" t="s">
        <v>456</v>
      </c>
      <c r="B21" s="77" t="s">
        <v>161</v>
      </c>
      <c r="C21" s="414" t="s">
        <v>232</v>
      </c>
      <c r="D21" s="80"/>
      <c r="E21" s="173"/>
      <c r="F21" s="449"/>
      <c r="G21" s="266"/>
    </row>
    <row r="22" spans="1:7">
      <c r="A22" s="64" t="s">
        <v>457</v>
      </c>
      <c r="B22" s="415"/>
      <c r="C22" s="414" t="s">
        <v>1967</v>
      </c>
      <c r="D22" s="80" t="s">
        <v>207</v>
      </c>
      <c r="E22" s="173">
        <f>((3309000*2.5+2023500*2.5)/1000^2)*2.5</f>
        <v>33.328125</v>
      </c>
      <c r="F22" s="392"/>
      <c r="G22" s="266"/>
    </row>
    <row r="23" spans="1:7" ht="18" customHeight="1">
      <c r="A23" s="64" t="s">
        <v>458</v>
      </c>
      <c r="B23" s="77"/>
      <c r="C23" s="414" t="s">
        <v>1968</v>
      </c>
      <c r="D23" s="80" t="s">
        <v>207</v>
      </c>
      <c r="E23" s="173">
        <f>(1554990*4.5+826880*2.5)/1000^2</f>
        <v>9.0646550000000001</v>
      </c>
      <c r="F23" s="392"/>
      <c r="G23" s="266"/>
    </row>
    <row r="24" spans="1:7" ht="18" customHeight="1">
      <c r="A24" s="64" t="s">
        <v>459</v>
      </c>
      <c r="B24" s="77" t="s">
        <v>236</v>
      </c>
      <c r="C24" s="414" t="s">
        <v>1544</v>
      </c>
      <c r="D24" s="80"/>
      <c r="E24" s="173"/>
      <c r="F24" s="392"/>
      <c r="G24" s="266"/>
    </row>
    <row r="25" spans="1:7" ht="18" customHeight="1">
      <c r="A25" s="64" t="s">
        <v>388</v>
      </c>
      <c r="B25" s="415"/>
      <c r="C25" s="414" t="s">
        <v>238</v>
      </c>
      <c r="D25" s="80" t="s">
        <v>207</v>
      </c>
      <c r="E25" s="173">
        <f>(2062900.4*2.5+2765000*2.5)/1000^2</f>
        <v>12.069751</v>
      </c>
      <c r="F25" s="392"/>
      <c r="G25" s="266"/>
    </row>
    <row r="26" spans="1:7" ht="18" customHeight="1">
      <c r="A26" s="64" t="s">
        <v>389</v>
      </c>
      <c r="B26" s="415"/>
      <c r="C26" s="414" t="s">
        <v>240</v>
      </c>
      <c r="D26" s="80" t="s">
        <v>207</v>
      </c>
      <c r="E26" s="66">
        <f>(E53/0.2)*1.2</f>
        <v>112.81199999999998</v>
      </c>
      <c r="F26" s="392"/>
      <c r="G26" s="266"/>
    </row>
    <row r="27" spans="1:7" ht="14.25" customHeight="1">
      <c r="A27" s="64"/>
      <c r="B27" s="416"/>
      <c r="C27" s="411"/>
      <c r="D27" s="413"/>
      <c r="E27" s="66"/>
      <c r="F27" s="449"/>
      <c r="G27" s="266"/>
    </row>
    <row r="28" spans="1:7" ht="18" customHeight="1">
      <c r="A28" s="64" t="s">
        <v>390</v>
      </c>
      <c r="B28" s="416">
        <v>8.3000000000000007</v>
      </c>
      <c r="C28" s="411" t="s">
        <v>242</v>
      </c>
      <c r="D28" s="413"/>
      <c r="E28" s="66"/>
      <c r="F28" s="449"/>
      <c r="G28" s="266"/>
    </row>
    <row r="29" spans="1:7" ht="18" customHeight="1">
      <c r="A29" s="64" t="s">
        <v>391</v>
      </c>
      <c r="B29" s="416" t="s">
        <v>13</v>
      </c>
      <c r="C29" s="417" t="s">
        <v>244</v>
      </c>
      <c r="D29" s="413"/>
      <c r="E29" s="66"/>
      <c r="F29" s="449"/>
      <c r="G29" s="266"/>
    </row>
    <row r="30" spans="1:7" ht="18" customHeight="1">
      <c r="A30" s="64" t="s">
        <v>392</v>
      </c>
      <c r="B30" s="416"/>
      <c r="C30" s="418" t="s">
        <v>399</v>
      </c>
      <c r="D30" s="413"/>
      <c r="E30" s="66"/>
      <c r="F30" s="449"/>
      <c r="G30" s="266"/>
    </row>
    <row r="31" spans="1:7" ht="18" customHeight="1">
      <c r="A31" s="64" t="s">
        <v>393</v>
      </c>
      <c r="B31" s="57"/>
      <c r="C31" s="419" t="s">
        <v>250</v>
      </c>
      <c r="D31" s="80" t="s">
        <v>251</v>
      </c>
      <c r="E31" s="124">
        <f>E22*3%</f>
        <v>0.99984374999999992</v>
      </c>
      <c r="F31" s="392"/>
      <c r="G31" s="266"/>
    </row>
    <row r="32" spans="1:7" ht="18" customHeight="1">
      <c r="A32" s="64" t="s">
        <v>394</v>
      </c>
      <c r="B32" s="57"/>
      <c r="C32" s="419" t="s">
        <v>253</v>
      </c>
      <c r="D32" s="80" t="s">
        <v>251</v>
      </c>
      <c r="E32" s="124">
        <f>(E45/0.2)*2.5%</f>
        <v>0.83149000005250007</v>
      </c>
      <c r="F32" s="392"/>
      <c r="G32" s="266"/>
    </row>
    <row r="33" spans="1:7" ht="18" customHeight="1">
      <c r="A33" s="64" t="s">
        <v>395</v>
      </c>
      <c r="B33" s="415"/>
      <c r="C33" s="419" t="s">
        <v>255</v>
      </c>
      <c r="D33" s="80" t="s">
        <v>251</v>
      </c>
      <c r="E33" s="66">
        <f>(E45/0.2)*3%</f>
        <v>0.99778800006299995</v>
      </c>
      <c r="F33" s="392"/>
      <c r="G33" s="266"/>
    </row>
    <row r="34" spans="1:7" ht="18" customHeight="1">
      <c r="A34" s="64" t="s">
        <v>396</v>
      </c>
      <c r="B34" s="207"/>
      <c r="C34" s="419" t="s">
        <v>256</v>
      </c>
      <c r="D34" s="80" t="s">
        <v>251</v>
      </c>
      <c r="E34" s="66">
        <f>E26*2.5%</f>
        <v>2.8202999999999996</v>
      </c>
      <c r="F34" s="450"/>
      <c r="G34" s="266"/>
    </row>
    <row r="35" spans="1:7" ht="18" customHeight="1">
      <c r="A35" s="64" t="s">
        <v>397</v>
      </c>
      <c r="B35" s="420" t="s">
        <v>17</v>
      </c>
      <c r="C35" s="78" t="s">
        <v>258</v>
      </c>
      <c r="D35" s="80"/>
      <c r="E35" s="173"/>
      <c r="F35" s="449"/>
      <c r="G35" s="266"/>
    </row>
    <row r="36" spans="1:7" ht="18" customHeight="1">
      <c r="A36" s="64" t="s">
        <v>398</v>
      </c>
      <c r="B36" s="415"/>
      <c r="C36" s="355" t="s">
        <v>260</v>
      </c>
      <c r="D36" s="80"/>
      <c r="E36" s="421"/>
      <c r="F36" s="449"/>
      <c r="G36" s="266"/>
    </row>
    <row r="37" spans="1:7" ht="18" customHeight="1">
      <c r="A37" s="64" t="s">
        <v>460</v>
      </c>
      <c r="B37" s="77"/>
      <c r="C37" s="422" t="s">
        <v>1842</v>
      </c>
      <c r="D37" s="80" t="s">
        <v>207</v>
      </c>
      <c r="E37" s="421">
        <f>(2897681.4239+1433517.8434)/1000^2*1.5+10*2+11*1</f>
        <v>37.496798900949997</v>
      </c>
      <c r="F37" s="392"/>
      <c r="G37" s="266"/>
    </row>
    <row r="38" spans="1:7" ht="14.25" customHeight="1">
      <c r="A38" s="64"/>
      <c r="B38" s="77"/>
      <c r="C38" s="355"/>
      <c r="D38" s="413"/>
      <c r="E38" s="423"/>
      <c r="F38" s="449"/>
      <c r="G38" s="266"/>
    </row>
    <row r="39" spans="1:7" ht="18" customHeight="1">
      <c r="A39" s="64" t="s">
        <v>400</v>
      </c>
      <c r="B39" s="77">
        <v>8.4</v>
      </c>
      <c r="C39" s="411" t="s">
        <v>264</v>
      </c>
      <c r="D39" s="413"/>
      <c r="E39" s="173"/>
      <c r="F39" s="451"/>
      <c r="G39" s="266"/>
    </row>
    <row r="40" spans="1:7" ht="18" customHeight="1">
      <c r="A40" s="64" t="s">
        <v>401</v>
      </c>
      <c r="B40" s="77" t="s">
        <v>63</v>
      </c>
      <c r="C40" s="296" t="s">
        <v>266</v>
      </c>
      <c r="D40" s="413"/>
      <c r="E40" s="423"/>
      <c r="F40" s="449"/>
      <c r="G40" s="266"/>
    </row>
    <row r="41" spans="1:7" ht="18" customHeight="1">
      <c r="A41" s="64" t="s">
        <v>461</v>
      </c>
      <c r="B41" s="415"/>
      <c r="C41" s="296" t="s">
        <v>268</v>
      </c>
      <c r="D41" s="80" t="s">
        <v>215</v>
      </c>
      <c r="E41" s="424">
        <f>SUM(E95:E97)*3.2%</f>
        <v>9.5020415999871997</v>
      </c>
      <c r="F41" s="451"/>
      <c r="G41" s="266"/>
    </row>
    <row r="42" spans="1:7" ht="18" customHeight="1">
      <c r="A42" s="64" t="s">
        <v>402</v>
      </c>
      <c r="B42" s="77" t="s">
        <v>270</v>
      </c>
      <c r="C42" s="296" t="s">
        <v>271</v>
      </c>
      <c r="D42" s="413"/>
      <c r="E42" s="424"/>
      <c r="F42" s="449"/>
      <c r="G42" s="266"/>
    </row>
    <row r="43" spans="1:7" ht="12" customHeight="1">
      <c r="A43" s="64"/>
      <c r="B43" s="77"/>
      <c r="C43" s="296"/>
      <c r="D43" s="413"/>
      <c r="E43" s="424"/>
      <c r="F43" s="449"/>
      <c r="G43" s="266"/>
    </row>
    <row r="44" spans="1:7" ht="18" customHeight="1">
      <c r="A44" s="64" t="s">
        <v>403</v>
      </c>
      <c r="B44" s="415"/>
      <c r="C44" s="296" t="s">
        <v>411</v>
      </c>
      <c r="D44" s="408"/>
      <c r="E44" s="424"/>
      <c r="F44" s="449"/>
      <c r="G44" s="266"/>
    </row>
    <row r="45" spans="1:7" ht="18" customHeight="1">
      <c r="A45" s="64" t="s">
        <v>404</v>
      </c>
      <c r="B45" s="415"/>
      <c r="C45" s="422" t="s">
        <v>273</v>
      </c>
      <c r="D45" s="80" t="s">
        <v>215</v>
      </c>
      <c r="E45" s="424">
        <f>(59680400.0003-26420799.9982)/1000^2*0.2</f>
        <v>6.6519200004200005</v>
      </c>
      <c r="F45" s="392"/>
      <c r="G45" s="266"/>
    </row>
    <row r="46" spans="1:7" ht="18" customHeight="1">
      <c r="A46" s="64" t="s">
        <v>405</v>
      </c>
      <c r="B46" s="415"/>
      <c r="C46" s="422" t="s">
        <v>275</v>
      </c>
      <c r="D46" s="80" t="s">
        <v>215</v>
      </c>
      <c r="E46" s="424">
        <f>'[1]2.2 - Civil New MCC for 6 Belts'!E45</f>
        <v>0.76800000000000002</v>
      </c>
      <c r="F46" s="392"/>
      <c r="G46" s="266"/>
    </row>
    <row r="47" spans="1:7" ht="18" customHeight="1">
      <c r="A47" s="64"/>
      <c r="B47" s="415"/>
      <c r="C47" s="422"/>
      <c r="D47" s="80"/>
      <c r="E47" s="424"/>
      <c r="F47" s="392"/>
      <c r="G47" s="266"/>
    </row>
    <row r="48" spans="1:7" ht="18" customHeight="1">
      <c r="A48" s="627" t="s">
        <v>88</v>
      </c>
      <c r="B48" s="628"/>
      <c r="C48" s="628"/>
      <c r="D48" s="356"/>
      <c r="E48" s="357"/>
      <c r="F48" s="387"/>
      <c r="G48" s="270"/>
    </row>
    <row r="49" spans="1:7" ht="18" customHeight="1">
      <c r="A49" s="622" t="s">
        <v>89</v>
      </c>
      <c r="B49" s="623"/>
      <c r="C49" s="623"/>
      <c r="D49" s="356"/>
      <c r="E49" s="357"/>
      <c r="F49" s="387"/>
      <c r="G49" s="270"/>
    </row>
    <row r="50" spans="1:7" ht="18" customHeight="1">
      <c r="A50" s="460"/>
      <c r="B50" s="461"/>
      <c r="C50" s="461"/>
      <c r="D50" s="80"/>
      <c r="E50" s="404"/>
      <c r="F50" s="463"/>
      <c r="G50" s="464"/>
    </row>
    <row r="51" spans="1:7" ht="18" customHeight="1">
      <c r="A51" s="64" t="s">
        <v>406</v>
      </c>
      <c r="B51" s="415"/>
      <c r="C51" s="422" t="s">
        <v>277</v>
      </c>
      <c r="D51" s="80" t="s">
        <v>215</v>
      </c>
      <c r="E51" s="424">
        <f>(26420799.9982*0.2)/1000^2</f>
        <v>5.2841599996399999</v>
      </c>
      <c r="F51" s="392"/>
      <c r="G51" s="266"/>
    </row>
    <row r="52" spans="1:7" ht="18" customHeight="1">
      <c r="A52" s="64" t="s">
        <v>407</v>
      </c>
      <c r="B52" s="425"/>
      <c r="C52" s="422" t="s">
        <v>279</v>
      </c>
      <c r="D52" s="80" t="s">
        <v>215</v>
      </c>
      <c r="E52" s="424">
        <f>E37*0.2</f>
        <v>7.4993597801899998</v>
      </c>
      <c r="F52" s="392"/>
      <c r="G52" s="266"/>
    </row>
    <row r="53" spans="1:7" ht="18" customHeight="1">
      <c r="A53" s="64" t="s">
        <v>408</v>
      </c>
      <c r="B53" s="425"/>
      <c r="C53" s="422" t="s">
        <v>281</v>
      </c>
      <c r="D53" s="80" t="s">
        <v>215</v>
      </c>
      <c r="E53" s="424">
        <f>(2765000/1000^2)*6.8</f>
        <v>18.802</v>
      </c>
      <c r="F53" s="392"/>
      <c r="G53" s="266"/>
    </row>
    <row r="54" spans="1:7" ht="18" customHeight="1">
      <c r="A54" s="64" t="s">
        <v>409</v>
      </c>
      <c r="B54" s="218"/>
      <c r="C54" s="426" t="s">
        <v>283</v>
      </c>
      <c r="D54" s="80" t="s">
        <v>215</v>
      </c>
      <c r="E54" s="424">
        <f>( 21478807.3993/1000^2)*0.1</f>
        <v>2.1478807399300002</v>
      </c>
      <c r="F54" s="392"/>
      <c r="G54" s="266"/>
    </row>
    <row r="55" spans="1:7" ht="18" customHeight="1">
      <c r="A55" s="64"/>
      <c r="B55" s="218"/>
      <c r="C55" s="426"/>
      <c r="D55" s="80"/>
      <c r="E55" s="424"/>
      <c r="F55" s="392"/>
      <c r="G55" s="266"/>
    </row>
    <row r="56" spans="1:7" ht="18" customHeight="1">
      <c r="A56" s="105" t="s">
        <v>410</v>
      </c>
      <c r="B56" s="77" t="s">
        <v>86</v>
      </c>
      <c r="C56" s="355" t="s">
        <v>285</v>
      </c>
      <c r="D56" s="413"/>
      <c r="E56" s="424"/>
      <c r="F56" s="452"/>
      <c r="G56" s="266"/>
    </row>
    <row r="57" spans="1:7" ht="18" customHeight="1">
      <c r="A57" s="105" t="s">
        <v>412</v>
      </c>
      <c r="B57" s="415"/>
      <c r="C57" s="355" t="s">
        <v>287</v>
      </c>
      <c r="D57" s="413"/>
      <c r="E57" s="424"/>
      <c r="F57" s="452"/>
      <c r="G57" s="266"/>
    </row>
    <row r="58" spans="1:7" ht="18" customHeight="1">
      <c r="A58" s="105" t="s">
        <v>413</v>
      </c>
      <c r="B58" s="415"/>
      <c r="C58" s="414" t="s">
        <v>289</v>
      </c>
      <c r="D58" s="82" t="s">
        <v>251</v>
      </c>
      <c r="E58" s="219">
        <v>0.4</v>
      </c>
      <c r="F58" s="453"/>
      <c r="G58" s="97"/>
    </row>
    <row r="59" spans="1:7" ht="18" customHeight="1">
      <c r="A59" s="105" t="s">
        <v>414</v>
      </c>
      <c r="B59" s="415"/>
      <c r="C59" s="414" t="s">
        <v>291</v>
      </c>
      <c r="D59" s="80" t="s">
        <v>207</v>
      </c>
      <c r="E59" s="377">
        <f>E51/0.2</f>
        <v>26.4207999982</v>
      </c>
      <c r="F59" s="388"/>
      <c r="G59" s="266"/>
    </row>
    <row r="60" spans="1:7" ht="18" customHeight="1">
      <c r="A60" s="105" t="s">
        <v>415</v>
      </c>
      <c r="B60" s="416"/>
      <c r="C60" s="414" t="s">
        <v>293</v>
      </c>
      <c r="D60" s="80" t="s">
        <v>207</v>
      </c>
      <c r="E60" s="424">
        <f>E52/0.2</f>
        <v>37.496798900949997</v>
      </c>
      <c r="F60" s="388"/>
      <c r="G60" s="266"/>
    </row>
    <row r="61" spans="1:7" ht="18" customHeight="1">
      <c r="A61" s="105" t="s">
        <v>416</v>
      </c>
      <c r="B61" s="416"/>
      <c r="C61" s="414" t="s">
        <v>295</v>
      </c>
      <c r="D61" s="80" t="s">
        <v>207</v>
      </c>
      <c r="E61" s="424">
        <f>E53/0.2</f>
        <v>94.009999999999991</v>
      </c>
      <c r="F61" s="392"/>
      <c r="G61" s="266"/>
    </row>
    <row r="62" spans="1:7" ht="18" customHeight="1">
      <c r="A62" s="105" t="s">
        <v>1684</v>
      </c>
      <c r="B62" s="416"/>
      <c r="C62" s="429" t="s">
        <v>1545</v>
      </c>
      <c r="D62" s="80" t="s">
        <v>207</v>
      </c>
      <c r="E62" s="424">
        <f>E45/0.2</f>
        <v>33.259600002100001</v>
      </c>
      <c r="F62" s="392"/>
      <c r="G62" s="266"/>
    </row>
    <row r="63" spans="1:7" ht="18" customHeight="1">
      <c r="A63" s="105" t="s">
        <v>417</v>
      </c>
      <c r="B63" s="416">
        <v>8.5</v>
      </c>
      <c r="C63" s="429" t="s">
        <v>300</v>
      </c>
      <c r="D63" s="430"/>
      <c r="E63" s="428"/>
      <c r="F63" s="449"/>
      <c r="G63" s="266"/>
    </row>
    <row r="64" spans="1:7" ht="18" customHeight="1">
      <c r="A64" s="105" t="s">
        <v>418</v>
      </c>
      <c r="B64" s="416"/>
      <c r="C64" s="347" t="s">
        <v>302</v>
      </c>
      <c r="D64" s="430" t="s">
        <v>303</v>
      </c>
      <c r="E64" s="428">
        <f>10.48*2.5+6.46*2.5</f>
        <v>42.35</v>
      </c>
      <c r="F64" s="392"/>
      <c r="G64" s="266"/>
    </row>
    <row r="65" spans="1:7" ht="18" customHeight="1">
      <c r="A65" s="105" t="s">
        <v>419</v>
      </c>
      <c r="B65" s="416"/>
      <c r="C65" s="347" t="s">
        <v>305</v>
      </c>
      <c r="D65" s="430" t="s">
        <v>303</v>
      </c>
      <c r="E65" s="428">
        <f>E64*32%</f>
        <v>13.552000000000001</v>
      </c>
      <c r="F65" s="392"/>
      <c r="G65" s="266"/>
    </row>
    <row r="66" spans="1:7" ht="18" customHeight="1">
      <c r="A66" s="84"/>
      <c r="B66" s="416"/>
      <c r="C66" s="347"/>
      <c r="D66" s="430"/>
      <c r="E66" s="431"/>
      <c r="F66" s="449"/>
      <c r="G66" s="266"/>
    </row>
    <row r="67" spans="1:7" ht="18" customHeight="1">
      <c r="A67" s="105" t="s">
        <v>420</v>
      </c>
      <c r="B67" s="239" t="s">
        <v>307</v>
      </c>
      <c r="C67" s="432" t="s">
        <v>308</v>
      </c>
      <c r="D67" s="433"/>
      <c r="E67" s="324"/>
      <c r="F67" s="452"/>
      <c r="G67" s="266"/>
    </row>
    <row r="68" spans="1:7" ht="18" customHeight="1">
      <c r="A68" s="105" t="s">
        <v>421</v>
      </c>
      <c r="B68" s="416" t="s">
        <v>13</v>
      </c>
      <c r="C68" s="434" t="s">
        <v>310</v>
      </c>
      <c r="D68" s="430"/>
      <c r="E68" s="324"/>
      <c r="F68" s="4"/>
      <c r="G68" s="266"/>
    </row>
    <row r="69" spans="1:7" ht="18" customHeight="1">
      <c r="A69" s="105" t="s">
        <v>422</v>
      </c>
      <c r="B69" s="416" t="s">
        <v>205</v>
      </c>
      <c r="C69" s="435" t="s">
        <v>312</v>
      </c>
      <c r="D69" s="430"/>
      <c r="E69" s="324"/>
      <c r="F69" s="4"/>
      <c r="G69" s="266"/>
    </row>
    <row r="70" spans="1:7" ht="34.5" customHeight="1">
      <c r="A70" s="105" t="s">
        <v>423</v>
      </c>
      <c r="B70" s="415"/>
      <c r="C70" s="347" t="s">
        <v>314</v>
      </c>
      <c r="D70" s="80" t="s">
        <v>251</v>
      </c>
      <c r="E70" s="324">
        <f>E78*1%</f>
        <v>0.26420799998200001</v>
      </c>
      <c r="F70" s="388"/>
      <c r="G70" s="266"/>
    </row>
    <row r="71" spans="1:7" ht="18" customHeight="1">
      <c r="A71" s="105" t="s">
        <v>462</v>
      </c>
      <c r="B71" s="416" t="s">
        <v>209</v>
      </c>
      <c r="C71" s="435" t="s">
        <v>316</v>
      </c>
      <c r="D71" s="430"/>
      <c r="E71" s="324"/>
      <c r="F71" s="5"/>
      <c r="G71" s="266"/>
    </row>
    <row r="72" spans="1:7" ht="36" customHeight="1">
      <c r="A72" s="105" t="s">
        <v>424</v>
      </c>
      <c r="B72" s="415"/>
      <c r="C72" s="347" t="s">
        <v>314</v>
      </c>
      <c r="D72" s="80" t="s">
        <v>251</v>
      </c>
      <c r="E72" s="324">
        <f>E78*1%</f>
        <v>0.26420799998200001</v>
      </c>
      <c r="F72" s="5"/>
      <c r="G72" s="266"/>
    </row>
    <row r="73" spans="1:7" s="75" customFormat="1" ht="18" customHeight="1">
      <c r="A73" s="105" t="s">
        <v>425</v>
      </c>
      <c r="B73" s="416" t="s">
        <v>17</v>
      </c>
      <c r="C73" s="434" t="s">
        <v>319</v>
      </c>
      <c r="D73" s="436"/>
      <c r="E73" s="324"/>
      <c r="F73" s="4"/>
      <c r="G73" s="266"/>
    </row>
    <row r="74" spans="1:7" s="75" customFormat="1" ht="18" customHeight="1">
      <c r="A74" s="105" t="s">
        <v>426</v>
      </c>
      <c r="B74" s="416" t="s">
        <v>20</v>
      </c>
      <c r="C74" s="435" t="s">
        <v>321</v>
      </c>
      <c r="D74" s="436"/>
      <c r="E74" s="324"/>
      <c r="F74" s="449"/>
      <c r="G74" s="266"/>
    </row>
    <row r="75" spans="1:7" s="75" customFormat="1" ht="33.75" customHeight="1">
      <c r="A75" s="105" t="s">
        <v>427</v>
      </c>
      <c r="B75" s="415"/>
      <c r="C75" s="347" t="s">
        <v>323</v>
      </c>
      <c r="D75" s="80" t="s">
        <v>251</v>
      </c>
      <c r="E75" s="324">
        <f>E78*1%</f>
        <v>0.26420799998200001</v>
      </c>
      <c r="F75" s="6"/>
      <c r="G75" s="266"/>
    </row>
    <row r="76" spans="1:7" s="75" customFormat="1" ht="18" customHeight="1">
      <c r="A76" s="105" t="s">
        <v>428</v>
      </c>
      <c r="B76" s="416" t="s">
        <v>224</v>
      </c>
      <c r="C76" s="434" t="s">
        <v>325</v>
      </c>
      <c r="D76" s="413"/>
      <c r="E76" s="324"/>
      <c r="F76" s="449"/>
      <c r="G76" s="266"/>
    </row>
    <row r="77" spans="1:7" ht="18" customHeight="1">
      <c r="A77" s="105" t="s">
        <v>429</v>
      </c>
      <c r="B77" s="415"/>
      <c r="C77" s="435" t="s">
        <v>327</v>
      </c>
      <c r="D77" s="413"/>
      <c r="E77" s="324"/>
      <c r="F77" s="454"/>
      <c r="G77" s="266"/>
    </row>
    <row r="78" spans="1:7" s="75" customFormat="1" ht="18" customHeight="1">
      <c r="A78" s="105" t="s">
        <v>430</v>
      </c>
      <c r="B78" s="415"/>
      <c r="C78" s="437" t="s">
        <v>329</v>
      </c>
      <c r="D78" s="430" t="s">
        <v>207</v>
      </c>
      <c r="E78" s="324">
        <f>26420799.9982/1000^2</f>
        <v>26.4207999982</v>
      </c>
      <c r="F78" s="392"/>
      <c r="G78" s="266"/>
    </row>
    <row r="79" spans="1:7" s="50" customFormat="1" ht="18" customHeight="1">
      <c r="A79" s="105"/>
      <c r="B79" s="207"/>
      <c r="C79" s="438"/>
      <c r="D79" s="84"/>
      <c r="E79" s="124"/>
      <c r="F79" s="452"/>
      <c r="G79" s="266"/>
    </row>
    <row r="80" spans="1:7" ht="33.75" customHeight="1">
      <c r="A80" s="84" t="s">
        <v>431</v>
      </c>
      <c r="B80" s="125" t="s">
        <v>1676</v>
      </c>
      <c r="C80" s="73" t="s">
        <v>332</v>
      </c>
      <c r="D80" s="430"/>
      <c r="E80" s="324"/>
      <c r="F80" s="449"/>
      <c r="G80" s="266"/>
    </row>
    <row r="81" spans="1:7" ht="18" customHeight="1">
      <c r="A81" s="84" t="s">
        <v>432</v>
      </c>
      <c r="B81" s="77" t="s">
        <v>334</v>
      </c>
      <c r="C81" s="247" t="s">
        <v>335</v>
      </c>
      <c r="D81" s="80"/>
      <c r="E81" s="324"/>
      <c r="F81" s="449"/>
      <c r="G81" s="266"/>
    </row>
    <row r="82" spans="1:7" ht="18" customHeight="1">
      <c r="A82" s="84" t="s">
        <v>433</v>
      </c>
      <c r="B82" s="77"/>
      <c r="C82" s="422" t="s">
        <v>337</v>
      </c>
      <c r="D82" s="80" t="s">
        <v>251</v>
      </c>
      <c r="E82" s="324">
        <f>E75</f>
        <v>0.26420799998200001</v>
      </c>
      <c r="F82" s="388"/>
      <c r="G82" s="266"/>
    </row>
    <row r="83" spans="1:7" ht="18" customHeight="1">
      <c r="A83" s="84" t="s">
        <v>434</v>
      </c>
      <c r="B83" s="77"/>
      <c r="C83" s="422" t="s">
        <v>339</v>
      </c>
      <c r="D83" s="80" t="s">
        <v>251</v>
      </c>
      <c r="E83" s="324">
        <f>E82*10%</f>
        <v>2.6420799998200004E-2</v>
      </c>
      <c r="F83" s="392"/>
      <c r="G83" s="266"/>
    </row>
    <row r="84" spans="1:7" ht="18" customHeight="1">
      <c r="A84" s="84"/>
      <c r="B84" s="409"/>
      <c r="C84" s="347"/>
      <c r="D84" s="408"/>
      <c r="E84" s="431"/>
      <c r="F84" s="465"/>
      <c r="G84" s="266"/>
    </row>
    <row r="85" spans="1:7" ht="24.75" customHeight="1">
      <c r="A85" s="84" t="s">
        <v>435</v>
      </c>
      <c r="B85" s="239" t="s">
        <v>1677</v>
      </c>
      <c r="C85" s="432" t="s">
        <v>342</v>
      </c>
      <c r="D85" s="413"/>
      <c r="E85" s="431"/>
      <c r="F85" s="451"/>
      <c r="G85" s="266"/>
    </row>
    <row r="86" spans="1:7" ht="18" customHeight="1">
      <c r="A86" s="84" t="s">
        <v>436</v>
      </c>
      <c r="B86" s="416" t="s">
        <v>344</v>
      </c>
      <c r="C86" s="434" t="s">
        <v>345</v>
      </c>
      <c r="D86" s="408"/>
      <c r="E86" s="440"/>
      <c r="F86" s="455"/>
      <c r="G86" s="266"/>
    </row>
    <row r="87" spans="1:7" ht="18" customHeight="1">
      <c r="A87" s="84" t="s">
        <v>437</v>
      </c>
      <c r="B87" s="409"/>
      <c r="C87" s="435" t="s">
        <v>346</v>
      </c>
      <c r="D87" s="408"/>
      <c r="E87" s="431"/>
      <c r="F87" s="455"/>
      <c r="G87" s="266"/>
    </row>
    <row r="88" spans="1:7" ht="33.75" customHeight="1">
      <c r="A88" s="84" t="s">
        <v>438</v>
      </c>
      <c r="B88" s="409"/>
      <c r="C88" s="347" t="s">
        <v>347</v>
      </c>
      <c r="D88" s="323" t="s">
        <v>156</v>
      </c>
      <c r="E88" s="324">
        <v>4</v>
      </c>
      <c r="F88" s="456"/>
      <c r="G88" s="97"/>
    </row>
    <row r="89" spans="1:7" ht="21" customHeight="1">
      <c r="A89" s="84"/>
      <c r="B89" s="409"/>
      <c r="C89" s="347"/>
      <c r="D89" s="323"/>
      <c r="E89" s="324"/>
      <c r="F89" s="456"/>
      <c r="G89" s="97"/>
    </row>
    <row r="90" spans="1:7" ht="18" customHeight="1">
      <c r="A90" s="627" t="s">
        <v>88</v>
      </c>
      <c r="B90" s="628"/>
      <c r="C90" s="628"/>
      <c r="D90" s="356"/>
      <c r="E90" s="357"/>
      <c r="F90" s="387"/>
      <c r="G90" s="270"/>
    </row>
    <row r="91" spans="1:7" ht="18" customHeight="1">
      <c r="A91" s="622" t="s">
        <v>89</v>
      </c>
      <c r="B91" s="623"/>
      <c r="C91" s="623"/>
      <c r="D91" s="356"/>
      <c r="E91" s="357"/>
      <c r="F91" s="387"/>
      <c r="G91" s="270"/>
    </row>
    <row r="92" spans="1:7" ht="18" customHeight="1">
      <c r="A92" s="84" t="s">
        <v>439</v>
      </c>
      <c r="B92" s="441" t="s">
        <v>348</v>
      </c>
      <c r="C92" s="432" t="s">
        <v>349</v>
      </c>
      <c r="D92" s="323"/>
      <c r="E92" s="324"/>
      <c r="F92" s="457"/>
      <c r="G92" s="97"/>
    </row>
    <row r="93" spans="1:7" ht="18" customHeight="1">
      <c r="A93" s="84" t="s">
        <v>440</v>
      </c>
      <c r="B93" s="416" t="s">
        <v>350</v>
      </c>
      <c r="C93" s="247" t="s">
        <v>351</v>
      </c>
      <c r="D93" s="323"/>
      <c r="E93" s="324"/>
      <c r="F93" s="456"/>
      <c r="G93" s="97"/>
    </row>
    <row r="94" spans="1:7" ht="18" customHeight="1">
      <c r="A94" s="84" t="s">
        <v>441</v>
      </c>
      <c r="B94" s="416" t="s">
        <v>352</v>
      </c>
      <c r="C94" s="435" t="s">
        <v>353</v>
      </c>
      <c r="D94" s="323"/>
      <c r="E94" s="324"/>
      <c r="F94" s="447"/>
      <c r="G94" s="97"/>
    </row>
    <row r="95" spans="1:7" ht="27.6">
      <c r="A95" s="84" t="s">
        <v>442</v>
      </c>
      <c r="B95" s="416"/>
      <c r="C95" s="429" t="s">
        <v>1693</v>
      </c>
      <c r="D95" s="323" t="s">
        <v>207</v>
      </c>
      <c r="E95" s="324">
        <f>((43513599.9999+26873600)/1000^2)*2</f>
        <v>140.77439999980001</v>
      </c>
      <c r="F95" s="456"/>
      <c r="G95" s="97"/>
    </row>
    <row r="96" spans="1:7">
      <c r="A96" s="84" t="s">
        <v>443</v>
      </c>
      <c r="B96" s="416"/>
      <c r="C96" s="429" t="s">
        <v>1694</v>
      </c>
      <c r="D96" s="323" t="s">
        <v>207</v>
      </c>
      <c r="E96" s="324">
        <f>E95</f>
        <v>140.77439999980001</v>
      </c>
      <c r="F96" s="456"/>
      <c r="G96" s="97"/>
    </row>
    <row r="97" spans="1:7" ht="27.6">
      <c r="A97" s="84" t="s">
        <v>444</v>
      </c>
      <c r="B97" s="416"/>
      <c r="C97" s="429" t="s">
        <v>1695</v>
      </c>
      <c r="D97" s="323" t="s">
        <v>207</v>
      </c>
      <c r="E97" s="324">
        <f>((8.3+0.9)*2+(0.9+2.6+0.9))*0.675</f>
        <v>15.390000000000004</v>
      </c>
      <c r="F97" s="456"/>
      <c r="G97" s="97"/>
    </row>
    <row r="98" spans="1:7" ht="18" customHeight="1">
      <c r="A98" s="84"/>
      <c r="B98" s="207"/>
      <c r="C98" s="442"/>
      <c r="D98" s="105"/>
      <c r="E98" s="324"/>
      <c r="F98" s="458"/>
      <c r="G98" s="97"/>
    </row>
    <row r="99" spans="1:7" ht="18" customHeight="1">
      <c r="A99" s="105" t="s">
        <v>445</v>
      </c>
      <c r="B99" s="416"/>
      <c r="C99" s="429" t="s">
        <v>1697</v>
      </c>
      <c r="D99" s="323"/>
      <c r="E99" s="324"/>
      <c r="F99" s="458"/>
      <c r="G99" s="97"/>
    </row>
    <row r="100" spans="1:7" ht="18" customHeight="1">
      <c r="A100" s="105" t="s">
        <v>446</v>
      </c>
      <c r="B100" s="416"/>
      <c r="C100" s="429" t="s">
        <v>1699</v>
      </c>
      <c r="D100" s="323"/>
      <c r="E100" s="324"/>
      <c r="F100" s="458"/>
      <c r="G100" s="97"/>
    </row>
    <row r="101" spans="1:7" ht="18" customHeight="1">
      <c r="A101" s="105" t="s">
        <v>447</v>
      </c>
      <c r="B101" s="416"/>
      <c r="C101" s="429" t="s">
        <v>1701</v>
      </c>
      <c r="D101" s="323" t="s">
        <v>207</v>
      </c>
      <c r="E101" s="324">
        <f>3.3*(11*2+6.8*2)*1.2</f>
        <v>140.976</v>
      </c>
      <c r="F101" s="458"/>
      <c r="G101" s="97"/>
    </row>
    <row r="102" spans="1:7" ht="18" customHeight="1">
      <c r="A102" s="105" t="s">
        <v>448</v>
      </c>
      <c r="B102" s="416"/>
      <c r="C102" s="429" t="s">
        <v>1703</v>
      </c>
      <c r="D102" s="323"/>
      <c r="E102" s="324"/>
      <c r="F102" s="458"/>
      <c r="G102" s="97"/>
    </row>
    <row r="103" spans="1:7" ht="18" customHeight="1">
      <c r="A103" s="105" t="s">
        <v>449</v>
      </c>
      <c r="B103" s="416"/>
      <c r="C103" s="429" t="s">
        <v>1705</v>
      </c>
      <c r="D103" s="323" t="s">
        <v>303</v>
      </c>
      <c r="E103" s="324">
        <f>3.3*(11*2+6.8*2)*2</f>
        <v>234.96</v>
      </c>
      <c r="F103" s="458"/>
      <c r="G103" s="97"/>
    </row>
    <row r="104" spans="1:7" ht="18" customHeight="1">
      <c r="A104" s="105" t="s">
        <v>450</v>
      </c>
      <c r="B104" s="416"/>
      <c r="C104" s="429" t="s">
        <v>1707</v>
      </c>
      <c r="D104" s="323"/>
      <c r="E104" s="324"/>
      <c r="F104" s="458"/>
      <c r="G104" s="97"/>
    </row>
    <row r="105" spans="1:7" ht="18" customHeight="1">
      <c r="A105" s="105" t="s">
        <v>451</v>
      </c>
      <c r="B105" s="416"/>
      <c r="C105" s="429" t="s">
        <v>1709</v>
      </c>
      <c r="D105" s="323" t="s">
        <v>303</v>
      </c>
      <c r="E105" s="324">
        <v>2</v>
      </c>
      <c r="F105" s="458"/>
      <c r="G105" s="97"/>
    </row>
    <row r="106" spans="1:7" ht="18" customHeight="1">
      <c r="A106" s="105"/>
      <c r="B106" s="416"/>
      <c r="C106" s="429"/>
      <c r="D106" s="323"/>
      <c r="E106" s="324"/>
      <c r="F106" s="458"/>
      <c r="G106" s="97"/>
    </row>
    <row r="107" spans="1:7" ht="18" customHeight="1">
      <c r="A107" s="105" t="s">
        <v>1685</v>
      </c>
      <c r="B107" s="416"/>
      <c r="C107" s="429" t="s">
        <v>1711</v>
      </c>
      <c r="D107" s="323"/>
      <c r="E107" s="324"/>
      <c r="F107" s="458"/>
      <c r="G107" s="97"/>
    </row>
    <row r="108" spans="1:7" ht="18" customHeight="1">
      <c r="A108" s="105" t="s">
        <v>1686</v>
      </c>
      <c r="B108" s="416"/>
      <c r="C108" s="429" t="s">
        <v>1713</v>
      </c>
      <c r="D108" s="323" t="s">
        <v>207</v>
      </c>
      <c r="E108" s="324">
        <f>3.3*(11*2+6.8*2)*1.1</f>
        <v>129.22800000000001</v>
      </c>
      <c r="F108" s="458"/>
      <c r="G108" s="97"/>
    </row>
    <row r="109" spans="1:7" ht="18" customHeight="1">
      <c r="A109" s="105"/>
      <c r="B109" s="416"/>
      <c r="C109" s="429"/>
      <c r="D109" s="323"/>
      <c r="E109" s="324"/>
      <c r="F109" s="458"/>
      <c r="G109" s="97"/>
    </row>
    <row r="110" spans="1:7" ht="18" customHeight="1">
      <c r="A110" s="105" t="s">
        <v>1687</v>
      </c>
      <c r="B110" s="416"/>
      <c r="C110" s="429" t="s">
        <v>1715</v>
      </c>
      <c r="D110" s="323"/>
      <c r="E110" s="324"/>
      <c r="F110" s="458"/>
      <c r="G110" s="97"/>
    </row>
    <row r="111" spans="1:7" ht="41.4">
      <c r="A111" s="105" t="s">
        <v>1688</v>
      </c>
      <c r="B111" s="416"/>
      <c r="C111" s="429" t="s">
        <v>1717</v>
      </c>
      <c r="D111" s="323" t="s">
        <v>207</v>
      </c>
      <c r="E111" s="324">
        <f>E108</f>
        <v>129.22800000000001</v>
      </c>
      <c r="F111" s="458"/>
      <c r="G111" s="97"/>
    </row>
    <row r="112" spans="1:7" ht="18" customHeight="1">
      <c r="A112" s="84"/>
      <c r="B112" s="207"/>
      <c r="C112" s="442"/>
      <c r="D112" s="105"/>
      <c r="E112" s="324"/>
      <c r="F112" s="458"/>
      <c r="G112" s="97"/>
    </row>
    <row r="113" spans="1:7" ht="18" customHeight="1">
      <c r="A113" s="84" t="s">
        <v>1689</v>
      </c>
      <c r="B113" s="416" t="s">
        <v>354</v>
      </c>
      <c r="C113" s="434" t="s">
        <v>355</v>
      </c>
      <c r="D113" s="323"/>
      <c r="E113" s="324"/>
      <c r="F113" s="458"/>
      <c r="G113" s="97"/>
    </row>
    <row r="114" spans="1:7" ht="18" customHeight="1">
      <c r="A114" s="84" t="s">
        <v>453</v>
      </c>
      <c r="B114" s="416" t="s">
        <v>356</v>
      </c>
      <c r="C114" s="435" t="s">
        <v>357</v>
      </c>
      <c r="D114" s="323"/>
      <c r="E114" s="324"/>
      <c r="F114" s="458"/>
      <c r="G114" s="97"/>
    </row>
    <row r="115" spans="1:7" ht="72.75" customHeight="1">
      <c r="A115" s="84" t="s">
        <v>1740</v>
      </c>
      <c r="B115" s="425"/>
      <c r="C115" s="429" t="s">
        <v>452</v>
      </c>
      <c r="D115" s="323" t="s">
        <v>156</v>
      </c>
      <c r="E115" s="66">
        <v>3</v>
      </c>
      <c r="F115" s="456"/>
      <c r="G115" s="97"/>
    </row>
    <row r="116" spans="1:7" ht="18" customHeight="1">
      <c r="A116" s="84"/>
      <c r="B116" s="425"/>
      <c r="C116" s="429"/>
      <c r="D116" s="323"/>
      <c r="E116" s="66"/>
      <c r="F116" s="456"/>
      <c r="G116" s="97"/>
    </row>
    <row r="117" spans="1:7" ht="18" customHeight="1">
      <c r="A117" s="84" t="s">
        <v>1741</v>
      </c>
      <c r="B117" s="206" t="s">
        <v>359</v>
      </c>
      <c r="C117" s="443" t="s">
        <v>1546</v>
      </c>
      <c r="D117" s="80"/>
      <c r="E117" s="444"/>
      <c r="F117" s="459"/>
      <c r="G117" s="97"/>
    </row>
    <row r="118" spans="1:7" ht="27.6">
      <c r="A118" s="84" t="s">
        <v>1742</v>
      </c>
      <c r="B118" s="159"/>
      <c r="C118" s="429" t="s">
        <v>360</v>
      </c>
      <c r="D118" s="323" t="s">
        <v>156</v>
      </c>
      <c r="E118" s="324">
        <v>12</v>
      </c>
      <c r="F118" s="2"/>
      <c r="G118" s="97"/>
    </row>
    <row r="119" spans="1:7" ht="75.75" customHeight="1">
      <c r="A119" s="84" t="s">
        <v>1743</v>
      </c>
      <c r="B119" s="208"/>
      <c r="C119" s="429" t="s">
        <v>1750</v>
      </c>
      <c r="D119" s="323" t="s">
        <v>303</v>
      </c>
      <c r="E119" s="124">
        <f>E64</f>
        <v>42.35</v>
      </c>
      <c r="F119" s="97"/>
      <c r="G119" s="97"/>
    </row>
    <row r="120" spans="1:7" ht="18" customHeight="1">
      <c r="A120" s="84" t="s">
        <v>1744</v>
      </c>
      <c r="B120" s="409"/>
      <c r="C120" s="462" t="s">
        <v>361</v>
      </c>
      <c r="D120" s="430"/>
      <c r="E120" s="66"/>
      <c r="F120" s="447"/>
      <c r="G120" s="1"/>
    </row>
    <row r="121" spans="1:7" ht="18" customHeight="1">
      <c r="A121" s="84" t="s">
        <v>1745</v>
      </c>
      <c r="B121" s="409"/>
      <c r="C121" s="347" t="s">
        <v>362</v>
      </c>
      <c r="D121" s="323" t="s">
        <v>363</v>
      </c>
      <c r="E121" s="66">
        <v>1</v>
      </c>
      <c r="F121" s="2"/>
      <c r="G121" s="97"/>
    </row>
    <row r="122" spans="1:7" ht="18" customHeight="1">
      <c r="A122" s="84" t="s">
        <v>1746</v>
      </c>
      <c r="B122" s="409"/>
      <c r="C122" s="462" t="s">
        <v>364</v>
      </c>
      <c r="D122" s="430"/>
      <c r="E122" s="66"/>
      <c r="F122" s="447"/>
      <c r="G122" s="1"/>
    </row>
    <row r="123" spans="1:7" ht="32.25" customHeight="1">
      <c r="A123" s="84" t="s">
        <v>1747</v>
      </c>
      <c r="B123" s="409"/>
      <c r="C123" s="347" t="s">
        <v>1548</v>
      </c>
      <c r="D123" s="323" t="s">
        <v>363</v>
      </c>
      <c r="E123" s="66">
        <v>1</v>
      </c>
      <c r="F123" s="2"/>
      <c r="G123" s="97"/>
    </row>
    <row r="124" spans="1:7" ht="31.5" customHeight="1">
      <c r="A124" s="84" t="s">
        <v>1748</v>
      </c>
      <c r="B124" s="409"/>
      <c r="C124" s="347" t="s">
        <v>1549</v>
      </c>
      <c r="D124" s="323" t="s">
        <v>363</v>
      </c>
      <c r="E124" s="66">
        <v>1</v>
      </c>
      <c r="F124" s="97"/>
      <c r="G124" s="97"/>
    </row>
    <row r="125" spans="1:7" ht="18" customHeight="1">
      <c r="A125" s="627" t="s">
        <v>88</v>
      </c>
      <c r="B125" s="628"/>
      <c r="C125" s="628"/>
      <c r="D125" s="356"/>
      <c r="E125" s="357"/>
      <c r="F125" s="387"/>
      <c r="G125" s="270"/>
    </row>
    <row r="126" spans="1:7" ht="18" customHeight="1">
      <c r="A126" s="622" t="s">
        <v>89</v>
      </c>
      <c r="B126" s="623"/>
      <c r="C126" s="623"/>
      <c r="D126" s="356"/>
      <c r="E126" s="357"/>
      <c r="F126" s="387"/>
      <c r="G126" s="270"/>
    </row>
    <row r="127" spans="1:7" ht="18" customHeight="1">
      <c r="A127" s="85"/>
      <c r="B127" s="57"/>
      <c r="C127" s="209"/>
      <c r="D127" s="84"/>
      <c r="E127" s="383"/>
      <c r="F127" s="385"/>
      <c r="G127" s="385"/>
    </row>
    <row r="128" spans="1:7" ht="18" customHeight="1">
      <c r="A128" s="84" t="s">
        <v>1749</v>
      </c>
      <c r="B128" s="409"/>
      <c r="C128" s="462" t="s">
        <v>365</v>
      </c>
      <c r="D128" s="436"/>
      <c r="E128" s="124"/>
      <c r="F128" s="459"/>
      <c r="G128" s="97"/>
    </row>
    <row r="129" spans="1:7" ht="18" customHeight="1">
      <c r="A129" s="84" t="s">
        <v>1769</v>
      </c>
      <c r="B129" s="429"/>
      <c r="C129" s="429" t="s">
        <v>1721</v>
      </c>
      <c r="D129" s="445" t="s">
        <v>207</v>
      </c>
      <c r="E129" s="445">
        <f>11*6.8*1.2</f>
        <v>89.759999999999991</v>
      </c>
      <c r="F129" s="385"/>
      <c r="G129" s="385"/>
    </row>
    <row r="130" spans="1:7" ht="18" customHeight="1">
      <c r="A130" s="84" t="s">
        <v>1770</v>
      </c>
      <c r="B130" s="429"/>
      <c r="C130" s="429" t="s">
        <v>1723</v>
      </c>
      <c r="D130" s="445" t="s">
        <v>207</v>
      </c>
      <c r="E130" s="445">
        <f>E129*1.58</f>
        <v>141.82079999999999</v>
      </c>
      <c r="F130" s="385"/>
      <c r="G130" s="385"/>
    </row>
    <row r="131" spans="1:7" ht="18" customHeight="1">
      <c r="A131" s="84" t="s">
        <v>1771</v>
      </c>
      <c r="B131" s="429"/>
      <c r="C131" s="429" t="s">
        <v>1725</v>
      </c>
      <c r="D131" s="445" t="s">
        <v>207</v>
      </c>
      <c r="E131" s="445">
        <f>3.3*(11*2+6.8*2)*1.1</f>
        <v>129.22800000000001</v>
      </c>
      <c r="F131" s="385"/>
      <c r="G131" s="385"/>
    </row>
    <row r="132" spans="1:7" ht="18" customHeight="1">
      <c r="A132" s="84" t="s">
        <v>1772</v>
      </c>
      <c r="B132" s="429"/>
      <c r="C132" s="429" t="s">
        <v>1727</v>
      </c>
      <c r="D132" s="445" t="s">
        <v>207</v>
      </c>
      <c r="E132" s="445">
        <f>3.3*(11*2+6.8*2)</f>
        <v>117.48</v>
      </c>
      <c r="F132" s="385"/>
      <c r="G132" s="385"/>
    </row>
    <row r="133" spans="1:7" ht="18" customHeight="1">
      <c r="A133" s="610" t="s">
        <v>1865</v>
      </c>
      <c r="B133" s="611"/>
      <c r="C133" s="611"/>
      <c r="D133" s="611"/>
      <c r="E133" s="611"/>
      <c r="F133" s="612"/>
      <c r="G133" s="446"/>
    </row>
    <row r="134" spans="1:7" ht="18" customHeight="1"/>
  </sheetData>
  <mergeCells count="9">
    <mergeCell ref="A125:C125"/>
    <mergeCell ref="A126:C126"/>
    <mergeCell ref="A3:E3"/>
    <mergeCell ref="A133:F133"/>
    <mergeCell ref="A1:G1"/>
    <mergeCell ref="A48:C48"/>
    <mergeCell ref="A49:C49"/>
    <mergeCell ref="A90:C90"/>
    <mergeCell ref="A91:C91"/>
  </mergeCells>
  <phoneticPr fontId="11" type="noConversion"/>
  <pageMargins left="0.70866141732283505" right="0.70866141732283505" top="1.2992125984252001" bottom="0.74803149606299202" header="0.31496062992126" footer="0.31496062992126"/>
  <pageSetup paperSize="9" scale="73" firstPageNumber="18"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rowBreaks count="3" manualBreakCount="3">
    <brk id="48" max="16383" man="1"/>
    <brk id="90" max="16383" man="1"/>
    <brk id="125"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4994-D33B-44D3-9391-53567AA25B56}">
  <sheetPr>
    <tabColor rgb="FFFFFF00"/>
  </sheetPr>
  <dimension ref="A1:K126"/>
  <sheetViews>
    <sheetView view="pageBreakPreview" topLeftCell="A105" zoomScaleNormal="100" zoomScaleSheetLayoutView="100" workbookViewId="0">
      <selection activeCell="J13" sqref="J13"/>
    </sheetView>
  </sheetViews>
  <sheetFormatPr defaultColWidth="9.109375" defaultRowHeight="13.8"/>
  <cols>
    <col min="1" max="1" width="6.88671875" style="88" customWidth="1"/>
    <col min="2" max="2" width="9.5546875" style="89" customWidth="1"/>
    <col min="3" max="3" width="44.6640625" style="90" customWidth="1"/>
    <col min="4" max="4" width="6.109375" style="91" customWidth="1"/>
    <col min="5" max="5" width="6.33203125" style="92" customWidth="1"/>
    <col min="6" max="6" width="14.6640625" style="44" customWidth="1"/>
    <col min="7" max="7" width="20.5546875" style="44" customWidth="1"/>
    <col min="8" max="16384" width="9.109375" style="44"/>
  </cols>
  <sheetData>
    <row r="1" spans="1:11" ht="22.5" customHeight="1">
      <c r="A1" s="621" t="s">
        <v>1866</v>
      </c>
      <c r="B1" s="621"/>
      <c r="C1" s="621"/>
      <c r="D1" s="621"/>
      <c r="E1" s="621"/>
      <c r="F1" s="621"/>
      <c r="G1" s="621"/>
    </row>
    <row r="2" spans="1:11" s="50" customFormat="1" ht="27.6">
      <c r="A2" s="45" t="s">
        <v>4</v>
      </c>
      <c r="B2" s="46" t="s">
        <v>5</v>
      </c>
      <c r="C2" s="45" t="s">
        <v>1</v>
      </c>
      <c r="D2" s="47" t="s">
        <v>6</v>
      </c>
      <c r="E2" s="48" t="s">
        <v>7</v>
      </c>
      <c r="F2" s="49" t="s">
        <v>8</v>
      </c>
      <c r="G2" s="49" t="s">
        <v>9</v>
      </c>
    </row>
    <row r="3" spans="1:11">
      <c r="A3" s="624" t="s">
        <v>1867</v>
      </c>
      <c r="B3" s="625"/>
      <c r="C3" s="625"/>
      <c r="D3" s="625"/>
      <c r="E3" s="626"/>
      <c r="F3" s="192"/>
      <c r="G3" s="193"/>
    </row>
    <row r="4" spans="1:11">
      <c r="A4" s="316"/>
      <c r="B4" s="317"/>
      <c r="C4" s="317"/>
      <c r="D4" s="317"/>
      <c r="E4" s="318"/>
      <c r="F4" s="319"/>
      <c r="G4" s="320"/>
    </row>
    <row r="5" spans="1:11" ht="34.5" customHeight="1">
      <c r="A5" s="401">
        <v>2.4</v>
      </c>
      <c r="B5" s="402"/>
      <c r="C5" s="403" t="str">
        <f>A1</f>
        <v>SCHEDULE 2.4 : CIVIL ENGINEERING - NEW SOLAR BATTERY ROOM</v>
      </c>
      <c r="D5" s="80"/>
      <c r="E5" s="404"/>
      <c r="F5" s="390"/>
      <c r="G5" s="391"/>
    </row>
    <row r="6" spans="1:11" ht="18" customHeight="1">
      <c r="A6" s="401"/>
      <c r="B6" s="402"/>
      <c r="C6" s="403" t="s">
        <v>376</v>
      </c>
      <c r="D6" s="80"/>
      <c r="E6" s="404"/>
      <c r="F6" s="390"/>
      <c r="G6" s="391"/>
    </row>
    <row r="7" spans="1:11" ht="18" customHeight="1">
      <c r="A7" s="105"/>
      <c r="B7" s="321" t="s">
        <v>200</v>
      </c>
      <c r="C7" s="405" t="s">
        <v>201</v>
      </c>
      <c r="D7" s="323"/>
      <c r="E7" s="406"/>
      <c r="F7" s="390"/>
      <c r="G7" s="391"/>
    </row>
    <row r="8" spans="1:11" s="75" customFormat="1" ht="18" customHeight="1">
      <c r="A8" s="105" t="s">
        <v>464</v>
      </c>
      <c r="B8" s="206" t="s">
        <v>13</v>
      </c>
      <c r="C8" s="212" t="s">
        <v>203</v>
      </c>
      <c r="D8" s="323"/>
      <c r="E8" s="406"/>
      <c r="F8" s="390"/>
      <c r="G8" s="391"/>
    </row>
    <row r="9" spans="1:11" ht="18" customHeight="1">
      <c r="A9" s="105" t="s">
        <v>465</v>
      </c>
      <c r="B9" s="207" t="s">
        <v>205</v>
      </c>
      <c r="C9" s="212" t="s">
        <v>206</v>
      </c>
      <c r="D9" s="407" t="s">
        <v>207</v>
      </c>
      <c r="E9" s="324">
        <f>(91686201.9659/1000^2)*((3*4)/(10*6))</f>
        <v>18.33724039318</v>
      </c>
      <c r="F9" s="448"/>
      <c r="G9" s="266"/>
      <c r="H9" s="75"/>
      <c r="I9" s="75"/>
      <c r="J9" s="75"/>
      <c r="K9" s="75"/>
    </row>
    <row r="10" spans="1:11" ht="28.5" customHeight="1">
      <c r="A10" s="105" t="s">
        <v>466</v>
      </c>
      <c r="B10" s="207" t="s">
        <v>209</v>
      </c>
      <c r="C10" s="74" t="s">
        <v>210</v>
      </c>
      <c r="D10" s="407" t="s">
        <v>207</v>
      </c>
      <c r="E10" s="324">
        <f>E9</f>
        <v>18.33724039318</v>
      </c>
      <c r="F10" s="448"/>
      <c r="G10" s="266"/>
      <c r="H10" s="75"/>
      <c r="I10" s="75"/>
      <c r="J10" s="75"/>
      <c r="K10" s="75"/>
    </row>
    <row r="11" spans="1:11" s="75" customFormat="1" ht="18" customHeight="1">
      <c r="A11" s="105" t="s">
        <v>467</v>
      </c>
      <c r="B11" s="206" t="s">
        <v>212</v>
      </c>
      <c r="C11" s="212" t="s">
        <v>213</v>
      </c>
      <c r="D11" s="408"/>
      <c r="E11" s="324"/>
      <c r="F11" s="448"/>
      <c r="G11" s="266"/>
    </row>
    <row r="12" spans="1:11" s="75" customFormat="1" ht="36" customHeight="1">
      <c r="A12" s="105" t="s">
        <v>468</v>
      </c>
      <c r="B12" s="409"/>
      <c r="C12" s="74" t="s">
        <v>1543</v>
      </c>
      <c r="D12" s="323" t="s">
        <v>215</v>
      </c>
      <c r="E12" s="324">
        <f>(26420799.9982/1000^2)*1.5*((3*4)/(10*6))</f>
        <v>7.9262399994600008</v>
      </c>
      <c r="F12" s="448"/>
      <c r="G12" s="266"/>
    </row>
    <row r="13" spans="1:11" s="164" customFormat="1" ht="18" customHeight="1">
      <c r="A13" s="105" t="s">
        <v>469</v>
      </c>
      <c r="B13" s="206" t="s">
        <v>47</v>
      </c>
      <c r="C13" s="212" t="s">
        <v>1539</v>
      </c>
      <c r="D13" s="323"/>
      <c r="E13" s="324"/>
      <c r="F13" s="392"/>
      <c r="G13" s="266"/>
    </row>
    <row r="14" spans="1:11" s="164" customFormat="1" ht="18" customHeight="1">
      <c r="A14" s="105" t="s">
        <v>470</v>
      </c>
      <c r="B14" s="206"/>
      <c r="C14" s="198" t="s">
        <v>384</v>
      </c>
      <c r="D14" s="408"/>
      <c r="E14" s="324"/>
      <c r="F14" s="393"/>
      <c r="G14" s="266"/>
    </row>
    <row r="15" spans="1:11" s="75" customFormat="1" ht="18" customHeight="1">
      <c r="A15" s="105" t="s">
        <v>471</v>
      </c>
      <c r="B15" s="207"/>
      <c r="C15" s="198" t="s">
        <v>220</v>
      </c>
      <c r="D15" s="323" t="s">
        <v>215</v>
      </c>
      <c r="E15" s="324">
        <f>E12+(3553253.5528/1000^2)*1.5*4</f>
        <v>29.245761316260001</v>
      </c>
      <c r="F15" s="392"/>
      <c r="G15" s="266"/>
    </row>
    <row r="16" spans="1:11" s="75" customFormat="1" ht="18" customHeight="1">
      <c r="A16" s="105" t="s">
        <v>472</v>
      </c>
      <c r="B16" s="207"/>
      <c r="C16" s="198" t="s">
        <v>222</v>
      </c>
      <c r="D16" s="323" t="s">
        <v>215</v>
      </c>
      <c r="E16" s="324">
        <f>E15*0.5</f>
        <v>14.622880658130001</v>
      </c>
      <c r="F16" s="392"/>
      <c r="G16" s="266"/>
    </row>
    <row r="17" spans="1:7" s="75" customFormat="1" ht="18" customHeight="1">
      <c r="A17" s="105" t="s">
        <v>473</v>
      </c>
      <c r="B17" s="77" t="s">
        <v>224</v>
      </c>
      <c r="C17" s="212" t="s">
        <v>225</v>
      </c>
      <c r="D17" s="323" t="s">
        <v>215</v>
      </c>
      <c r="E17" s="66">
        <f>(3553253.5528/1000^2)*1.5*4*((3*4)/(10*6))</f>
        <v>4.2639042633599997</v>
      </c>
      <c r="F17" s="392"/>
      <c r="G17" s="266"/>
    </row>
    <row r="18" spans="1:7" s="75" customFormat="1" ht="18" customHeight="1">
      <c r="A18" s="105"/>
      <c r="B18" s="410"/>
      <c r="C18" s="411"/>
      <c r="D18" s="84"/>
      <c r="E18" s="412"/>
      <c r="F18" s="449"/>
      <c r="G18" s="266"/>
    </row>
    <row r="19" spans="1:7" s="75" customFormat="1" ht="18" customHeight="1">
      <c r="A19" s="105" t="s">
        <v>474</v>
      </c>
      <c r="B19" s="208" t="s">
        <v>227</v>
      </c>
      <c r="C19" s="411" t="s">
        <v>228</v>
      </c>
      <c r="D19" s="413"/>
      <c r="E19" s="412"/>
      <c r="F19" s="449"/>
      <c r="G19" s="266"/>
    </row>
    <row r="20" spans="1:7" ht="18" customHeight="1">
      <c r="A20" s="105" t="s">
        <v>475</v>
      </c>
      <c r="B20" s="77">
        <v>8.1999999999999993</v>
      </c>
      <c r="C20" s="355" t="s">
        <v>230</v>
      </c>
      <c r="D20" s="413"/>
      <c r="E20" s="412"/>
      <c r="F20" s="449"/>
      <c r="G20" s="266"/>
    </row>
    <row r="21" spans="1:7" ht="18" customHeight="1">
      <c r="A21" s="105" t="s">
        <v>476</v>
      </c>
      <c r="B21" s="77" t="s">
        <v>161</v>
      </c>
      <c r="C21" s="414" t="s">
        <v>232</v>
      </c>
      <c r="D21" s="80"/>
      <c r="E21" s="173"/>
      <c r="F21" s="449"/>
      <c r="G21" s="266"/>
    </row>
    <row r="22" spans="1:7">
      <c r="A22" s="105" t="s">
        <v>477</v>
      </c>
      <c r="B22" s="415"/>
      <c r="C22" s="414" t="s">
        <v>1967</v>
      </c>
      <c r="D22" s="80" t="s">
        <v>207</v>
      </c>
      <c r="E22" s="173">
        <f>((3309000*2.5+2023500*2.5)/1000^2)*2.5*((3*4)/(10*6))</f>
        <v>6.6656250000000004</v>
      </c>
      <c r="F22" s="392"/>
      <c r="G22" s="266"/>
    </row>
    <row r="23" spans="1:7">
      <c r="A23" s="105" t="s">
        <v>478</v>
      </c>
      <c r="B23" s="77"/>
      <c r="C23" s="414" t="s">
        <v>1968</v>
      </c>
      <c r="D23" s="80" t="s">
        <v>207</v>
      </c>
      <c r="E23" s="173">
        <f>((1554990*4.5+826880*2.5)/1000^2)*((3*4)/(10*6))</f>
        <v>1.8129310000000001</v>
      </c>
      <c r="F23" s="392"/>
      <c r="G23" s="266"/>
    </row>
    <row r="24" spans="1:7" ht="18" customHeight="1">
      <c r="A24" s="105" t="s">
        <v>479</v>
      </c>
      <c r="B24" s="77" t="s">
        <v>236</v>
      </c>
      <c r="C24" s="414" t="s">
        <v>1544</v>
      </c>
      <c r="D24" s="80"/>
      <c r="E24" s="173"/>
      <c r="F24" s="392"/>
      <c r="G24" s="266"/>
    </row>
    <row r="25" spans="1:7" ht="18" customHeight="1">
      <c r="A25" s="105" t="s">
        <v>480</v>
      </c>
      <c r="B25" s="415"/>
      <c r="C25" s="414" t="s">
        <v>238</v>
      </c>
      <c r="D25" s="80" t="s">
        <v>207</v>
      </c>
      <c r="E25" s="173">
        <f>((2062900.4*2.5+2765000*2.5)/1000^2)*((3*4)/(10*6))</f>
        <v>2.4139502000000004</v>
      </c>
      <c r="F25" s="392"/>
      <c r="G25" s="266"/>
    </row>
    <row r="26" spans="1:7" ht="18" customHeight="1">
      <c r="A26" s="105" t="s">
        <v>481</v>
      </c>
      <c r="B26" s="415"/>
      <c r="C26" s="414" t="s">
        <v>240</v>
      </c>
      <c r="D26" s="80" t="s">
        <v>207</v>
      </c>
      <c r="E26" s="66">
        <f>(E51/0.2)*1.2</f>
        <v>4.51248</v>
      </c>
      <c r="F26" s="392"/>
      <c r="G26" s="266"/>
    </row>
    <row r="27" spans="1:7" ht="18" customHeight="1">
      <c r="A27" s="105"/>
      <c r="B27" s="416"/>
      <c r="C27" s="411"/>
      <c r="D27" s="413"/>
      <c r="E27" s="66"/>
      <c r="F27" s="449"/>
      <c r="G27" s="266"/>
    </row>
    <row r="28" spans="1:7" ht="18" customHeight="1">
      <c r="A28" s="105" t="s">
        <v>482</v>
      </c>
      <c r="B28" s="416">
        <v>8.3000000000000007</v>
      </c>
      <c r="C28" s="411" t="s">
        <v>242</v>
      </c>
      <c r="D28" s="413"/>
      <c r="E28" s="66"/>
      <c r="F28" s="449"/>
      <c r="G28" s="266"/>
    </row>
    <row r="29" spans="1:7" ht="18" customHeight="1">
      <c r="A29" s="105" t="s">
        <v>483</v>
      </c>
      <c r="B29" s="416" t="s">
        <v>13</v>
      </c>
      <c r="C29" s="417" t="s">
        <v>244</v>
      </c>
      <c r="D29" s="413"/>
      <c r="E29" s="66"/>
      <c r="F29" s="449"/>
      <c r="G29" s="266"/>
    </row>
    <row r="30" spans="1:7" ht="18" customHeight="1">
      <c r="A30" s="105" t="s">
        <v>484</v>
      </c>
      <c r="B30" s="416"/>
      <c r="C30" s="418" t="s">
        <v>399</v>
      </c>
      <c r="D30" s="413"/>
      <c r="E30" s="66"/>
      <c r="F30" s="449"/>
      <c r="G30" s="266"/>
    </row>
    <row r="31" spans="1:7" ht="18" customHeight="1">
      <c r="A31" s="105" t="s">
        <v>485</v>
      </c>
      <c r="B31" s="57"/>
      <c r="C31" s="419" t="s">
        <v>250</v>
      </c>
      <c r="D31" s="80" t="s">
        <v>251</v>
      </c>
      <c r="E31" s="124">
        <f>E22*3%</f>
        <v>0.19996875</v>
      </c>
      <c r="F31" s="392"/>
      <c r="G31" s="266"/>
    </row>
    <row r="32" spans="1:7" ht="18" customHeight="1">
      <c r="A32" s="105" t="s">
        <v>486</v>
      </c>
      <c r="B32" s="57"/>
      <c r="C32" s="419" t="s">
        <v>253</v>
      </c>
      <c r="D32" s="80" t="s">
        <v>251</v>
      </c>
      <c r="E32" s="124">
        <f>(E45/0.2)*2.5%</f>
        <v>0.16629800001050002</v>
      </c>
      <c r="F32" s="392"/>
      <c r="G32" s="266"/>
    </row>
    <row r="33" spans="1:7" ht="18" customHeight="1">
      <c r="A33" s="105" t="s">
        <v>487</v>
      </c>
      <c r="B33" s="415"/>
      <c r="C33" s="419" t="s">
        <v>255</v>
      </c>
      <c r="D33" s="80" t="s">
        <v>251</v>
      </c>
      <c r="E33" s="66">
        <f>(E49/0.2)*3%</f>
        <v>0.15852479998919999</v>
      </c>
      <c r="F33" s="392"/>
      <c r="G33" s="266"/>
    </row>
    <row r="34" spans="1:7" ht="18" customHeight="1">
      <c r="A34" s="105" t="s">
        <v>488</v>
      </c>
      <c r="B34" s="207"/>
      <c r="C34" s="419" t="s">
        <v>256</v>
      </c>
      <c r="D34" s="80" t="s">
        <v>251</v>
      </c>
      <c r="E34" s="66">
        <f>E26*2.5%</f>
        <v>0.11281200000000001</v>
      </c>
      <c r="F34" s="450"/>
      <c r="G34" s="266"/>
    </row>
    <row r="35" spans="1:7" ht="18" customHeight="1">
      <c r="A35" s="105" t="s">
        <v>489</v>
      </c>
      <c r="B35" s="420" t="s">
        <v>17</v>
      </c>
      <c r="C35" s="78" t="s">
        <v>258</v>
      </c>
      <c r="D35" s="80"/>
      <c r="E35" s="173"/>
      <c r="F35" s="449"/>
      <c r="G35" s="266"/>
    </row>
    <row r="36" spans="1:7" ht="18" customHeight="1">
      <c r="A36" s="105" t="s">
        <v>490</v>
      </c>
      <c r="B36" s="415"/>
      <c r="C36" s="355" t="s">
        <v>260</v>
      </c>
      <c r="D36" s="80"/>
      <c r="E36" s="421"/>
      <c r="F36" s="449"/>
      <c r="G36" s="266"/>
    </row>
    <row r="37" spans="1:7" ht="18" customHeight="1">
      <c r="A37" s="105" t="s">
        <v>491</v>
      </c>
      <c r="B37" s="77"/>
      <c r="C37" s="422" t="s">
        <v>262</v>
      </c>
      <c r="D37" s="80" t="s">
        <v>207</v>
      </c>
      <c r="E37" s="421">
        <f>(2897681.4239+1433517.8434)/1000^2*1.5*((3*4)/(10*6))</f>
        <v>1.2993597801899999</v>
      </c>
      <c r="F37" s="392"/>
      <c r="G37" s="266"/>
    </row>
    <row r="38" spans="1:7" ht="18" customHeight="1">
      <c r="A38" s="105"/>
      <c r="B38" s="77"/>
      <c r="C38" s="355"/>
      <c r="D38" s="413"/>
      <c r="E38" s="423"/>
      <c r="F38" s="449"/>
      <c r="G38" s="266"/>
    </row>
    <row r="39" spans="1:7" ht="18" customHeight="1">
      <c r="A39" s="105" t="s">
        <v>492</v>
      </c>
      <c r="B39" s="77">
        <v>8.4</v>
      </c>
      <c r="C39" s="411" t="s">
        <v>264</v>
      </c>
      <c r="D39" s="413"/>
      <c r="E39" s="173"/>
      <c r="F39" s="451"/>
      <c r="G39" s="266"/>
    </row>
    <row r="40" spans="1:7" ht="18" customHeight="1">
      <c r="A40" s="105" t="s">
        <v>493</v>
      </c>
      <c r="B40" s="77" t="s">
        <v>63</v>
      </c>
      <c r="C40" s="296" t="s">
        <v>266</v>
      </c>
      <c r="D40" s="413"/>
      <c r="E40" s="423"/>
      <c r="F40" s="449"/>
      <c r="G40" s="266"/>
    </row>
    <row r="41" spans="1:7" ht="18" customHeight="1">
      <c r="A41" s="105" t="s">
        <v>494</v>
      </c>
      <c r="B41" s="415"/>
      <c r="C41" s="296" t="s">
        <v>268</v>
      </c>
      <c r="D41" s="80" t="s">
        <v>215</v>
      </c>
      <c r="E41" s="424">
        <f>SUM(E90:E94)*3.2%</f>
        <v>1.9004083199974402</v>
      </c>
      <c r="F41" s="451"/>
      <c r="G41" s="266"/>
    </row>
    <row r="42" spans="1:7" ht="18" customHeight="1">
      <c r="A42" s="105" t="s">
        <v>495</v>
      </c>
      <c r="B42" s="77" t="s">
        <v>270</v>
      </c>
      <c r="C42" s="296" t="s">
        <v>271</v>
      </c>
      <c r="D42" s="413"/>
      <c r="E42" s="424"/>
      <c r="F42" s="449"/>
      <c r="G42" s="266"/>
    </row>
    <row r="43" spans="1:7" ht="18" customHeight="1">
      <c r="A43" s="105"/>
      <c r="B43" s="77"/>
      <c r="C43" s="296"/>
      <c r="D43" s="413"/>
      <c r="E43" s="424"/>
      <c r="F43" s="449"/>
      <c r="G43" s="266"/>
    </row>
    <row r="44" spans="1:7" ht="18" customHeight="1">
      <c r="A44" s="105" t="s">
        <v>494</v>
      </c>
      <c r="B44" s="415"/>
      <c r="C44" s="296" t="s">
        <v>411</v>
      </c>
      <c r="D44" s="408"/>
      <c r="E44" s="424"/>
      <c r="F44" s="449"/>
      <c r="G44" s="266"/>
    </row>
    <row r="45" spans="1:7" ht="18" customHeight="1">
      <c r="A45" s="105" t="s">
        <v>495</v>
      </c>
      <c r="B45" s="415"/>
      <c r="C45" s="422" t="s">
        <v>273</v>
      </c>
      <c r="D45" s="80" t="s">
        <v>215</v>
      </c>
      <c r="E45" s="424">
        <f>(59680400.0003-26420799.9982)/1000^2*0.2*((3*4)/(10*6))</f>
        <v>1.3303840000840002</v>
      </c>
      <c r="F45" s="392"/>
      <c r="G45" s="266"/>
    </row>
    <row r="46" spans="1:7" ht="18" customHeight="1">
      <c r="A46" s="105" t="s">
        <v>496</v>
      </c>
      <c r="B46" s="415"/>
      <c r="C46" s="422" t="s">
        <v>275</v>
      </c>
      <c r="D46" s="80" t="s">
        <v>215</v>
      </c>
      <c r="E46" s="424">
        <f>'[1]2.2 - Civil New MCC for 6 Belts'!E45*((3*4)/(10*6))</f>
        <v>0.15360000000000001</v>
      </c>
      <c r="F46" s="392"/>
      <c r="G46" s="266"/>
    </row>
    <row r="47" spans="1:7" ht="18" customHeight="1">
      <c r="A47" s="622" t="s">
        <v>88</v>
      </c>
      <c r="B47" s="623"/>
      <c r="C47" s="623"/>
      <c r="D47" s="356"/>
      <c r="E47" s="357"/>
      <c r="F47" s="387"/>
      <c r="G47" s="270"/>
    </row>
    <row r="48" spans="1:7" ht="18" customHeight="1">
      <c r="A48" s="622" t="s">
        <v>89</v>
      </c>
      <c r="B48" s="623"/>
      <c r="C48" s="623"/>
      <c r="D48" s="356"/>
      <c r="E48" s="357"/>
      <c r="F48" s="387"/>
      <c r="G48" s="270"/>
    </row>
    <row r="49" spans="1:7" ht="18" customHeight="1">
      <c r="A49" s="105" t="s">
        <v>497</v>
      </c>
      <c r="B49" s="415"/>
      <c r="C49" s="422" t="s">
        <v>277</v>
      </c>
      <c r="D49" s="80" t="s">
        <v>215</v>
      </c>
      <c r="E49" s="424">
        <f>(26420799.9982*0.2)/1000^2*((3*4)/(10*6))</f>
        <v>1.056831999928</v>
      </c>
      <c r="F49" s="392"/>
      <c r="G49" s="266"/>
    </row>
    <row r="50" spans="1:7" ht="18" customHeight="1">
      <c r="A50" s="105" t="s">
        <v>498</v>
      </c>
      <c r="B50" s="425"/>
      <c r="C50" s="422" t="s">
        <v>279</v>
      </c>
      <c r="D50" s="80" t="s">
        <v>215</v>
      </c>
      <c r="E50" s="424">
        <f>E37*0.2</f>
        <v>0.25987195603800001</v>
      </c>
      <c r="F50" s="392"/>
      <c r="G50" s="266"/>
    </row>
    <row r="51" spans="1:7" ht="18" customHeight="1">
      <c r="A51" s="105" t="s">
        <v>499</v>
      </c>
      <c r="B51" s="425"/>
      <c r="C51" s="422" t="s">
        <v>281</v>
      </c>
      <c r="D51" s="80" t="s">
        <v>215</v>
      </c>
      <c r="E51" s="424">
        <f>(2765000/1000^2)*6.8*((3*4)/(10*6))*((3*4)/(10*6))</f>
        <v>0.75208000000000008</v>
      </c>
      <c r="F51" s="392"/>
      <c r="G51" s="266"/>
    </row>
    <row r="52" spans="1:7" ht="18" customHeight="1">
      <c r="A52" s="105" t="s">
        <v>500</v>
      </c>
      <c r="B52" s="218"/>
      <c r="C52" s="426" t="s">
        <v>283</v>
      </c>
      <c r="D52" s="80" t="s">
        <v>215</v>
      </c>
      <c r="E52" s="424">
        <f>( 21478807.3993/1000^2)*0.1*((3*4)/(10*6))</f>
        <v>0.42957614798600008</v>
      </c>
      <c r="F52" s="392"/>
      <c r="G52" s="266"/>
    </row>
    <row r="53" spans="1:7" ht="10.5" customHeight="1">
      <c r="A53" s="105"/>
      <c r="B53" s="218"/>
      <c r="C53" s="426"/>
      <c r="D53" s="80"/>
      <c r="E53" s="424"/>
      <c r="F53" s="392"/>
      <c r="G53" s="266"/>
    </row>
    <row r="54" spans="1:7" ht="18" customHeight="1">
      <c r="A54" s="105" t="s">
        <v>501</v>
      </c>
      <c r="B54" s="77" t="s">
        <v>86</v>
      </c>
      <c r="C54" s="355" t="s">
        <v>285</v>
      </c>
      <c r="D54" s="413"/>
      <c r="E54" s="424"/>
      <c r="F54" s="452"/>
      <c r="G54" s="266"/>
    </row>
    <row r="55" spans="1:7" ht="18" customHeight="1">
      <c r="A55" s="105" t="s">
        <v>502</v>
      </c>
      <c r="B55" s="415"/>
      <c r="C55" s="355" t="s">
        <v>287</v>
      </c>
      <c r="D55" s="413"/>
      <c r="E55" s="424"/>
      <c r="F55" s="452"/>
      <c r="G55" s="266"/>
    </row>
    <row r="56" spans="1:7" ht="18" customHeight="1">
      <c r="A56" s="105" t="s">
        <v>503</v>
      </c>
      <c r="B56" s="415"/>
      <c r="C56" s="414" t="s">
        <v>289</v>
      </c>
      <c r="D56" s="82" t="s">
        <v>251</v>
      </c>
      <c r="E56" s="219">
        <f>0.4*((3*4)/(10*6))</f>
        <v>8.0000000000000016E-2</v>
      </c>
      <c r="F56" s="453"/>
      <c r="G56" s="97"/>
    </row>
    <row r="57" spans="1:7" ht="18" customHeight="1">
      <c r="A57" s="105" t="s">
        <v>504</v>
      </c>
      <c r="B57" s="415"/>
      <c r="C57" s="414" t="s">
        <v>291</v>
      </c>
      <c r="D57" s="80" t="s">
        <v>207</v>
      </c>
      <c r="E57" s="377">
        <f>E49/0.2</f>
        <v>5.2841599996399999</v>
      </c>
      <c r="F57" s="388"/>
      <c r="G57" s="266"/>
    </row>
    <row r="58" spans="1:7" ht="18" customHeight="1">
      <c r="A58" s="105" t="s">
        <v>505</v>
      </c>
      <c r="B58" s="416"/>
      <c r="C58" s="414" t="s">
        <v>293</v>
      </c>
      <c r="D58" s="80" t="s">
        <v>207</v>
      </c>
      <c r="E58" s="424">
        <f>E50/0.2</f>
        <v>1.2993597801899999</v>
      </c>
      <c r="F58" s="388"/>
      <c r="G58" s="266"/>
    </row>
    <row r="59" spans="1:7" ht="18" customHeight="1">
      <c r="A59" s="105" t="s">
        <v>506</v>
      </c>
      <c r="B59" s="416"/>
      <c r="C59" s="414" t="s">
        <v>295</v>
      </c>
      <c r="D59" s="80" t="s">
        <v>207</v>
      </c>
      <c r="E59" s="424">
        <f>E51/0.2</f>
        <v>3.7604000000000002</v>
      </c>
      <c r="F59" s="392"/>
      <c r="G59" s="266"/>
    </row>
    <row r="60" spans="1:7" ht="18" customHeight="1">
      <c r="A60" s="105" t="s">
        <v>507</v>
      </c>
      <c r="B60" s="57"/>
      <c r="C60" s="427" t="s">
        <v>297</v>
      </c>
      <c r="D60" s="80" t="s">
        <v>207</v>
      </c>
      <c r="E60" s="428">
        <f>E52/0.1</f>
        <v>4.2957614798600003</v>
      </c>
      <c r="F60" s="392"/>
      <c r="G60" s="266"/>
    </row>
    <row r="61" spans="1:7" ht="18" customHeight="1">
      <c r="A61" s="105" t="s">
        <v>508</v>
      </c>
      <c r="B61" s="416"/>
      <c r="C61" s="429" t="s">
        <v>1545</v>
      </c>
      <c r="D61" s="80" t="s">
        <v>207</v>
      </c>
      <c r="E61" s="424">
        <f>E45/0.2</f>
        <v>6.6519200004200005</v>
      </c>
      <c r="F61" s="392"/>
      <c r="G61" s="266"/>
    </row>
    <row r="62" spans="1:7" ht="18" customHeight="1">
      <c r="A62" s="105" t="s">
        <v>509</v>
      </c>
      <c r="B62" s="416">
        <v>8.5</v>
      </c>
      <c r="C62" s="429" t="s">
        <v>300</v>
      </c>
      <c r="D62" s="430"/>
      <c r="E62" s="428"/>
      <c r="F62" s="449"/>
      <c r="G62" s="266"/>
    </row>
    <row r="63" spans="1:7" ht="18" customHeight="1">
      <c r="A63" s="105" t="s">
        <v>510</v>
      </c>
      <c r="B63" s="416"/>
      <c r="C63" s="347" t="s">
        <v>302</v>
      </c>
      <c r="D63" s="430" t="s">
        <v>303</v>
      </c>
      <c r="E63" s="428">
        <f>(10.48*2.5+6.46*2.5)*((3*4)/(10*6))</f>
        <v>8.4700000000000006</v>
      </c>
      <c r="F63" s="392"/>
      <c r="G63" s="266"/>
    </row>
    <row r="64" spans="1:7" ht="18" customHeight="1">
      <c r="A64" s="105" t="s">
        <v>511</v>
      </c>
      <c r="B64" s="416"/>
      <c r="C64" s="347" t="s">
        <v>305</v>
      </c>
      <c r="D64" s="430" t="s">
        <v>303</v>
      </c>
      <c r="E64" s="428">
        <f>E63*32%</f>
        <v>2.7104000000000004</v>
      </c>
      <c r="F64" s="392"/>
      <c r="G64" s="266"/>
    </row>
    <row r="65" spans="1:7" ht="9" customHeight="1">
      <c r="A65" s="105"/>
      <c r="B65" s="416"/>
      <c r="C65" s="347"/>
      <c r="D65" s="430"/>
      <c r="E65" s="431"/>
      <c r="F65" s="449"/>
      <c r="G65" s="266"/>
    </row>
    <row r="66" spans="1:7" ht="18" customHeight="1">
      <c r="A66" s="105" t="s">
        <v>512</v>
      </c>
      <c r="B66" s="239" t="s">
        <v>307</v>
      </c>
      <c r="C66" s="432" t="s">
        <v>308</v>
      </c>
      <c r="D66" s="433"/>
      <c r="E66" s="324"/>
      <c r="F66" s="452"/>
      <c r="G66" s="266"/>
    </row>
    <row r="67" spans="1:7" ht="18" customHeight="1">
      <c r="A67" s="105" t="s">
        <v>513</v>
      </c>
      <c r="B67" s="416" t="s">
        <v>13</v>
      </c>
      <c r="C67" s="434" t="s">
        <v>310</v>
      </c>
      <c r="D67" s="430"/>
      <c r="E67" s="324"/>
      <c r="F67" s="4"/>
      <c r="G67" s="266"/>
    </row>
    <row r="68" spans="1:7" ht="18" customHeight="1">
      <c r="A68" s="105" t="s">
        <v>514</v>
      </c>
      <c r="B68" s="416" t="s">
        <v>205</v>
      </c>
      <c r="C68" s="435" t="s">
        <v>312</v>
      </c>
      <c r="D68" s="430"/>
      <c r="E68" s="324"/>
      <c r="F68" s="4"/>
      <c r="G68" s="266"/>
    </row>
    <row r="69" spans="1:7" ht="33" customHeight="1">
      <c r="A69" s="105" t="s">
        <v>515</v>
      </c>
      <c r="B69" s="415"/>
      <c r="C69" s="347" t="s">
        <v>314</v>
      </c>
      <c r="D69" s="80" t="s">
        <v>251</v>
      </c>
      <c r="E69" s="324">
        <f>E77*1%</f>
        <v>5.28415999964E-2</v>
      </c>
      <c r="F69" s="388"/>
      <c r="G69" s="266"/>
    </row>
    <row r="70" spans="1:7" ht="18" customHeight="1">
      <c r="A70" s="105" t="s">
        <v>516</v>
      </c>
      <c r="B70" s="416" t="s">
        <v>209</v>
      </c>
      <c r="C70" s="435" t="s">
        <v>316</v>
      </c>
      <c r="D70" s="430"/>
      <c r="E70" s="324"/>
      <c r="F70" s="5"/>
      <c r="G70" s="266"/>
    </row>
    <row r="71" spans="1:7" ht="33" customHeight="1">
      <c r="A71" s="105" t="s">
        <v>517</v>
      </c>
      <c r="B71" s="415"/>
      <c r="C71" s="347" t="s">
        <v>314</v>
      </c>
      <c r="D71" s="80" t="s">
        <v>251</v>
      </c>
      <c r="E71" s="324">
        <f>E77*1%</f>
        <v>5.28415999964E-2</v>
      </c>
      <c r="F71" s="5"/>
      <c r="G71" s="266"/>
    </row>
    <row r="72" spans="1:7" s="75" customFormat="1" ht="18" customHeight="1">
      <c r="A72" s="105" t="s">
        <v>518</v>
      </c>
      <c r="B72" s="416" t="s">
        <v>17</v>
      </c>
      <c r="C72" s="434" t="s">
        <v>319</v>
      </c>
      <c r="D72" s="436"/>
      <c r="E72" s="324"/>
      <c r="F72" s="4"/>
      <c r="G72" s="266"/>
    </row>
    <row r="73" spans="1:7" s="75" customFormat="1" ht="18" customHeight="1">
      <c r="A73" s="105" t="s">
        <v>519</v>
      </c>
      <c r="B73" s="416" t="s">
        <v>20</v>
      </c>
      <c r="C73" s="435" t="s">
        <v>321</v>
      </c>
      <c r="D73" s="436"/>
      <c r="E73" s="324"/>
      <c r="F73" s="449"/>
      <c r="G73" s="266"/>
    </row>
    <row r="74" spans="1:7" s="75" customFormat="1" ht="31.5" customHeight="1">
      <c r="A74" s="105" t="s">
        <v>520</v>
      </c>
      <c r="B74" s="415"/>
      <c r="C74" s="347" t="s">
        <v>323</v>
      </c>
      <c r="D74" s="80" t="s">
        <v>251</v>
      </c>
      <c r="E74" s="324">
        <f>E77*1%</f>
        <v>5.28415999964E-2</v>
      </c>
      <c r="F74" s="6"/>
      <c r="G74" s="266"/>
    </row>
    <row r="75" spans="1:7" s="75" customFormat="1" ht="18" customHeight="1">
      <c r="A75" s="105" t="s">
        <v>521</v>
      </c>
      <c r="B75" s="416" t="s">
        <v>224</v>
      </c>
      <c r="C75" s="434" t="s">
        <v>325</v>
      </c>
      <c r="D75" s="413"/>
      <c r="E75" s="324"/>
      <c r="F75" s="449"/>
      <c r="G75" s="266"/>
    </row>
    <row r="76" spans="1:7" ht="18" customHeight="1">
      <c r="A76" s="105" t="s">
        <v>522</v>
      </c>
      <c r="B76" s="415"/>
      <c r="C76" s="435" t="s">
        <v>327</v>
      </c>
      <c r="D76" s="413"/>
      <c r="E76" s="324"/>
      <c r="F76" s="454"/>
      <c r="G76" s="266"/>
    </row>
    <row r="77" spans="1:7" s="75" customFormat="1" ht="18" customHeight="1">
      <c r="A77" s="105" t="s">
        <v>523</v>
      </c>
      <c r="B77" s="415"/>
      <c r="C77" s="437" t="s">
        <v>329</v>
      </c>
      <c r="D77" s="430" t="s">
        <v>207</v>
      </c>
      <c r="E77" s="324">
        <f>26420799.9982/1000^2*((3*4)/(10*6))</f>
        <v>5.2841599996399999</v>
      </c>
      <c r="F77" s="392"/>
      <c r="G77" s="266"/>
    </row>
    <row r="78" spans="1:7" s="50" customFormat="1" ht="12" customHeight="1">
      <c r="A78" s="105"/>
      <c r="B78" s="207"/>
      <c r="C78" s="438"/>
      <c r="D78" s="84"/>
      <c r="E78" s="124"/>
      <c r="F78" s="452"/>
      <c r="G78" s="266"/>
    </row>
    <row r="79" spans="1:7" ht="27" customHeight="1">
      <c r="A79" s="105" t="s">
        <v>524</v>
      </c>
      <c r="B79" s="239" t="s">
        <v>331</v>
      </c>
      <c r="C79" s="439" t="s">
        <v>332</v>
      </c>
      <c r="D79" s="430"/>
      <c r="E79" s="324"/>
      <c r="F79" s="449"/>
      <c r="G79" s="266"/>
    </row>
    <row r="80" spans="1:7" ht="18" customHeight="1">
      <c r="A80" s="105" t="s">
        <v>525</v>
      </c>
      <c r="B80" s="77" t="s">
        <v>334</v>
      </c>
      <c r="C80" s="247" t="s">
        <v>335</v>
      </c>
      <c r="D80" s="80"/>
      <c r="E80" s="324"/>
      <c r="F80" s="449"/>
      <c r="G80" s="266"/>
    </row>
    <row r="81" spans="1:7" ht="18" customHeight="1">
      <c r="A81" s="105" t="s">
        <v>526</v>
      </c>
      <c r="B81" s="77"/>
      <c r="C81" s="422" t="s">
        <v>337</v>
      </c>
      <c r="D81" s="80" t="s">
        <v>251</v>
      </c>
      <c r="E81" s="324">
        <f>E74</f>
        <v>5.28415999964E-2</v>
      </c>
      <c r="F81" s="388"/>
      <c r="G81" s="266"/>
    </row>
    <row r="82" spans="1:7" ht="18" customHeight="1">
      <c r="A82" s="105" t="s">
        <v>527</v>
      </c>
      <c r="B82" s="77"/>
      <c r="C82" s="422" t="s">
        <v>339</v>
      </c>
      <c r="D82" s="80" t="s">
        <v>251</v>
      </c>
      <c r="E82" s="324">
        <f>E81*10%</f>
        <v>5.2841599996400002E-3</v>
      </c>
      <c r="F82" s="392"/>
      <c r="G82" s="266"/>
    </row>
    <row r="83" spans="1:7" ht="18" customHeight="1">
      <c r="A83" s="105" t="s">
        <v>528</v>
      </c>
      <c r="B83" s="239" t="s">
        <v>1677</v>
      </c>
      <c r="C83" s="432" t="s">
        <v>342</v>
      </c>
      <c r="D83" s="413"/>
      <c r="E83" s="431"/>
      <c r="F83" s="451"/>
      <c r="G83" s="266"/>
    </row>
    <row r="84" spans="1:7" ht="18" customHeight="1">
      <c r="A84" s="105" t="s">
        <v>529</v>
      </c>
      <c r="B84" s="416" t="s">
        <v>344</v>
      </c>
      <c r="C84" s="434" t="s">
        <v>345</v>
      </c>
      <c r="D84" s="408"/>
      <c r="E84" s="440"/>
      <c r="F84" s="455"/>
      <c r="G84" s="266"/>
    </row>
    <row r="85" spans="1:7" ht="18" customHeight="1">
      <c r="A85" s="105" t="s">
        <v>530</v>
      </c>
      <c r="B85" s="409"/>
      <c r="C85" s="435" t="s">
        <v>346</v>
      </c>
      <c r="D85" s="408"/>
      <c r="E85" s="431"/>
      <c r="F85" s="455"/>
      <c r="G85" s="266"/>
    </row>
    <row r="86" spans="1:7" ht="51.75" customHeight="1">
      <c r="A86" s="105" t="s">
        <v>531</v>
      </c>
      <c r="B86" s="409"/>
      <c r="C86" s="347" t="s">
        <v>347</v>
      </c>
      <c r="D86" s="323" t="s">
        <v>156</v>
      </c>
      <c r="E86" s="324">
        <v>0</v>
      </c>
      <c r="F86" s="456"/>
      <c r="G86" s="97"/>
    </row>
    <row r="87" spans="1:7" ht="18" customHeight="1">
      <c r="A87" s="105" t="s">
        <v>532</v>
      </c>
      <c r="B87" s="441" t="s">
        <v>348</v>
      </c>
      <c r="C87" s="432" t="s">
        <v>349</v>
      </c>
      <c r="D87" s="323"/>
      <c r="E87" s="324"/>
      <c r="F87" s="457"/>
      <c r="G87" s="97"/>
    </row>
    <row r="88" spans="1:7" ht="18" customHeight="1">
      <c r="A88" s="105" t="s">
        <v>533</v>
      </c>
      <c r="B88" s="416" t="s">
        <v>350</v>
      </c>
      <c r="C88" s="247" t="s">
        <v>351</v>
      </c>
      <c r="D88" s="323"/>
      <c r="E88" s="324"/>
      <c r="F88" s="456"/>
      <c r="G88" s="97"/>
    </row>
    <row r="89" spans="1:7" ht="18" customHeight="1">
      <c r="A89" s="105" t="s">
        <v>534</v>
      </c>
      <c r="B89" s="416" t="s">
        <v>352</v>
      </c>
      <c r="C89" s="435" t="s">
        <v>353</v>
      </c>
      <c r="D89" s="323"/>
      <c r="E89" s="324"/>
      <c r="F89" s="447"/>
      <c r="G89" s="97"/>
    </row>
    <row r="90" spans="1:7" ht="18" customHeight="1">
      <c r="A90" s="622" t="s">
        <v>88</v>
      </c>
      <c r="B90" s="623"/>
      <c r="C90" s="623"/>
      <c r="D90" s="356"/>
      <c r="E90" s="357"/>
      <c r="F90" s="387"/>
      <c r="G90" s="270"/>
    </row>
    <row r="91" spans="1:7" ht="18" customHeight="1">
      <c r="A91" s="622" t="s">
        <v>89</v>
      </c>
      <c r="B91" s="623"/>
      <c r="C91" s="623"/>
      <c r="D91" s="356"/>
      <c r="E91" s="357"/>
      <c r="F91" s="387"/>
      <c r="G91" s="270"/>
    </row>
    <row r="92" spans="1:7" ht="27.6">
      <c r="A92" s="105" t="s">
        <v>535</v>
      </c>
      <c r="B92" s="416"/>
      <c r="C92" s="429" t="s">
        <v>1693</v>
      </c>
      <c r="D92" s="323" t="s">
        <v>207</v>
      </c>
      <c r="E92" s="324">
        <f>((43513599.9999+26873600)/1000^2)*2*((3*4)/(10*6))</f>
        <v>28.154879999960002</v>
      </c>
      <c r="F92" s="456"/>
      <c r="G92" s="97"/>
    </row>
    <row r="93" spans="1:7">
      <c r="A93" s="105" t="s">
        <v>536</v>
      </c>
      <c r="B93" s="416"/>
      <c r="C93" s="429" t="s">
        <v>1694</v>
      </c>
      <c r="D93" s="323" t="s">
        <v>207</v>
      </c>
      <c r="E93" s="324">
        <f>E92</f>
        <v>28.154879999960002</v>
      </c>
      <c r="F93" s="456"/>
      <c r="G93" s="97"/>
    </row>
    <row r="94" spans="1:7" ht="27.6">
      <c r="A94" s="105" t="s">
        <v>537</v>
      </c>
      <c r="B94" s="416"/>
      <c r="C94" s="429" t="s">
        <v>1695</v>
      </c>
      <c r="D94" s="323" t="s">
        <v>207</v>
      </c>
      <c r="E94" s="324">
        <f>((8.3+0.9)*2+(0.9+2.6+0.9))*0.675*((3*4)/(10*6))</f>
        <v>3.0780000000000012</v>
      </c>
      <c r="F94" s="456"/>
      <c r="G94" s="97"/>
    </row>
    <row r="95" spans="1:7">
      <c r="A95" s="105"/>
      <c r="B95" s="416"/>
      <c r="C95" s="429"/>
      <c r="D95" s="323"/>
      <c r="E95" s="324"/>
      <c r="F95" s="456"/>
      <c r="G95" s="97"/>
    </row>
    <row r="96" spans="1:7">
      <c r="A96" s="105" t="s">
        <v>1753</v>
      </c>
      <c r="B96" s="416"/>
      <c r="C96" s="429" t="s">
        <v>1697</v>
      </c>
      <c r="D96" s="323"/>
      <c r="E96" s="324"/>
      <c r="F96" s="456"/>
      <c r="G96" s="97"/>
    </row>
    <row r="97" spans="1:7">
      <c r="A97" s="105" t="s">
        <v>538</v>
      </c>
      <c r="B97" s="416"/>
      <c r="C97" s="429" t="s">
        <v>1699</v>
      </c>
      <c r="D97" s="323"/>
      <c r="E97" s="324"/>
      <c r="F97" s="456"/>
      <c r="G97" s="97"/>
    </row>
    <row r="98" spans="1:7">
      <c r="A98" s="105" t="s">
        <v>539</v>
      </c>
      <c r="B98" s="416"/>
      <c r="C98" s="429" t="s">
        <v>1701</v>
      </c>
      <c r="D98" s="323" t="s">
        <v>207</v>
      </c>
      <c r="E98" s="324">
        <f>3.3*(3.2*2+3.3*2)*1.2</f>
        <v>51.48</v>
      </c>
      <c r="F98" s="456"/>
      <c r="G98" s="97"/>
    </row>
    <row r="99" spans="1:7">
      <c r="A99" s="105" t="s">
        <v>540</v>
      </c>
      <c r="B99" s="416"/>
      <c r="C99" s="429" t="s">
        <v>1703</v>
      </c>
      <c r="D99" s="323"/>
      <c r="E99" s="324"/>
      <c r="F99" s="456"/>
      <c r="G99" s="97"/>
    </row>
    <row r="100" spans="1:7">
      <c r="A100" s="105" t="s">
        <v>541</v>
      </c>
      <c r="B100" s="416"/>
      <c r="C100" s="429" t="s">
        <v>1705</v>
      </c>
      <c r="D100" s="323" t="s">
        <v>303</v>
      </c>
      <c r="E100" s="324">
        <f>3.3*(4.2*2+3.3*2)*2</f>
        <v>99</v>
      </c>
      <c r="F100" s="456"/>
      <c r="G100" s="97"/>
    </row>
    <row r="101" spans="1:7">
      <c r="A101" s="105" t="s">
        <v>542</v>
      </c>
      <c r="B101" s="416"/>
      <c r="C101" s="429" t="s">
        <v>1707</v>
      </c>
      <c r="D101" s="323"/>
      <c r="E101" s="324"/>
      <c r="F101" s="456"/>
      <c r="G101" s="97"/>
    </row>
    <row r="102" spans="1:7">
      <c r="A102" s="105" t="s">
        <v>543</v>
      </c>
      <c r="B102" s="416"/>
      <c r="C102" s="429" t="s">
        <v>1709</v>
      </c>
      <c r="D102" s="323" t="s">
        <v>303</v>
      </c>
      <c r="E102" s="324">
        <v>1</v>
      </c>
      <c r="F102" s="456"/>
      <c r="G102" s="97"/>
    </row>
    <row r="103" spans="1:7">
      <c r="A103" s="105"/>
      <c r="B103" s="416"/>
      <c r="C103" s="429"/>
      <c r="D103" s="323"/>
      <c r="E103" s="324"/>
      <c r="F103" s="456"/>
      <c r="G103" s="97"/>
    </row>
    <row r="104" spans="1:7">
      <c r="A104" s="105" t="s">
        <v>1754</v>
      </c>
      <c r="B104" s="416"/>
      <c r="C104" s="429" t="s">
        <v>1711</v>
      </c>
      <c r="D104" s="323"/>
      <c r="E104" s="324"/>
      <c r="F104" s="456"/>
      <c r="G104" s="97"/>
    </row>
    <row r="105" spans="1:7">
      <c r="A105" s="105" t="s">
        <v>1755</v>
      </c>
      <c r="B105" s="416"/>
      <c r="C105" s="429" t="s">
        <v>1713</v>
      </c>
      <c r="D105" s="323" t="s">
        <v>207</v>
      </c>
      <c r="E105" s="324">
        <f>3.3*(4.2*2+3.3*2)*1.1</f>
        <v>54.45</v>
      </c>
      <c r="F105" s="456"/>
      <c r="G105" s="97"/>
    </row>
    <row r="106" spans="1:7">
      <c r="A106" s="105"/>
      <c r="B106" s="416"/>
      <c r="C106" s="429"/>
      <c r="D106" s="323"/>
      <c r="E106" s="324"/>
      <c r="F106" s="456"/>
      <c r="G106" s="97"/>
    </row>
    <row r="107" spans="1:7">
      <c r="A107" s="105" t="s">
        <v>1756</v>
      </c>
      <c r="B107" s="416"/>
      <c r="C107" s="429" t="s">
        <v>1715</v>
      </c>
      <c r="D107" s="323"/>
      <c r="E107" s="324"/>
      <c r="F107" s="456"/>
      <c r="G107" s="97"/>
    </row>
    <row r="108" spans="1:7" ht="41.4">
      <c r="A108" s="105" t="s">
        <v>1757</v>
      </c>
      <c r="B108" s="416"/>
      <c r="C108" s="429" t="s">
        <v>1717</v>
      </c>
      <c r="D108" s="323" t="s">
        <v>207</v>
      </c>
      <c r="E108" s="324">
        <f>E105</f>
        <v>54.45</v>
      </c>
      <c r="F108" s="456"/>
      <c r="G108" s="97"/>
    </row>
    <row r="109" spans="1:7" ht="18" customHeight="1">
      <c r="A109" s="105"/>
      <c r="B109" s="207"/>
      <c r="C109" s="442"/>
      <c r="D109" s="105"/>
      <c r="E109" s="324"/>
      <c r="F109" s="458"/>
      <c r="G109" s="97"/>
    </row>
    <row r="110" spans="1:7" ht="18" customHeight="1">
      <c r="A110" s="105" t="s">
        <v>1758</v>
      </c>
      <c r="B110" s="416" t="s">
        <v>354</v>
      </c>
      <c r="C110" s="434" t="s">
        <v>355</v>
      </c>
      <c r="D110" s="323"/>
      <c r="E110" s="324"/>
      <c r="F110" s="458"/>
      <c r="G110" s="97"/>
    </row>
    <row r="111" spans="1:7" ht="18" customHeight="1">
      <c r="A111" s="105" t="s">
        <v>1759</v>
      </c>
      <c r="B111" s="416" t="s">
        <v>356</v>
      </c>
      <c r="C111" s="435" t="s">
        <v>357</v>
      </c>
      <c r="D111" s="323"/>
      <c r="E111" s="324"/>
      <c r="F111" s="458"/>
      <c r="G111" s="97"/>
    </row>
    <row r="112" spans="1:7" ht="55.2">
      <c r="A112" s="105" t="s">
        <v>1760</v>
      </c>
      <c r="B112" s="425"/>
      <c r="C112" s="429" t="s">
        <v>463</v>
      </c>
      <c r="D112" s="323" t="s">
        <v>156</v>
      </c>
      <c r="E112" s="66">
        <v>1</v>
      </c>
      <c r="F112" s="456"/>
      <c r="G112" s="97"/>
    </row>
    <row r="113" spans="1:7" ht="18" customHeight="1">
      <c r="A113" s="105"/>
      <c r="B113" s="425"/>
      <c r="C113" s="429"/>
      <c r="D113" s="323"/>
      <c r="E113" s="66"/>
      <c r="F113" s="456"/>
      <c r="G113" s="97"/>
    </row>
    <row r="114" spans="1:7" ht="18" customHeight="1">
      <c r="A114" s="105" t="s">
        <v>1761</v>
      </c>
      <c r="B114" s="206" t="s">
        <v>359</v>
      </c>
      <c r="C114" s="443" t="s">
        <v>1546</v>
      </c>
      <c r="D114" s="80"/>
      <c r="E114" s="444"/>
      <c r="F114" s="459"/>
      <c r="G114" s="97"/>
    </row>
    <row r="115" spans="1:7" ht="33.75" customHeight="1">
      <c r="A115" s="105" t="s">
        <v>1762</v>
      </c>
      <c r="B115" s="159"/>
      <c r="C115" s="429" t="s">
        <v>360</v>
      </c>
      <c r="D115" s="323" t="s">
        <v>156</v>
      </c>
      <c r="E115" s="324">
        <v>12</v>
      </c>
      <c r="F115" s="2"/>
      <c r="G115" s="97"/>
    </row>
    <row r="116" spans="1:7" ht="75.75" customHeight="1">
      <c r="A116" s="105" t="s">
        <v>1763</v>
      </c>
      <c r="B116" s="208"/>
      <c r="C116" s="429" t="s">
        <v>1547</v>
      </c>
      <c r="D116" s="323" t="s">
        <v>303</v>
      </c>
      <c r="E116" s="124">
        <f>E63</f>
        <v>8.4700000000000006</v>
      </c>
      <c r="F116" s="97"/>
      <c r="G116" s="97"/>
    </row>
    <row r="117" spans="1:7" ht="18" customHeight="1">
      <c r="A117" s="105"/>
      <c r="B117" s="208"/>
      <c r="C117" s="435"/>
      <c r="D117" s="323"/>
      <c r="E117" s="124"/>
      <c r="F117" s="97"/>
      <c r="G117" s="97"/>
    </row>
    <row r="118" spans="1:7" ht="18" customHeight="1">
      <c r="A118" s="105" t="s">
        <v>1764</v>
      </c>
      <c r="B118" s="409"/>
      <c r="C118" s="443" t="s">
        <v>365</v>
      </c>
      <c r="D118" s="436"/>
      <c r="E118" s="124"/>
      <c r="F118" s="459"/>
      <c r="G118" s="97"/>
    </row>
    <row r="119" spans="1:7" ht="18" customHeight="1">
      <c r="A119" s="105" t="s">
        <v>1765</v>
      </c>
      <c r="B119" s="429"/>
      <c r="C119" s="429" t="s">
        <v>1721</v>
      </c>
      <c r="D119" s="445" t="s">
        <v>207</v>
      </c>
      <c r="E119" s="445">
        <f>4.2*3.3*1.2</f>
        <v>16.631999999999998</v>
      </c>
      <c r="F119" s="447"/>
      <c r="G119" s="97"/>
    </row>
    <row r="120" spans="1:7" ht="18" customHeight="1">
      <c r="A120" s="105" t="s">
        <v>1766</v>
      </c>
      <c r="B120" s="429"/>
      <c r="C120" s="429" t="s">
        <v>1723</v>
      </c>
      <c r="D120" s="445" t="s">
        <v>207</v>
      </c>
      <c r="E120" s="445">
        <f>E119*1.58</f>
        <v>26.278559999999999</v>
      </c>
      <c r="F120" s="447"/>
      <c r="G120" s="97"/>
    </row>
    <row r="121" spans="1:7" ht="18" customHeight="1">
      <c r="A121" s="105" t="s">
        <v>1767</v>
      </c>
      <c r="B121" s="429"/>
      <c r="C121" s="429" t="s">
        <v>1725</v>
      </c>
      <c r="D121" s="445" t="s">
        <v>207</v>
      </c>
      <c r="E121" s="445">
        <f>3.3*(3.3*2+4.2*2)*1.1</f>
        <v>54.45</v>
      </c>
      <c r="F121" s="447"/>
      <c r="G121" s="97"/>
    </row>
    <row r="122" spans="1:7" ht="18" customHeight="1">
      <c r="A122" s="105" t="s">
        <v>1768</v>
      </c>
      <c r="B122" s="429"/>
      <c r="C122" s="429" t="s">
        <v>1727</v>
      </c>
      <c r="D122" s="445" t="s">
        <v>207</v>
      </c>
      <c r="E122" s="445">
        <f>3.3*(3.3*2+4.2*2)</f>
        <v>49.5</v>
      </c>
      <c r="F122" s="447"/>
      <c r="G122" s="97"/>
    </row>
    <row r="123" spans="1:7" ht="18" customHeight="1">
      <c r="A123" s="105"/>
      <c r="B123" s="207"/>
      <c r="C123" s="426"/>
      <c r="D123" s="59"/>
      <c r="E123" s="151"/>
      <c r="F123" s="447"/>
      <c r="G123" s="97"/>
    </row>
    <row r="124" spans="1:7" ht="18" customHeight="1">
      <c r="A124" s="105"/>
      <c r="B124" s="207"/>
      <c r="C124" s="426"/>
      <c r="D124" s="59"/>
      <c r="E124" s="151"/>
      <c r="F124" s="447"/>
      <c r="G124" s="97"/>
    </row>
    <row r="125" spans="1:7" ht="18" customHeight="1">
      <c r="A125" s="105"/>
      <c r="B125" s="207"/>
      <c r="C125" s="426"/>
      <c r="D125" s="59"/>
      <c r="E125" s="151"/>
      <c r="F125" s="447"/>
      <c r="G125" s="97"/>
    </row>
    <row r="126" spans="1:7" ht="18" customHeight="1">
      <c r="A126" s="610" t="s">
        <v>1868</v>
      </c>
      <c r="B126" s="611"/>
      <c r="C126" s="611"/>
      <c r="D126" s="611"/>
      <c r="E126" s="611"/>
      <c r="F126" s="612"/>
      <c r="G126" s="446"/>
    </row>
  </sheetData>
  <mergeCells count="7">
    <mergeCell ref="A126:F126"/>
    <mergeCell ref="A1:G1"/>
    <mergeCell ref="A47:C47"/>
    <mergeCell ref="A48:C48"/>
    <mergeCell ref="A90:C90"/>
    <mergeCell ref="A91:C91"/>
    <mergeCell ref="A3:E3"/>
  </mergeCells>
  <phoneticPr fontId="11" type="noConversion"/>
  <pageMargins left="0.70866141732283505" right="0.70866141732283505" top="1.2992125984252001" bottom="0.74803149606299202" header="0.31496062992126" footer="0.31496062992126"/>
  <pageSetup paperSize="9" scale="74" firstPageNumber="22"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rowBreaks count="2" manualBreakCount="2">
    <brk id="47" max="16383" man="1"/>
    <brk id="90"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1192-92B4-46CC-827A-DBBECA638460}">
  <sheetPr>
    <tabColor rgb="FFFFFF00"/>
  </sheetPr>
  <dimension ref="A1:M151"/>
  <sheetViews>
    <sheetView view="pageBreakPreview" topLeftCell="A25" zoomScale="110" zoomScaleNormal="100" zoomScaleSheetLayoutView="110" workbookViewId="0">
      <selection activeCell="J13" sqref="J13"/>
    </sheetView>
  </sheetViews>
  <sheetFormatPr defaultColWidth="5.6640625" defaultRowHeight="13.8"/>
  <cols>
    <col min="1" max="1" width="6.33203125" style="88" customWidth="1"/>
    <col min="2" max="2" width="8" style="89" customWidth="1"/>
    <col min="3" max="3" width="48.88671875" style="90" customWidth="1"/>
    <col min="4" max="4" width="6.88671875" style="91" customWidth="1"/>
    <col min="5" max="5" width="6.33203125" style="92" customWidth="1"/>
    <col min="6" max="6" width="13.33203125" style="44" customWidth="1"/>
    <col min="7" max="7" width="19.44140625" style="44" customWidth="1"/>
    <col min="8" max="8" width="6" style="44" hidden="1" customWidth="1"/>
    <col min="9" max="10" width="15" style="44" hidden="1" customWidth="1"/>
    <col min="11" max="11" width="6" style="44" hidden="1" customWidth="1"/>
    <col min="12" max="13" width="15" style="44" hidden="1" customWidth="1"/>
    <col min="14" max="16384" width="5.6640625" style="44"/>
  </cols>
  <sheetData>
    <row r="1" spans="1:13" s="88" customFormat="1" ht="23.25" customHeight="1">
      <c r="A1" s="636" t="s">
        <v>1806</v>
      </c>
      <c r="B1" s="614"/>
      <c r="C1" s="614"/>
      <c r="D1" s="614"/>
      <c r="E1" s="614"/>
      <c r="F1" s="614"/>
      <c r="G1" s="615"/>
      <c r="H1" s="314"/>
      <c r="I1" s="314"/>
      <c r="J1" s="314"/>
      <c r="K1" s="314"/>
      <c r="L1" s="314"/>
      <c r="M1" s="314"/>
    </row>
    <row r="2" spans="1:13" ht="25.5" customHeight="1">
      <c r="A2" s="637" t="s">
        <v>4</v>
      </c>
      <c r="B2" s="638" t="s">
        <v>5</v>
      </c>
      <c r="C2" s="637" t="s">
        <v>1</v>
      </c>
      <c r="D2" s="639" t="s">
        <v>6</v>
      </c>
      <c r="E2" s="640" t="s">
        <v>7</v>
      </c>
      <c r="F2" s="642" t="s">
        <v>8</v>
      </c>
      <c r="G2" s="642" t="s">
        <v>9</v>
      </c>
      <c r="H2" s="634" t="e">
        <f>[1]Summary!D2</f>
        <v>#REF!</v>
      </c>
      <c r="I2" s="634"/>
      <c r="J2" s="634"/>
      <c r="K2" s="634" t="e">
        <f>[1]Summary!F2</f>
        <v>#REF!</v>
      </c>
      <c r="L2" s="634"/>
      <c r="M2" s="634"/>
    </row>
    <row r="3" spans="1:13" s="50" customFormat="1">
      <c r="A3" s="637"/>
      <c r="B3" s="638"/>
      <c r="C3" s="637"/>
      <c r="D3" s="639"/>
      <c r="E3" s="641"/>
      <c r="F3" s="643"/>
      <c r="G3" s="643"/>
      <c r="H3" s="190" t="s">
        <v>7</v>
      </c>
      <c r="I3" s="191" t="s">
        <v>8</v>
      </c>
      <c r="J3" s="191" t="s">
        <v>9</v>
      </c>
      <c r="K3" s="190" t="s">
        <v>7</v>
      </c>
      <c r="L3" s="191" t="s">
        <v>8</v>
      </c>
      <c r="M3" s="191" t="s">
        <v>9</v>
      </c>
    </row>
    <row r="4" spans="1:13">
      <c r="A4" s="624" t="s">
        <v>1869</v>
      </c>
      <c r="B4" s="625"/>
      <c r="C4" s="625"/>
      <c r="D4" s="625"/>
      <c r="E4" s="626"/>
      <c r="F4" s="192"/>
      <c r="G4" s="193"/>
      <c r="H4" s="315"/>
      <c r="I4" s="55"/>
      <c r="J4" s="55"/>
      <c r="K4" s="315"/>
      <c r="L4" s="55"/>
      <c r="M4" s="55"/>
    </row>
    <row r="5" spans="1:13">
      <c r="A5" s="316"/>
      <c r="B5" s="317"/>
      <c r="C5" s="317"/>
      <c r="D5" s="317"/>
      <c r="E5" s="318"/>
      <c r="F5" s="319"/>
      <c r="G5" s="320"/>
      <c r="H5" s="203"/>
      <c r="I5" s="61"/>
      <c r="J5" s="61"/>
      <c r="K5" s="203"/>
      <c r="L5" s="61"/>
      <c r="M5" s="61"/>
    </row>
    <row r="6" spans="1:13" ht="27.6">
      <c r="A6" s="56">
        <v>2.5</v>
      </c>
      <c r="B6" s="57"/>
      <c r="C6" s="58" t="str">
        <f>A1</f>
        <v>SCHEDULE 2.5 : CIVIL ENGINEERING - BELT PRESS STRUCTURAL SUPPORT AND GENERAL ITEMS</v>
      </c>
      <c r="D6" s="64"/>
      <c r="E6" s="66"/>
      <c r="F6" s="94"/>
      <c r="G6" s="94"/>
      <c r="H6" s="203"/>
      <c r="I6" s="61"/>
      <c r="J6" s="61"/>
      <c r="K6" s="203"/>
      <c r="L6" s="61"/>
      <c r="M6" s="61"/>
    </row>
    <row r="7" spans="1:13" ht="16.5" customHeight="1">
      <c r="A7" s="56"/>
      <c r="B7" s="57"/>
      <c r="C7" s="58"/>
      <c r="D7" s="64"/>
      <c r="E7" s="66"/>
      <c r="F7" s="94"/>
      <c r="G7" s="94"/>
      <c r="H7" s="203"/>
      <c r="I7" s="61"/>
      <c r="J7" s="61"/>
      <c r="K7" s="203"/>
      <c r="L7" s="61"/>
      <c r="M7" s="61"/>
    </row>
    <row r="8" spans="1:13" ht="23.25" customHeight="1">
      <c r="A8" s="56" t="s">
        <v>1782</v>
      </c>
      <c r="B8" s="321" t="s">
        <v>200</v>
      </c>
      <c r="C8" s="322" t="s">
        <v>1536</v>
      </c>
      <c r="D8" s="323"/>
      <c r="E8" s="324"/>
      <c r="F8" s="390"/>
      <c r="G8" s="391"/>
      <c r="H8" s="325"/>
      <c r="I8" s="319"/>
      <c r="J8" s="320"/>
      <c r="K8" s="325"/>
      <c r="L8" s="319"/>
      <c r="M8" s="320"/>
    </row>
    <row r="9" spans="1:13" ht="18" customHeight="1">
      <c r="A9" s="64" t="s">
        <v>1773</v>
      </c>
      <c r="B9" s="206" t="s">
        <v>13</v>
      </c>
      <c r="C9" s="212" t="s">
        <v>203</v>
      </c>
      <c r="D9" s="323"/>
      <c r="E9" s="324"/>
      <c r="F9" s="390"/>
      <c r="G9" s="391"/>
      <c r="H9" s="325"/>
      <c r="I9" s="319"/>
      <c r="J9" s="320"/>
      <c r="K9" s="325"/>
      <c r="L9" s="319"/>
      <c r="M9" s="320"/>
    </row>
    <row r="10" spans="1:13" ht="18" customHeight="1">
      <c r="A10" s="64" t="s">
        <v>1774</v>
      </c>
      <c r="B10" s="207" t="s">
        <v>205</v>
      </c>
      <c r="C10" s="198" t="s">
        <v>206</v>
      </c>
      <c r="D10" s="323" t="s">
        <v>207</v>
      </c>
      <c r="E10" s="324">
        <v>10.7</v>
      </c>
      <c r="F10" s="97"/>
      <c r="G10" s="266"/>
      <c r="H10" s="326"/>
      <c r="I10" s="327">
        <v>34.436600000000006</v>
      </c>
      <c r="J10" s="204">
        <f t="shared" ref="J10:J12" si="0">H10*I10</f>
        <v>0</v>
      </c>
      <c r="K10" s="326"/>
      <c r="L10" s="327">
        <v>34.436600000000006</v>
      </c>
      <c r="M10" s="204">
        <f t="shared" ref="M10:M12" si="1">K10*L10</f>
        <v>0</v>
      </c>
    </row>
    <row r="11" spans="1:13" ht="37.5" customHeight="1">
      <c r="A11" s="64" t="s">
        <v>1775</v>
      </c>
      <c r="B11" s="207" t="s">
        <v>209</v>
      </c>
      <c r="C11" s="153" t="s">
        <v>1537</v>
      </c>
      <c r="D11" s="323" t="s">
        <v>207</v>
      </c>
      <c r="E11" s="324">
        <v>10.7</v>
      </c>
      <c r="F11" s="97"/>
      <c r="G11" s="266"/>
      <c r="H11" s="326"/>
      <c r="I11" s="327">
        <v>40.339475</v>
      </c>
      <c r="J11" s="204">
        <f t="shared" si="0"/>
        <v>0</v>
      </c>
      <c r="K11" s="326"/>
      <c r="L11" s="327">
        <v>40.339475</v>
      </c>
      <c r="M11" s="204">
        <f t="shared" si="1"/>
        <v>0</v>
      </c>
    </row>
    <row r="12" spans="1:13" ht="39.75" customHeight="1">
      <c r="A12" s="64" t="s">
        <v>1776</v>
      </c>
      <c r="B12" s="328"/>
      <c r="C12" s="153" t="s">
        <v>1538</v>
      </c>
      <c r="D12" s="323" t="s">
        <v>215</v>
      </c>
      <c r="E12" s="324">
        <f>15*PI()</f>
        <v>47.123889803846893</v>
      </c>
      <c r="F12" s="97"/>
      <c r="G12" s="266"/>
      <c r="H12" s="326"/>
      <c r="I12" s="327">
        <v>221.17768723341601</v>
      </c>
      <c r="J12" s="204">
        <f t="shared" si="0"/>
        <v>0</v>
      </c>
      <c r="K12" s="326"/>
      <c r="L12" s="327">
        <v>221.17768723341601</v>
      </c>
      <c r="M12" s="204">
        <f t="shared" si="1"/>
        <v>0</v>
      </c>
    </row>
    <row r="13" spans="1:13" ht="18" customHeight="1">
      <c r="A13" s="64" t="s">
        <v>1777</v>
      </c>
      <c r="B13" s="206" t="s">
        <v>47</v>
      </c>
      <c r="C13" s="198" t="s">
        <v>1539</v>
      </c>
      <c r="D13" s="323"/>
      <c r="E13" s="324"/>
      <c r="F13" s="392"/>
      <c r="G13" s="266"/>
      <c r="H13" s="326"/>
      <c r="I13" s="329"/>
      <c r="J13" s="204"/>
      <c r="K13" s="326"/>
      <c r="L13" s="329"/>
      <c r="M13" s="204"/>
    </row>
    <row r="14" spans="1:13" ht="18" customHeight="1">
      <c r="A14" s="64" t="s">
        <v>1778</v>
      </c>
      <c r="B14" s="206"/>
      <c r="C14" s="198" t="s">
        <v>218</v>
      </c>
      <c r="D14" s="323"/>
      <c r="E14" s="324"/>
      <c r="F14" s="393"/>
      <c r="G14" s="266"/>
      <c r="H14" s="326"/>
      <c r="I14" s="330"/>
      <c r="J14" s="204"/>
      <c r="K14" s="326"/>
      <c r="L14" s="330"/>
      <c r="M14" s="204"/>
    </row>
    <row r="15" spans="1:13" ht="18" customHeight="1">
      <c r="A15" s="64" t="s">
        <v>1779</v>
      </c>
      <c r="B15" s="207"/>
      <c r="C15" s="331" t="s">
        <v>220</v>
      </c>
      <c r="D15" s="323" t="s">
        <v>215</v>
      </c>
      <c r="E15" s="324">
        <f>E12*35%</f>
        <v>16.493361431346411</v>
      </c>
      <c r="F15" s="392"/>
      <c r="G15" s="266"/>
      <c r="H15" s="326"/>
      <c r="I15" s="329">
        <v>43.173474240369707</v>
      </c>
      <c r="J15" s="204">
        <f t="shared" ref="J15:J17" si="2">H15*I15</f>
        <v>0</v>
      </c>
      <c r="K15" s="326"/>
      <c r="L15" s="329">
        <v>43.173474240369707</v>
      </c>
      <c r="M15" s="204">
        <f t="shared" ref="M15:M17" si="3">K15*L15</f>
        <v>0</v>
      </c>
    </row>
    <row r="16" spans="1:13" ht="18" customHeight="1">
      <c r="A16" s="64" t="s">
        <v>1780</v>
      </c>
      <c r="B16" s="207"/>
      <c r="C16" s="331" t="s">
        <v>222</v>
      </c>
      <c r="D16" s="323" t="s">
        <v>215</v>
      </c>
      <c r="E16" s="324">
        <f>E15</f>
        <v>16.493361431346411</v>
      </c>
      <c r="F16" s="392"/>
      <c r="G16" s="266"/>
      <c r="H16" s="326"/>
      <c r="I16" s="329">
        <v>681.00613825605785</v>
      </c>
      <c r="J16" s="204">
        <f t="shared" si="2"/>
        <v>0</v>
      </c>
      <c r="K16" s="326"/>
      <c r="L16" s="329">
        <v>681.00613825605785</v>
      </c>
      <c r="M16" s="204">
        <f t="shared" si="3"/>
        <v>0</v>
      </c>
    </row>
    <row r="17" spans="1:13" ht="18" customHeight="1">
      <c r="A17" s="64" t="s">
        <v>1781</v>
      </c>
      <c r="B17" s="77" t="s">
        <v>224</v>
      </c>
      <c r="C17" s="212" t="s">
        <v>225</v>
      </c>
      <c r="D17" s="323" t="s">
        <v>215</v>
      </c>
      <c r="E17" s="66">
        <f>E12</f>
        <v>47.123889803846893</v>
      </c>
      <c r="F17" s="392"/>
      <c r="G17" s="266"/>
      <c r="H17" s="332"/>
      <c r="I17" s="329">
        <v>106.2029088228188</v>
      </c>
      <c r="J17" s="204">
        <f t="shared" si="2"/>
        <v>0</v>
      </c>
      <c r="K17" s="332"/>
      <c r="L17" s="329">
        <v>106.2029088228188</v>
      </c>
      <c r="M17" s="204">
        <f t="shared" si="3"/>
        <v>0</v>
      </c>
    </row>
    <row r="18" spans="1:13" ht="18" customHeight="1">
      <c r="A18" s="64"/>
      <c r="B18" s="208"/>
      <c r="C18" s="212"/>
      <c r="D18" s="323"/>
      <c r="E18" s="66"/>
      <c r="F18" s="392"/>
      <c r="G18" s="266"/>
      <c r="H18" s="203"/>
      <c r="I18" s="329"/>
      <c r="J18" s="204"/>
      <c r="K18" s="203"/>
      <c r="L18" s="329"/>
      <c r="M18" s="204"/>
    </row>
    <row r="19" spans="1:13" ht="18" customHeight="1">
      <c r="A19" s="64" t="s">
        <v>1782</v>
      </c>
      <c r="B19" s="333" t="s">
        <v>227</v>
      </c>
      <c r="C19" s="322" t="s">
        <v>544</v>
      </c>
      <c r="D19" s="64"/>
      <c r="E19" s="66"/>
      <c r="F19" s="394"/>
      <c r="G19" s="266"/>
      <c r="H19" s="203"/>
      <c r="I19" s="201"/>
      <c r="J19" s="204"/>
      <c r="K19" s="203"/>
      <c r="L19" s="201"/>
      <c r="M19" s="204"/>
    </row>
    <row r="20" spans="1:13" ht="18" customHeight="1">
      <c r="A20" s="64" t="s">
        <v>1783</v>
      </c>
      <c r="B20" s="206"/>
      <c r="C20" s="334" t="s">
        <v>545</v>
      </c>
      <c r="D20" s="154"/>
      <c r="E20" s="66"/>
      <c r="F20" s="384"/>
      <c r="G20" s="266"/>
      <c r="H20" s="203"/>
      <c r="I20" s="205"/>
      <c r="J20" s="204"/>
      <c r="K20" s="203"/>
      <c r="L20" s="205"/>
      <c r="M20" s="204"/>
    </row>
    <row r="21" spans="1:13" ht="18" customHeight="1">
      <c r="A21" s="64" t="s">
        <v>1784</v>
      </c>
      <c r="B21" s="335" t="s">
        <v>344</v>
      </c>
      <c r="C21" s="336" t="s">
        <v>232</v>
      </c>
      <c r="D21" s="337" t="s">
        <v>1680</v>
      </c>
      <c r="E21" s="338">
        <f>(0.6*0.7*4*4*10)</f>
        <v>67.2</v>
      </c>
      <c r="F21" s="392"/>
      <c r="G21" s="266"/>
      <c r="H21" s="339"/>
      <c r="I21" s="329">
        <v>232.05</v>
      </c>
      <c r="J21" s="204">
        <f t="shared" ref="J21:J22" si="4">H21*I21</f>
        <v>0</v>
      </c>
      <c r="K21" s="339"/>
      <c r="L21" s="329">
        <v>232.05</v>
      </c>
      <c r="M21" s="204">
        <f t="shared" ref="M21:M22" si="5">K21*L21</f>
        <v>0</v>
      </c>
    </row>
    <row r="22" spans="1:13" s="75" customFormat="1" ht="16.2">
      <c r="A22" s="64" t="s">
        <v>1785</v>
      </c>
      <c r="B22" s="335" t="s">
        <v>166</v>
      </c>
      <c r="C22" s="336" t="s">
        <v>1971</v>
      </c>
      <c r="D22" s="337" t="s">
        <v>1680</v>
      </c>
      <c r="E22" s="338">
        <f>(5.982+4.19+6.96+2.25+6.96+4.577+4.19+3.4+3.4+10.472+7.44+8.36+2.049*2+5.33+16.72+6.73)*0.3*2</f>
        <v>60.635399999999997</v>
      </c>
      <c r="F22" s="392"/>
      <c r="G22" s="266"/>
      <c r="H22" s="339"/>
      <c r="I22" s="329">
        <v>348.06</v>
      </c>
      <c r="J22" s="204">
        <f t="shared" si="4"/>
        <v>0</v>
      </c>
      <c r="K22" s="339"/>
      <c r="L22" s="329">
        <v>348.06</v>
      </c>
      <c r="M22" s="204">
        <f t="shared" si="5"/>
        <v>0</v>
      </c>
    </row>
    <row r="23" spans="1:13" s="75" customFormat="1" ht="15.75" customHeight="1">
      <c r="A23" s="64"/>
      <c r="B23" s="335"/>
      <c r="C23" s="340"/>
      <c r="D23" s="337"/>
      <c r="E23" s="338"/>
      <c r="F23" s="392"/>
      <c r="G23" s="266"/>
      <c r="H23" s="341"/>
      <c r="I23" s="329"/>
      <c r="J23" s="204"/>
      <c r="K23" s="341"/>
      <c r="L23" s="329"/>
      <c r="M23" s="204"/>
    </row>
    <row r="24" spans="1:13" ht="18" customHeight="1">
      <c r="A24" s="64" t="s">
        <v>1786</v>
      </c>
      <c r="B24" s="207"/>
      <c r="C24" s="334" t="s">
        <v>264</v>
      </c>
      <c r="D24" s="323"/>
      <c r="E24" s="66"/>
      <c r="F24" s="392"/>
      <c r="G24" s="266"/>
      <c r="H24" s="203"/>
      <c r="I24" s="329"/>
      <c r="J24" s="204"/>
      <c r="K24" s="203"/>
      <c r="L24" s="329"/>
      <c r="M24" s="204"/>
    </row>
    <row r="25" spans="1:13" ht="18" customHeight="1">
      <c r="A25" s="64" t="s">
        <v>1787</v>
      </c>
      <c r="B25" s="335" t="s">
        <v>270</v>
      </c>
      <c r="C25" s="342" t="s">
        <v>546</v>
      </c>
      <c r="D25" s="337"/>
      <c r="E25" s="338"/>
      <c r="F25" s="392"/>
      <c r="G25" s="266"/>
      <c r="H25" s="341"/>
      <c r="I25" s="329"/>
      <c r="J25" s="204"/>
      <c r="K25" s="341"/>
      <c r="L25" s="329"/>
      <c r="M25" s="204"/>
    </row>
    <row r="26" spans="1:13" ht="18" customHeight="1">
      <c r="A26" s="64" t="s">
        <v>1788</v>
      </c>
      <c r="B26" s="335" t="s">
        <v>547</v>
      </c>
      <c r="C26" s="336" t="s">
        <v>1540</v>
      </c>
      <c r="D26" s="337"/>
      <c r="E26" s="338"/>
      <c r="F26" s="392"/>
      <c r="G26" s="266"/>
      <c r="H26" s="339">
        <v>100</v>
      </c>
      <c r="I26" s="329">
        <v>1343.33</v>
      </c>
      <c r="J26" s="204">
        <f t="shared" ref="J26:J38" si="6">H26*I26</f>
        <v>134333</v>
      </c>
      <c r="K26" s="339">
        <v>95</v>
      </c>
      <c r="L26" s="329">
        <v>1343.33</v>
      </c>
      <c r="M26" s="204">
        <f t="shared" ref="M26:M38" si="7">K26*L26</f>
        <v>127616.34999999999</v>
      </c>
    </row>
    <row r="27" spans="1:13" ht="18" customHeight="1">
      <c r="A27" s="64" t="s">
        <v>1789</v>
      </c>
      <c r="B27" s="335"/>
      <c r="C27" s="336" t="s">
        <v>573</v>
      </c>
      <c r="D27" s="323" t="s">
        <v>215</v>
      </c>
      <c r="E27" s="338">
        <f>((97988489.5-89334203.3)/1000^2+(48865260.2-40976323.7)/1000^2+(77913731.9-70906976)/1000^2)*0.3*115%</f>
        <v>8.1247426170000026</v>
      </c>
      <c r="F27" s="392"/>
      <c r="G27" s="266"/>
      <c r="H27" s="339"/>
      <c r="I27" s="329"/>
      <c r="J27" s="204"/>
      <c r="K27" s="339"/>
      <c r="L27" s="329"/>
      <c r="M27" s="204"/>
    </row>
    <row r="28" spans="1:13" ht="18" customHeight="1">
      <c r="A28" s="64" t="s">
        <v>1790</v>
      </c>
      <c r="B28" s="335"/>
      <c r="C28" s="336" t="s">
        <v>574</v>
      </c>
      <c r="D28" s="323" t="s">
        <v>215</v>
      </c>
      <c r="E28" s="338">
        <f>(132368939.9-120176398.9)/1000^2*0.3</f>
        <v>3.6577622999999999</v>
      </c>
      <c r="F28" s="392"/>
      <c r="G28" s="266"/>
      <c r="H28" s="339"/>
      <c r="I28" s="329"/>
      <c r="J28" s="204"/>
      <c r="K28" s="339"/>
      <c r="L28" s="329"/>
      <c r="M28" s="204"/>
    </row>
    <row r="29" spans="1:13" ht="18" customHeight="1">
      <c r="A29" s="64" t="s">
        <v>1791</v>
      </c>
      <c r="B29" s="335"/>
      <c r="C29" s="336" t="s">
        <v>575</v>
      </c>
      <c r="D29" s="323" t="s">
        <v>215</v>
      </c>
      <c r="E29" s="338">
        <f>(11560000-9000000.1)/1000^2*0.3*110%</f>
        <v>0.84479996700000015</v>
      </c>
      <c r="F29" s="392"/>
      <c r="G29" s="266"/>
      <c r="H29" s="339"/>
      <c r="I29" s="329"/>
      <c r="J29" s="204"/>
      <c r="K29" s="339"/>
      <c r="L29" s="329"/>
      <c r="M29" s="204"/>
    </row>
    <row r="30" spans="1:13" ht="34.5" customHeight="1">
      <c r="A30" s="64" t="s">
        <v>1792</v>
      </c>
      <c r="B30" s="335"/>
      <c r="C30" s="336" t="s">
        <v>1541</v>
      </c>
      <c r="D30" s="323" t="s">
        <v>215</v>
      </c>
      <c r="E30" s="338">
        <f>((536000*2+364800*2)/(1000^2))*0.3*10*115%</f>
        <v>6.2155199999999997</v>
      </c>
      <c r="F30" s="392"/>
      <c r="G30" s="266"/>
      <c r="H30" s="339"/>
      <c r="I30" s="329"/>
      <c r="J30" s="204"/>
      <c r="K30" s="339"/>
      <c r="L30" s="329"/>
      <c r="M30" s="204"/>
    </row>
    <row r="31" spans="1:13" ht="18" customHeight="1">
      <c r="A31" s="64"/>
      <c r="B31" s="335"/>
      <c r="C31" s="336"/>
      <c r="D31" s="343"/>
      <c r="E31" s="338"/>
      <c r="F31" s="392"/>
      <c r="G31" s="266"/>
      <c r="H31" s="339"/>
      <c r="I31" s="329"/>
      <c r="J31" s="204"/>
      <c r="K31" s="339"/>
      <c r="L31" s="329"/>
      <c r="M31" s="204"/>
    </row>
    <row r="32" spans="1:13" ht="18" customHeight="1">
      <c r="A32" s="64" t="s">
        <v>1793</v>
      </c>
      <c r="B32" s="335"/>
      <c r="C32" s="344" t="s">
        <v>1542</v>
      </c>
      <c r="D32" s="343"/>
      <c r="E32" s="338"/>
      <c r="F32" s="392"/>
      <c r="G32" s="266"/>
      <c r="H32" s="339"/>
      <c r="I32" s="329"/>
      <c r="J32" s="204"/>
      <c r="K32" s="339"/>
      <c r="L32" s="329"/>
      <c r="M32" s="204"/>
    </row>
    <row r="33" spans="1:13" ht="18" customHeight="1">
      <c r="A33" s="64" t="s">
        <v>1794</v>
      </c>
      <c r="B33" s="335"/>
      <c r="C33" s="336" t="s">
        <v>573</v>
      </c>
      <c r="D33" s="337" t="s">
        <v>1680</v>
      </c>
      <c r="E33" s="338">
        <f>(89334203.3+40976323.7+70906976-21647536.9-8552986-38216031.3-11192914.1)/1000^2</f>
        <v>121.6080347</v>
      </c>
      <c r="F33" s="392"/>
      <c r="G33" s="266"/>
      <c r="H33" s="339"/>
      <c r="I33" s="329"/>
      <c r="J33" s="204"/>
      <c r="K33" s="339"/>
      <c r="L33" s="329"/>
      <c r="M33" s="204"/>
    </row>
    <row r="34" spans="1:13" ht="18" customHeight="1">
      <c r="A34" s="64" t="s">
        <v>1795</v>
      </c>
      <c r="B34" s="335"/>
      <c r="C34" s="336" t="s">
        <v>574</v>
      </c>
      <c r="D34" s="337" t="s">
        <v>1680</v>
      </c>
      <c r="E34" s="338">
        <f>(120176398.9-20830722.8*2)/1000^2</f>
        <v>78.514953300000016</v>
      </c>
      <c r="F34" s="392"/>
      <c r="G34" s="266"/>
      <c r="H34" s="339"/>
      <c r="I34" s="329"/>
      <c r="J34" s="204"/>
      <c r="K34" s="339"/>
      <c r="L34" s="329"/>
      <c r="M34" s="204"/>
    </row>
    <row r="35" spans="1:13" ht="18" customHeight="1">
      <c r="A35" s="64" t="s">
        <v>1796</v>
      </c>
      <c r="B35" s="335"/>
      <c r="C35" s="336" t="s">
        <v>575</v>
      </c>
      <c r="D35" s="337" t="s">
        <v>1680</v>
      </c>
      <c r="E35" s="338">
        <f>(11560000-9000000.1)/1000^2</f>
        <v>2.5599999000000002</v>
      </c>
      <c r="F35" s="392"/>
      <c r="G35" s="266"/>
      <c r="H35" s="339"/>
      <c r="I35" s="329"/>
      <c r="J35" s="204"/>
      <c r="K35" s="339"/>
      <c r="L35" s="329"/>
      <c r="M35" s="204"/>
    </row>
    <row r="36" spans="1:13" ht="18" customHeight="1">
      <c r="A36" s="64" t="s">
        <v>1797</v>
      </c>
      <c r="B36" s="335"/>
      <c r="C36" s="336" t="s">
        <v>1553</v>
      </c>
      <c r="D36" s="337" t="s">
        <v>1680</v>
      </c>
      <c r="E36" s="338">
        <f>((536000*2+364800*2)/(1000^2))*10*115%</f>
        <v>20.718399999999999</v>
      </c>
      <c r="F36" s="392"/>
      <c r="G36" s="266"/>
      <c r="H36" s="339"/>
      <c r="I36" s="329"/>
      <c r="J36" s="204"/>
      <c r="K36" s="339"/>
      <c r="L36" s="329"/>
      <c r="M36" s="204"/>
    </row>
    <row r="37" spans="1:13" ht="18" customHeight="1">
      <c r="A37" s="64"/>
      <c r="B37" s="335"/>
      <c r="C37" s="336"/>
      <c r="D37" s="337"/>
      <c r="E37" s="338"/>
      <c r="F37" s="392"/>
      <c r="G37" s="266"/>
      <c r="H37" s="339"/>
      <c r="I37" s="329"/>
      <c r="J37" s="204"/>
      <c r="K37" s="339"/>
      <c r="L37" s="329"/>
      <c r="M37" s="204"/>
    </row>
    <row r="38" spans="1:13" s="75" customFormat="1" ht="18" customHeight="1">
      <c r="A38" s="64" t="s">
        <v>1798</v>
      </c>
      <c r="B38" s="335" t="s">
        <v>548</v>
      </c>
      <c r="C38" s="336" t="s">
        <v>549</v>
      </c>
      <c r="D38" s="337" t="s">
        <v>1681</v>
      </c>
      <c r="E38" s="338">
        <f>(0.7*0.7*0.55)*4*'[1]3.2 -  Mech. New Belt Press '!E9</f>
        <v>10.779999999999998</v>
      </c>
      <c r="F38" s="392"/>
      <c r="G38" s="266"/>
      <c r="H38" s="341">
        <f>(0.7*0.7*0.55)*4*'[1]3.2 -  Mech. New Belt Press '!H9</f>
        <v>10.779999999999998</v>
      </c>
      <c r="I38" s="329">
        <v>1287.0999999999999</v>
      </c>
      <c r="J38" s="204">
        <f t="shared" si="6"/>
        <v>13874.937999999996</v>
      </c>
      <c r="K38" s="341">
        <f>(0.7*0.7*0.55)*4*'[1]3.2 -  Mech. New Belt Press '!K9</f>
        <v>6.4679999999999991</v>
      </c>
      <c r="L38" s="329">
        <v>1287.0999999999999</v>
      </c>
      <c r="M38" s="204">
        <f t="shared" si="7"/>
        <v>8324.9627999999975</v>
      </c>
    </row>
    <row r="39" spans="1:13" s="75" customFormat="1" ht="18" customHeight="1">
      <c r="A39" s="64" t="s">
        <v>1799</v>
      </c>
      <c r="B39" s="335">
        <v>8.5</v>
      </c>
      <c r="C39" s="345" t="s">
        <v>550</v>
      </c>
      <c r="D39" s="337"/>
      <c r="E39" s="338"/>
      <c r="F39" s="392"/>
      <c r="G39" s="395"/>
      <c r="H39" s="341"/>
      <c r="I39" s="329"/>
      <c r="J39" s="346"/>
      <c r="K39" s="341"/>
      <c r="L39" s="329"/>
      <c r="M39" s="346"/>
    </row>
    <row r="40" spans="1:13" s="75" customFormat="1" ht="18" customHeight="1">
      <c r="A40" s="64" t="s">
        <v>1800</v>
      </c>
      <c r="B40" s="335"/>
      <c r="C40" s="347" t="s">
        <v>302</v>
      </c>
      <c r="D40" s="337" t="s">
        <v>303</v>
      </c>
      <c r="E40" s="338">
        <f>ROUND(((0.7+0.7)*2*4*10)*110%,0)</f>
        <v>123</v>
      </c>
      <c r="F40" s="392"/>
      <c r="G40" s="392"/>
      <c r="H40" s="341">
        <f t="shared" ref="H40" si="8">ROUND(((0.7+0.7)*2*4*10)*110%,0)</f>
        <v>123</v>
      </c>
      <c r="I40" s="329">
        <v>137.61000000000001</v>
      </c>
      <c r="J40" s="329">
        <f t="shared" ref="J40" si="9">H40*I40</f>
        <v>16926.030000000002</v>
      </c>
      <c r="K40" s="341">
        <f t="shared" ref="K40" si="10">ROUND(((0.7+0.7)*2*4*10)*110%,0)</f>
        <v>123</v>
      </c>
      <c r="L40" s="329">
        <v>137.61000000000001</v>
      </c>
      <c r="M40" s="329">
        <f t="shared" ref="M40" si="11">K40*L40</f>
        <v>16926.030000000002</v>
      </c>
    </row>
    <row r="41" spans="1:13" s="75" customFormat="1" ht="18" customHeight="1">
      <c r="A41" s="64"/>
      <c r="B41" s="335"/>
      <c r="C41" s="340"/>
      <c r="D41" s="337"/>
      <c r="E41" s="338"/>
      <c r="F41" s="392"/>
      <c r="G41" s="392"/>
      <c r="H41" s="341"/>
      <c r="I41" s="329"/>
      <c r="J41" s="329"/>
      <c r="K41" s="341"/>
      <c r="L41" s="329"/>
      <c r="M41" s="329"/>
    </row>
    <row r="42" spans="1:13" s="75" customFormat="1" ht="18" customHeight="1">
      <c r="A42" s="64" t="s">
        <v>1801</v>
      </c>
      <c r="B42" s="335">
        <v>8.3000000000000007</v>
      </c>
      <c r="C42" s="322" t="s">
        <v>551</v>
      </c>
      <c r="D42" s="323"/>
      <c r="E42" s="348"/>
      <c r="F42" s="392"/>
      <c r="G42" s="392"/>
      <c r="H42" s="349"/>
      <c r="I42" s="329"/>
      <c r="J42" s="329"/>
      <c r="K42" s="349"/>
      <c r="L42" s="329"/>
      <c r="M42" s="329"/>
    </row>
    <row r="43" spans="1:13" s="164" customFormat="1" ht="18" customHeight="1">
      <c r="A43" s="64" t="s">
        <v>1802</v>
      </c>
      <c r="B43" s="350"/>
      <c r="C43" s="351" t="s">
        <v>1807</v>
      </c>
      <c r="D43" s="82" t="s">
        <v>251</v>
      </c>
      <c r="E43" s="230">
        <v>0.94</v>
      </c>
      <c r="F43" s="392"/>
      <c r="G43" s="392"/>
      <c r="H43" s="352"/>
      <c r="I43" s="329"/>
      <c r="J43" s="329"/>
      <c r="K43" s="352"/>
      <c r="L43" s="329"/>
      <c r="M43" s="329"/>
    </row>
    <row r="44" spans="1:13" s="164" customFormat="1" ht="18" customHeight="1">
      <c r="A44" s="64" t="s">
        <v>1803</v>
      </c>
      <c r="B44" s="350"/>
      <c r="C44" s="351" t="s">
        <v>1808</v>
      </c>
      <c r="D44" s="353" t="s">
        <v>251</v>
      </c>
      <c r="E44" s="338">
        <v>1.5</v>
      </c>
      <c r="F44" s="392"/>
      <c r="G44" s="392"/>
      <c r="H44" s="339">
        <v>32</v>
      </c>
      <c r="I44" s="329">
        <v>10264.17</v>
      </c>
      <c r="J44" s="329">
        <f t="shared" ref="J44:J45" si="12">H44*I44</f>
        <v>328453.44</v>
      </c>
      <c r="K44" s="339">
        <v>28</v>
      </c>
      <c r="L44" s="329">
        <v>10264.17</v>
      </c>
      <c r="M44" s="329">
        <f t="shared" ref="M44:M45" si="13">K44*L44</f>
        <v>287396.76</v>
      </c>
    </row>
    <row r="45" spans="1:13" s="75" customFormat="1" ht="18" customHeight="1">
      <c r="A45" s="105" t="s">
        <v>1804</v>
      </c>
      <c r="B45" s="354"/>
      <c r="C45" s="355" t="s">
        <v>1809</v>
      </c>
      <c r="D45" s="337" t="s">
        <v>1680</v>
      </c>
      <c r="E45" s="338">
        <f>SUM(E33:E36)</f>
        <v>223.40138790000003</v>
      </c>
      <c r="F45" s="392"/>
      <c r="G45" s="392"/>
      <c r="H45" s="339">
        <v>5</v>
      </c>
      <c r="I45" s="329">
        <v>10264.17</v>
      </c>
      <c r="J45" s="329">
        <f t="shared" si="12"/>
        <v>51320.85</v>
      </c>
      <c r="K45" s="339">
        <v>4.2</v>
      </c>
      <c r="L45" s="329">
        <v>10264.17</v>
      </c>
      <c r="M45" s="329">
        <f t="shared" si="13"/>
        <v>43109.514000000003</v>
      </c>
    </row>
    <row r="46" spans="1:13" s="75" customFormat="1" ht="18" customHeight="1">
      <c r="A46" s="627" t="s">
        <v>88</v>
      </c>
      <c r="B46" s="628"/>
      <c r="C46" s="628"/>
      <c r="D46" s="356"/>
      <c r="E46" s="357"/>
      <c r="F46" s="387"/>
      <c r="G46" s="270"/>
      <c r="H46" s="339"/>
      <c r="I46" s="358"/>
      <c r="J46" s="67"/>
      <c r="K46" s="339"/>
      <c r="L46" s="358"/>
      <c r="M46" s="67"/>
    </row>
    <row r="47" spans="1:13" s="75" customFormat="1" ht="18" customHeight="1">
      <c r="A47" s="622" t="s">
        <v>89</v>
      </c>
      <c r="B47" s="623"/>
      <c r="C47" s="623"/>
      <c r="D47" s="356"/>
      <c r="E47" s="357"/>
      <c r="F47" s="387"/>
      <c r="G47" s="270"/>
      <c r="H47" s="339"/>
      <c r="I47" s="358"/>
      <c r="J47" s="67"/>
      <c r="K47" s="339"/>
      <c r="L47" s="358"/>
      <c r="M47" s="67"/>
    </row>
    <row r="48" spans="1:13" s="75" customFormat="1" ht="34.5" customHeight="1">
      <c r="A48" s="64" t="s">
        <v>1805</v>
      </c>
      <c r="B48" s="335" t="s">
        <v>552</v>
      </c>
      <c r="C48" s="340" t="s">
        <v>553</v>
      </c>
      <c r="D48" s="337" t="s">
        <v>1681</v>
      </c>
      <c r="E48" s="338">
        <v>0.75</v>
      </c>
      <c r="F48" s="396"/>
      <c r="G48" s="97"/>
      <c r="H48" s="339">
        <v>0.75</v>
      </c>
      <c r="I48" s="358">
        <v>42858.46</v>
      </c>
      <c r="J48" s="67">
        <f t="shared" ref="J48" si="14">I48*(IF(H48="Lump sum",1,H48))</f>
        <v>32143.845000000001</v>
      </c>
      <c r="K48" s="339">
        <v>0.67</v>
      </c>
      <c r="L48" s="358">
        <v>42858.46</v>
      </c>
      <c r="M48" s="67">
        <f t="shared" ref="M48" si="15">L48*(IF(K48="Lump sum",1,K48))</f>
        <v>28715.1682</v>
      </c>
    </row>
    <row r="49" spans="1:13" s="75" customFormat="1" ht="18" customHeight="1">
      <c r="A49" s="64"/>
      <c r="B49" s="335"/>
      <c r="C49" s="340"/>
      <c r="D49" s="337"/>
      <c r="E49" s="338"/>
      <c r="F49" s="396"/>
      <c r="G49" s="97"/>
      <c r="H49" s="339"/>
      <c r="I49" s="358"/>
      <c r="J49" s="67"/>
      <c r="K49" s="339"/>
      <c r="L49" s="358"/>
      <c r="M49" s="67"/>
    </row>
    <row r="50" spans="1:13" s="75" customFormat="1" ht="32.25" customHeight="1">
      <c r="A50" s="64" t="s">
        <v>1613</v>
      </c>
      <c r="B50" s="359" t="s">
        <v>307</v>
      </c>
      <c r="C50" s="322" t="s">
        <v>554</v>
      </c>
      <c r="D50" s="360"/>
      <c r="E50" s="361"/>
      <c r="F50" s="7"/>
      <c r="G50" s="266"/>
      <c r="H50" s="339"/>
      <c r="I50" s="358"/>
      <c r="J50" s="67"/>
      <c r="K50" s="339"/>
      <c r="L50" s="358"/>
      <c r="M50" s="67"/>
    </row>
    <row r="51" spans="1:13" s="75" customFormat="1" ht="18" customHeight="1">
      <c r="A51" s="64" t="s">
        <v>1614</v>
      </c>
      <c r="B51" s="362">
        <v>8.3000000000000007</v>
      </c>
      <c r="C51" s="334" t="s">
        <v>555</v>
      </c>
      <c r="D51" s="360"/>
      <c r="E51" s="361"/>
      <c r="F51" s="7"/>
      <c r="G51" s="266"/>
      <c r="H51" s="339"/>
      <c r="I51" s="358"/>
      <c r="J51" s="67"/>
      <c r="K51" s="339"/>
      <c r="L51" s="358"/>
      <c r="M51" s="67"/>
    </row>
    <row r="52" spans="1:13" s="75" customFormat="1" ht="114" customHeight="1">
      <c r="A52" s="64" t="s">
        <v>1615</v>
      </c>
      <c r="B52" s="363" t="s">
        <v>209</v>
      </c>
      <c r="C52" s="364" t="s">
        <v>556</v>
      </c>
      <c r="D52" s="360"/>
      <c r="E52" s="361"/>
      <c r="F52" s="7"/>
      <c r="G52" s="266"/>
      <c r="H52" s="339"/>
      <c r="I52" s="358"/>
      <c r="J52" s="67"/>
      <c r="K52" s="339"/>
      <c r="L52" s="358"/>
      <c r="M52" s="67"/>
    </row>
    <row r="53" spans="1:13" s="75" customFormat="1" ht="38.25" customHeight="1">
      <c r="A53" s="84"/>
      <c r="B53" s="335"/>
      <c r="C53" s="364" t="s">
        <v>557</v>
      </c>
      <c r="D53" s="360"/>
      <c r="E53" s="361"/>
      <c r="F53" s="7"/>
      <c r="G53" s="266"/>
      <c r="H53" s="339"/>
      <c r="I53" s="358"/>
      <c r="J53" s="67"/>
      <c r="K53" s="339"/>
      <c r="L53" s="358"/>
      <c r="M53" s="67"/>
    </row>
    <row r="54" spans="1:13" s="75" customFormat="1" ht="37.5" customHeight="1">
      <c r="A54" s="84"/>
      <c r="B54" s="335"/>
      <c r="C54" s="364" t="s">
        <v>558</v>
      </c>
      <c r="D54" s="360"/>
      <c r="E54" s="361"/>
      <c r="F54" s="7"/>
      <c r="G54" s="266"/>
      <c r="H54" s="339"/>
      <c r="I54" s="358"/>
      <c r="J54" s="67"/>
      <c r="K54" s="339"/>
      <c r="L54" s="358"/>
      <c r="M54" s="67"/>
    </row>
    <row r="55" spans="1:13" s="75" customFormat="1" ht="18" customHeight="1">
      <c r="A55" s="84"/>
      <c r="B55" s="335"/>
      <c r="C55" s="364" t="s">
        <v>1612</v>
      </c>
      <c r="D55" s="360"/>
      <c r="E55" s="361"/>
      <c r="F55" s="8"/>
      <c r="G55" s="266"/>
      <c r="H55" s="339"/>
      <c r="I55" s="358"/>
      <c r="J55" s="67"/>
      <c r="K55" s="339"/>
      <c r="L55" s="358"/>
      <c r="M55" s="67"/>
    </row>
    <row r="56" spans="1:13" s="75" customFormat="1" ht="39.75" customHeight="1">
      <c r="A56" s="84"/>
      <c r="B56" s="350"/>
      <c r="C56" s="364" t="s">
        <v>1533</v>
      </c>
      <c r="D56" s="365"/>
      <c r="E56" s="361"/>
      <c r="F56" s="9"/>
      <c r="G56" s="266"/>
      <c r="H56" s="339"/>
      <c r="I56" s="358"/>
      <c r="J56" s="67"/>
      <c r="K56" s="339"/>
      <c r="L56" s="358"/>
      <c r="M56" s="67"/>
    </row>
    <row r="57" spans="1:13" s="75" customFormat="1" ht="18" customHeight="1">
      <c r="A57" s="84"/>
      <c r="B57" s="335"/>
      <c r="C57" s="366"/>
      <c r="D57" s="360"/>
      <c r="E57" s="361"/>
      <c r="F57" s="9"/>
      <c r="G57" s="266"/>
      <c r="H57" s="339"/>
      <c r="I57" s="358"/>
      <c r="J57" s="67"/>
      <c r="K57" s="339"/>
      <c r="L57" s="358"/>
      <c r="M57" s="67"/>
    </row>
    <row r="58" spans="1:13" s="75" customFormat="1" ht="18" customHeight="1">
      <c r="A58" s="64" t="s">
        <v>1617</v>
      </c>
      <c r="B58" s="335" t="s">
        <v>559</v>
      </c>
      <c r="C58" s="340" t="s">
        <v>560</v>
      </c>
      <c r="D58" s="337" t="s">
        <v>251</v>
      </c>
      <c r="E58" s="338">
        <v>0.92</v>
      </c>
      <c r="F58" s="97"/>
      <c r="G58" s="97"/>
      <c r="H58" s="339"/>
      <c r="I58" s="358"/>
      <c r="J58" s="67"/>
      <c r="K58" s="339"/>
      <c r="L58" s="358"/>
      <c r="M58" s="67"/>
    </row>
    <row r="59" spans="1:13" s="75" customFormat="1" ht="18" customHeight="1">
      <c r="A59" s="64" t="s">
        <v>1621</v>
      </c>
      <c r="B59" s="335" t="s">
        <v>561</v>
      </c>
      <c r="C59" s="340" t="s">
        <v>562</v>
      </c>
      <c r="D59" s="337" t="s">
        <v>251</v>
      </c>
      <c r="E59" s="338">
        <v>0.13597200000000001</v>
      </c>
      <c r="F59" s="97"/>
      <c r="G59" s="97"/>
      <c r="H59" s="339"/>
      <c r="I59" s="358"/>
      <c r="J59" s="67"/>
      <c r="K59" s="339"/>
      <c r="L59" s="358"/>
      <c r="M59" s="67"/>
    </row>
    <row r="60" spans="1:13" s="75" customFormat="1" ht="18" customHeight="1">
      <c r="A60" s="64" t="s">
        <v>1625</v>
      </c>
      <c r="B60" s="335" t="s">
        <v>563</v>
      </c>
      <c r="C60" s="340" t="s">
        <v>564</v>
      </c>
      <c r="D60" s="337" t="s">
        <v>251</v>
      </c>
      <c r="E60" s="338">
        <v>0.5</v>
      </c>
      <c r="F60" s="97"/>
      <c r="G60" s="97"/>
      <c r="H60" s="339"/>
      <c r="I60" s="358"/>
      <c r="J60" s="67"/>
      <c r="K60" s="339"/>
      <c r="L60" s="358"/>
      <c r="M60" s="67"/>
    </row>
    <row r="61" spans="1:13" ht="18" customHeight="1">
      <c r="A61" s="64" t="s">
        <v>1627</v>
      </c>
      <c r="B61" s="57"/>
      <c r="C61" s="209" t="s">
        <v>565</v>
      </c>
      <c r="D61" s="105" t="s">
        <v>207</v>
      </c>
      <c r="E61" s="124">
        <v>45</v>
      </c>
      <c r="F61" s="97"/>
      <c r="G61" s="97"/>
      <c r="H61" s="341">
        <f>(23*(1*4*'[1]3.2 -  Mech. New Belt Press '!H9))/1000</f>
        <v>0.92</v>
      </c>
      <c r="I61" s="67">
        <v>34815.620000000003</v>
      </c>
      <c r="J61" s="67">
        <f t="shared" ref="J61:J66" si="16">H61*I61</f>
        <v>32030.370400000003</v>
      </c>
      <c r="K61" s="341">
        <f>(23*(1*4*'[1]3.2 -  Mech. New Belt Press '!K9))/1000</f>
        <v>0.55200000000000005</v>
      </c>
      <c r="L61" s="67">
        <v>34815.620000000003</v>
      </c>
      <c r="M61" s="67">
        <f t="shared" ref="M61:M66" si="17">K61*L61</f>
        <v>19218.222240000003</v>
      </c>
    </row>
    <row r="62" spans="1:13" ht="18" customHeight="1">
      <c r="A62" s="64"/>
      <c r="B62" s="57"/>
      <c r="C62" s="209"/>
      <c r="D62" s="105"/>
      <c r="E62" s="124"/>
      <c r="F62" s="97"/>
      <c r="G62" s="97"/>
      <c r="H62" s="341">
        <f>(3.777*2*'[1]3.2 -  Mech. New Belt Press '!H9*1.8)/1000</f>
        <v>0.13597200000000001</v>
      </c>
      <c r="I62" s="67">
        <v>34815.620000000003</v>
      </c>
      <c r="J62" s="67">
        <f t="shared" si="16"/>
        <v>4733.9494826400005</v>
      </c>
      <c r="K62" s="341">
        <f>(3.777*2*'[1]3.2 -  Mech. New Belt Press '!K9*1.8)/1000</f>
        <v>8.1583200000000008E-2</v>
      </c>
      <c r="L62" s="67">
        <v>34815.620000000003</v>
      </c>
      <c r="M62" s="67">
        <f t="shared" si="17"/>
        <v>2840.3696895840003</v>
      </c>
    </row>
    <row r="63" spans="1:13" ht="18" customHeight="1">
      <c r="A63" s="64" t="s">
        <v>1628</v>
      </c>
      <c r="B63" s="367"/>
      <c r="C63" s="368" t="s">
        <v>1616</v>
      </c>
      <c r="D63" s="629"/>
      <c r="E63" s="629"/>
      <c r="F63" s="632"/>
      <c r="G63" s="632"/>
      <c r="H63" s="215">
        <f t="shared" ref="H63" si="18" xml:space="preserve"> ROUND((64+6*8+10.5+7.5*2+21.5*2+5.5*6+16)*110%,0)</f>
        <v>252</v>
      </c>
      <c r="I63" s="67">
        <f t="shared" ref="I63" si="19">801*1.1589</f>
        <v>928.27890000000002</v>
      </c>
      <c r="J63" s="67">
        <f t="shared" si="16"/>
        <v>233926.28280000002</v>
      </c>
      <c r="K63" s="215">
        <v>130</v>
      </c>
      <c r="L63" s="67">
        <f t="shared" ref="L63" si="20">801*1.1589</f>
        <v>928.27890000000002</v>
      </c>
      <c r="M63" s="67">
        <f t="shared" si="17"/>
        <v>120676.257</v>
      </c>
    </row>
    <row r="64" spans="1:13" ht="45.75" customHeight="1">
      <c r="A64" s="64"/>
      <c r="B64" s="367"/>
      <c r="C64" s="369" t="s">
        <v>1678</v>
      </c>
      <c r="D64" s="629"/>
      <c r="E64" s="629"/>
      <c r="F64" s="632"/>
      <c r="G64" s="632"/>
      <c r="H64" s="215">
        <f t="shared" ref="H64" si="21">10*(3*1.5)</f>
        <v>45</v>
      </c>
      <c r="I64" s="67"/>
      <c r="J64" s="67">
        <f t="shared" si="16"/>
        <v>0</v>
      </c>
      <c r="K64" s="215">
        <f>'[1]3.2 -  Mech. New Belt Press '!K9*(3*1.5)</f>
        <v>27</v>
      </c>
      <c r="L64" s="67"/>
      <c r="M64" s="67">
        <f t="shared" si="17"/>
        <v>0</v>
      </c>
    </row>
    <row r="65" spans="1:13" ht="39.75" customHeight="1">
      <c r="A65" s="633" t="s">
        <v>1630</v>
      </c>
      <c r="B65" s="367"/>
      <c r="C65" s="369" t="s">
        <v>1618</v>
      </c>
      <c r="D65" s="629" t="s">
        <v>251</v>
      </c>
      <c r="E65" s="635">
        <f>(23*2*(E69^0.5/(2.4*1.2))*4)/1000+(20.3*(E69^0.5)*4)/1000+((4.47+5.42)*E69^0.5*2)/1000</f>
        <v>2.6430493534038284</v>
      </c>
      <c r="F65" s="630"/>
      <c r="G65" s="631"/>
      <c r="H65" s="215">
        <v>1</v>
      </c>
      <c r="I65" s="67" t="e">
        <f>SUM(H61+#REF!+10)*(7200*(1+5%*9))</f>
        <v>#REF!</v>
      </c>
      <c r="J65" s="67" t="e">
        <f t="shared" si="16"/>
        <v>#REF!</v>
      </c>
      <c r="K65" s="215">
        <v>1</v>
      </c>
      <c r="L65" s="67" t="e">
        <f>SUM(K61+#REF!+10)*(7200*(1+5%*9))</f>
        <v>#REF!</v>
      </c>
      <c r="M65" s="67" t="e">
        <f t="shared" si="17"/>
        <v>#REF!</v>
      </c>
    </row>
    <row r="66" spans="1:13" ht="18" customHeight="1">
      <c r="A66" s="633"/>
      <c r="B66" s="367"/>
      <c r="C66" s="369" t="s">
        <v>1619</v>
      </c>
      <c r="D66" s="629"/>
      <c r="E66" s="635"/>
      <c r="F66" s="630"/>
      <c r="G66" s="631"/>
      <c r="H66" s="215">
        <v>0.4</v>
      </c>
      <c r="I66" s="67">
        <f t="shared" ref="I66" si="22">24500.96*(1+5%*9)</f>
        <v>35526.392</v>
      </c>
      <c r="J66" s="67">
        <f t="shared" si="16"/>
        <v>14210.5568</v>
      </c>
      <c r="K66" s="215">
        <v>0.4</v>
      </c>
      <c r="L66" s="67">
        <f t="shared" ref="L66" si="23">24500.96*(1+5%*9)</f>
        <v>35526.392</v>
      </c>
      <c r="M66" s="67">
        <f t="shared" si="17"/>
        <v>14210.5568</v>
      </c>
    </row>
    <row r="67" spans="1:13" ht="18" customHeight="1">
      <c r="A67" s="633"/>
      <c r="B67" s="367"/>
      <c r="C67" s="370" t="s">
        <v>1679</v>
      </c>
      <c r="D67" s="629"/>
      <c r="E67" s="635"/>
      <c r="F67" s="630"/>
      <c r="G67" s="631"/>
      <c r="H67" s="215"/>
      <c r="I67" s="234"/>
      <c r="J67" s="204"/>
      <c r="K67" s="215"/>
      <c r="L67" s="234"/>
      <c r="M67" s="204"/>
    </row>
    <row r="68" spans="1:13" ht="18" customHeight="1">
      <c r="A68" s="633"/>
      <c r="B68" s="367"/>
      <c r="C68" s="369" t="s">
        <v>1620</v>
      </c>
      <c r="D68" s="629"/>
      <c r="E68" s="635"/>
      <c r="F68" s="630"/>
      <c r="G68" s="631"/>
      <c r="H68" s="215"/>
      <c r="I68" s="205"/>
      <c r="J68" s="205"/>
      <c r="K68" s="215"/>
      <c r="L68" s="205"/>
      <c r="M68" s="205"/>
    </row>
    <row r="69" spans="1:13" ht="42.75" customHeight="1">
      <c r="A69" s="633" t="s">
        <v>1632</v>
      </c>
      <c r="B69" s="367"/>
      <c r="C69" s="369" t="s">
        <v>1622</v>
      </c>
      <c r="D69" s="629" t="s">
        <v>207</v>
      </c>
      <c r="E69" s="629">
        <v>257</v>
      </c>
      <c r="F69" s="630"/>
      <c r="G69" s="631"/>
      <c r="H69" s="215">
        <v>5</v>
      </c>
      <c r="I69" s="67">
        <f t="shared" ref="I69" si="24">29660.26*1.1589</f>
        <v>34373.275313999999</v>
      </c>
      <c r="J69" s="67">
        <f t="shared" ref="J69" si="25">H69*I69</f>
        <v>171866.37656999999</v>
      </c>
      <c r="K69" s="215">
        <v>5</v>
      </c>
      <c r="L69" s="67">
        <f t="shared" ref="L69" si="26">29660.26*1.1589</f>
        <v>34373.275313999999</v>
      </c>
      <c r="M69" s="67">
        <f t="shared" ref="M69" si="27">K69*L69</f>
        <v>171866.37656999999</v>
      </c>
    </row>
    <row r="70" spans="1:13" ht="18" customHeight="1">
      <c r="A70" s="633"/>
      <c r="B70" s="367"/>
      <c r="C70" s="369" t="s">
        <v>1623</v>
      </c>
      <c r="D70" s="629"/>
      <c r="E70" s="629"/>
      <c r="F70" s="630"/>
      <c r="G70" s="632"/>
      <c r="H70" s="215">
        <v>8</v>
      </c>
      <c r="I70" s="67">
        <f t="shared" ref="I70" si="28">1267.15*1.1589</f>
        <v>1468.5001350000002</v>
      </c>
      <c r="J70" s="67">
        <f t="shared" ref="J70" si="29">H70*I70</f>
        <v>11748.001080000002</v>
      </c>
      <c r="K70" s="215">
        <v>8</v>
      </c>
      <c r="L70" s="67">
        <f t="shared" ref="L70" si="30">1267.15*1.1589</f>
        <v>1468.5001350000002</v>
      </c>
      <c r="M70" s="67">
        <f t="shared" ref="M70" si="31">K70*L70</f>
        <v>11748.001080000002</v>
      </c>
    </row>
    <row r="71" spans="1:13" ht="18" customHeight="1">
      <c r="A71" s="633"/>
      <c r="B71" s="367"/>
      <c r="C71" s="369" t="s">
        <v>1624</v>
      </c>
      <c r="D71" s="629"/>
      <c r="E71" s="629"/>
      <c r="F71" s="630"/>
      <c r="G71" s="632"/>
      <c r="H71" s="215">
        <v>1</v>
      </c>
      <c r="I71" s="67">
        <v>60001</v>
      </c>
      <c r="J71" s="67">
        <f t="shared" ref="J71:J73" si="32">H71*I71</f>
        <v>60001</v>
      </c>
      <c r="K71" s="215">
        <v>1</v>
      </c>
      <c r="L71" s="67">
        <v>60002</v>
      </c>
      <c r="M71" s="67">
        <f t="shared" ref="M71:M73" si="33">K71*L71</f>
        <v>60002</v>
      </c>
    </row>
    <row r="72" spans="1:13" ht="18" customHeight="1">
      <c r="A72" s="633" t="s">
        <v>1633</v>
      </c>
      <c r="B72" s="367"/>
      <c r="C72" s="369" t="s">
        <v>1663</v>
      </c>
      <c r="D72" s="629" t="s">
        <v>207</v>
      </c>
      <c r="E72" s="629">
        <v>4</v>
      </c>
      <c r="F72" s="630"/>
      <c r="G72" s="631"/>
      <c r="H72" s="215"/>
      <c r="I72" s="67"/>
      <c r="J72" s="67"/>
      <c r="K72" s="215"/>
      <c r="L72" s="67"/>
      <c r="M72" s="67"/>
    </row>
    <row r="73" spans="1:13" ht="26.25" customHeight="1">
      <c r="A73" s="633"/>
      <c r="B73" s="367"/>
      <c r="C73" s="369" t="s">
        <v>1623</v>
      </c>
      <c r="D73" s="629"/>
      <c r="E73" s="629"/>
      <c r="F73" s="630"/>
      <c r="G73" s="632"/>
      <c r="H73" s="215">
        <v>1</v>
      </c>
      <c r="I73" s="67">
        <f t="shared" ref="I73" si="34">82600*1.1589</f>
        <v>95725.14</v>
      </c>
      <c r="J73" s="67">
        <f t="shared" si="32"/>
        <v>95725.14</v>
      </c>
      <c r="K73" s="215">
        <v>1</v>
      </c>
      <c r="L73" s="67">
        <f t="shared" ref="L73" si="35">82600*1.1589</f>
        <v>95725.14</v>
      </c>
      <c r="M73" s="67">
        <f t="shared" si="33"/>
        <v>95725.14</v>
      </c>
    </row>
    <row r="74" spans="1:13" ht="18" customHeight="1">
      <c r="A74" s="633"/>
      <c r="B74" s="367"/>
      <c r="C74" s="369" t="s">
        <v>1626</v>
      </c>
      <c r="D74" s="629"/>
      <c r="E74" s="629"/>
      <c r="F74" s="630"/>
      <c r="G74" s="632"/>
      <c r="H74" s="215"/>
      <c r="I74" s="67"/>
      <c r="J74" s="67"/>
      <c r="K74" s="215"/>
      <c r="L74" s="67"/>
      <c r="M74" s="67"/>
    </row>
    <row r="75" spans="1:13" ht="52.5" customHeight="1">
      <c r="A75" s="64" t="s">
        <v>1635</v>
      </c>
      <c r="B75" s="367"/>
      <c r="C75" s="369" t="s">
        <v>1664</v>
      </c>
      <c r="D75" s="323" t="s">
        <v>156</v>
      </c>
      <c r="E75" s="323">
        <v>96</v>
      </c>
      <c r="F75" s="397"/>
      <c r="G75" s="397"/>
      <c r="H75" s="215"/>
      <c r="I75" s="205"/>
      <c r="J75" s="205"/>
      <c r="K75" s="215"/>
      <c r="L75" s="205"/>
      <c r="M75" s="205"/>
    </row>
    <row r="76" spans="1:13" ht="21" customHeight="1">
      <c r="A76" s="64"/>
      <c r="B76" s="367"/>
      <c r="C76" s="369"/>
      <c r="D76" s="323"/>
      <c r="E76" s="323"/>
      <c r="F76" s="397"/>
      <c r="G76" s="397"/>
      <c r="H76" s="244"/>
      <c r="I76" s="371"/>
      <c r="J76" s="371"/>
      <c r="K76" s="244"/>
      <c r="L76" s="371"/>
      <c r="M76" s="371"/>
    </row>
    <row r="77" spans="1:13" ht="18" customHeight="1">
      <c r="A77" s="622" t="s">
        <v>88</v>
      </c>
      <c r="B77" s="623"/>
      <c r="C77" s="623"/>
      <c r="D77" s="356"/>
      <c r="E77" s="357"/>
      <c r="F77" s="387"/>
      <c r="G77" s="270"/>
    </row>
    <row r="78" spans="1:13" ht="18" customHeight="1">
      <c r="A78" s="622" t="s">
        <v>89</v>
      </c>
      <c r="B78" s="623"/>
      <c r="C78" s="623"/>
      <c r="D78" s="356"/>
      <c r="E78" s="357"/>
      <c r="F78" s="387"/>
      <c r="G78" s="270"/>
    </row>
    <row r="79" spans="1:13" ht="18" customHeight="1">
      <c r="A79" s="64" t="s">
        <v>1637</v>
      </c>
      <c r="B79" s="57"/>
      <c r="C79" s="369" t="s">
        <v>1629</v>
      </c>
      <c r="D79" s="323" t="s">
        <v>303</v>
      </c>
      <c r="E79" s="323">
        <v>73.5</v>
      </c>
      <c r="F79" s="397"/>
      <c r="G79" s="397"/>
      <c r="H79" s="215">
        <f t="shared" ref="H79" si="36">(97601417.9*20%+40746144.9+110566000*40%+77335970.7*40%+20467375)/1000^2</f>
        <v>155.89459176</v>
      </c>
      <c r="I79" s="204">
        <f t="shared" ref="I79" si="37">(68000/156)*110%</f>
        <v>479.48717948717956</v>
      </c>
      <c r="J79" s="67">
        <f t="shared" ref="J79" si="38">H79*I79</f>
        <v>74749.458100307704</v>
      </c>
      <c r="K79" s="215">
        <f t="shared" ref="K79" si="39">(97601417.9*20%+40746144.9+110566000*40%+77335970.7*40%+20467375)/1000^2</f>
        <v>155.89459176</v>
      </c>
      <c r="L79" s="204">
        <f t="shared" ref="L79" si="40">(68000/156)*110%</f>
        <v>479.48717948717956</v>
      </c>
      <c r="M79" s="67">
        <f t="shared" ref="M79" si="41">K79*L79</f>
        <v>74749.458100307704</v>
      </c>
    </row>
    <row r="80" spans="1:13" ht="18" customHeight="1">
      <c r="A80" s="64" t="s">
        <v>1638</v>
      </c>
      <c r="B80" s="57"/>
      <c r="C80" s="369" t="s">
        <v>1631</v>
      </c>
      <c r="D80" s="323" t="s">
        <v>303</v>
      </c>
      <c r="E80" s="323">
        <v>126</v>
      </c>
      <c r="F80" s="397"/>
      <c r="G80" s="397"/>
      <c r="H80" s="215"/>
      <c r="I80" s="204"/>
      <c r="J80" s="67"/>
      <c r="K80" s="215"/>
      <c r="L80" s="204"/>
      <c r="M80" s="67"/>
    </row>
    <row r="81" spans="1:13" ht="46.5" customHeight="1">
      <c r="A81" s="64" t="s">
        <v>1640</v>
      </c>
      <c r="B81" s="57"/>
      <c r="C81" s="369" t="s">
        <v>1920</v>
      </c>
      <c r="D81" s="323" t="s">
        <v>303</v>
      </c>
      <c r="E81" s="323">
        <v>252</v>
      </c>
      <c r="F81" s="397"/>
      <c r="G81" s="397"/>
      <c r="H81" s="215"/>
      <c r="I81" s="204"/>
      <c r="J81" s="67"/>
      <c r="K81" s="215"/>
      <c r="L81" s="204"/>
      <c r="M81" s="67"/>
    </row>
    <row r="82" spans="1:13" ht="72.75" customHeight="1">
      <c r="A82" s="64" t="s">
        <v>1641</v>
      </c>
      <c r="B82" s="57"/>
      <c r="C82" s="369" t="s">
        <v>1634</v>
      </c>
      <c r="D82" s="323" t="s">
        <v>152</v>
      </c>
      <c r="E82" s="323">
        <v>1</v>
      </c>
      <c r="F82" s="397"/>
      <c r="G82" s="397"/>
      <c r="H82" s="233"/>
      <c r="I82" s="234"/>
      <c r="J82" s="234"/>
      <c r="K82" s="233"/>
      <c r="L82" s="234"/>
      <c r="M82" s="234"/>
    </row>
    <row r="83" spans="1:13" ht="18" customHeight="1">
      <c r="A83" s="64" t="s">
        <v>1643</v>
      </c>
      <c r="B83" s="57"/>
      <c r="C83" s="372" t="s">
        <v>1636</v>
      </c>
      <c r="D83" s="373" t="s">
        <v>152</v>
      </c>
      <c r="E83" s="373">
        <v>1</v>
      </c>
      <c r="F83" s="397"/>
      <c r="G83" s="397"/>
      <c r="H83" s="233"/>
      <c r="I83" s="234"/>
      <c r="J83" s="234"/>
      <c r="K83" s="233"/>
      <c r="L83" s="234"/>
      <c r="M83" s="234"/>
    </row>
    <row r="84" spans="1:13" ht="18" customHeight="1">
      <c r="A84" s="64"/>
      <c r="B84" s="57"/>
      <c r="C84" s="209"/>
      <c r="D84" s="84"/>
      <c r="E84" s="124"/>
      <c r="F84" s="398"/>
      <c r="G84" s="399"/>
      <c r="H84" s="215">
        <v>6</v>
      </c>
      <c r="I84" s="204">
        <f>(23892)*125%</f>
        <v>29865</v>
      </c>
      <c r="J84" s="67">
        <f t="shared" ref="J84" si="42">H84*I84</f>
        <v>179190</v>
      </c>
      <c r="K84" s="215">
        <v>6</v>
      </c>
      <c r="L84" s="204">
        <f>(23892)*125%</f>
        <v>29865</v>
      </c>
      <c r="M84" s="67">
        <f t="shared" ref="M84" si="43">K84*L84</f>
        <v>179190</v>
      </c>
    </row>
    <row r="85" spans="1:13" ht="18" customHeight="1">
      <c r="A85" s="64" t="s">
        <v>1644</v>
      </c>
      <c r="B85" s="374"/>
      <c r="C85" s="322" t="s">
        <v>1534</v>
      </c>
      <c r="D85" s="84"/>
      <c r="E85" s="124"/>
      <c r="F85" s="400"/>
      <c r="G85" s="400"/>
      <c r="H85" s="233"/>
      <c r="I85" s="234"/>
      <c r="J85" s="234"/>
      <c r="K85" s="233"/>
      <c r="L85" s="234"/>
      <c r="M85" s="234"/>
    </row>
    <row r="86" spans="1:13" ht="18" customHeight="1">
      <c r="A86" s="64" t="s">
        <v>1646</v>
      </c>
      <c r="B86" s="57"/>
      <c r="C86" s="375" t="s">
        <v>1639</v>
      </c>
      <c r="D86" s="84"/>
      <c r="E86" s="124"/>
      <c r="F86" s="400"/>
      <c r="G86" s="400"/>
      <c r="H86" s="233"/>
      <c r="I86" s="234"/>
      <c r="J86" s="234"/>
      <c r="K86" s="233"/>
      <c r="L86" s="234"/>
      <c r="M86" s="234"/>
    </row>
    <row r="87" spans="1:13" ht="51" customHeight="1">
      <c r="A87" s="64" t="s">
        <v>1647</v>
      </c>
      <c r="B87" s="57"/>
      <c r="C87" s="209" t="s">
        <v>566</v>
      </c>
      <c r="D87" s="105" t="s">
        <v>156</v>
      </c>
      <c r="E87" s="124">
        <v>5</v>
      </c>
      <c r="F87" s="397"/>
      <c r="G87" s="397"/>
      <c r="H87" s="233"/>
      <c r="I87" s="234"/>
      <c r="J87" s="234"/>
      <c r="K87" s="233"/>
      <c r="L87" s="234"/>
      <c r="M87" s="234"/>
    </row>
    <row r="88" spans="1:13" ht="18" customHeight="1">
      <c r="A88" s="64"/>
      <c r="B88" s="57"/>
      <c r="C88" s="209"/>
      <c r="D88" s="84"/>
      <c r="E88" s="124"/>
      <c r="F88" s="384"/>
      <c r="G88" s="384"/>
      <c r="H88" s="376"/>
      <c r="J88" s="234"/>
      <c r="K88" s="376"/>
      <c r="M88" s="234"/>
    </row>
    <row r="89" spans="1:13" ht="18" customHeight="1">
      <c r="A89" s="64" t="s">
        <v>1649</v>
      </c>
      <c r="B89" s="57"/>
      <c r="C89" s="375" t="s">
        <v>1642</v>
      </c>
      <c r="D89" s="84"/>
      <c r="E89" s="124"/>
      <c r="F89" s="384"/>
      <c r="G89" s="384"/>
      <c r="H89" s="376"/>
      <c r="J89" s="234"/>
      <c r="K89" s="376"/>
      <c r="M89" s="234"/>
    </row>
    <row r="90" spans="1:13" ht="33.75" customHeight="1">
      <c r="A90" s="64" t="s">
        <v>1650</v>
      </c>
      <c r="B90" s="57"/>
      <c r="C90" s="209" t="s">
        <v>1535</v>
      </c>
      <c r="D90" s="105" t="s">
        <v>156</v>
      </c>
      <c r="E90" s="124">
        <v>8</v>
      </c>
      <c r="F90" s="97"/>
      <c r="G90" s="97"/>
      <c r="H90" s="376"/>
      <c r="J90" s="234"/>
      <c r="K90" s="376"/>
      <c r="M90" s="234"/>
    </row>
    <row r="91" spans="1:13" ht="12.75" customHeight="1">
      <c r="A91" s="64"/>
      <c r="B91" s="57"/>
      <c r="C91" s="209"/>
      <c r="D91" s="84"/>
      <c r="E91" s="124"/>
      <c r="F91" s="384"/>
      <c r="G91" s="384"/>
      <c r="H91" s="376"/>
      <c r="J91" s="234"/>
      <c r="K91" s="376"/>
      <c r="M91" s="234"/>
    </row>
    <row r="92" spans="1:13" ht="18" customHeight="1">
      <c r="A92" s="64"/>
      <c r="B92" s="57"/>
      <c r="C92" s="375" t="s">
        <v>1645</v>
      </c>
      <c r="D92" s="84"/>
      <c r="E92" s="124"/>
      <c r="F92" s="384"/>
      <c r="G92" s="384"/>
      <c r="H92" s="376"/>
      <c r="J92" s="234"/>
      <c r="K92" s="376"/>
      <c r="M92" s="234"/>
    </row>
    <row r="93" spans="1:13" ht="30.75" customHeight="1">
      <c r="A93" s="64" t="s">
        <v>1651</v>
      </c>
      <c r="B93" s="335" t="s">
        <v>567</v>
      </c>
      <c r="C93" s="209" t="s">
        <v>568</v>
      </c>
      <c r="D93" s="105" t="s">
        <v>569</v>
      </c>
      <c r="E93" s="124">
        <v>1</v>
      </c>
      <c r="F93" s="97"/>
      <c r="G93" s="67">
        <v>70000</v>
      </c>
      <c r="H93" s="376"/>
      <c r="J93" s="234"/>
      <c r="K93" s="376"/>
      <c r="M93" s="234"/>
    </row>
    <row r="94" spans="1:13" ht="18" customHeight="1">
      <c r="A94" s="64" t="s">
        <v>1652</v>
      </c>
      <c r="B94" s="57"/>
      <c r="C94" s="209" t="s">
        <v>1648</v>
      </c>
      <c r="D94" s="105" t="s">
        <v>569</v>
      </c>
      <c r="E94" s="124">
        <v>1</v>
      </c>
      <c r="F94" s="97"/>
      <c r="G94" s="67">
        <v>112000</v>
      </c>
      <c r="H94" s="376"/>
      <c r="J94" s="234"/>
      <c r="K94" s="376"/>
      <c r="M94" s="234"/>
    </row>
    <row r="95" spans="1:13" ht="27.6">
      <c r="A95" s="64" t="s">
        <v>1654</v>
      </c>
      <c r="B95" s="57"/>
      <c r="C95" s="153" t="s">
        <v>1812</v>
      </c>
      <c r="D95" s="154" t="s">
        <v>107</v>
      </c>
      <c r="E95" s="12"/>
      <c r="F95" s="67"/>
      <c r="G95" s="97"/>
      <c r="H95" s="376"/>
      <c r="J95" s="234"/>
      <c r="K95" s="376"/>
      <c r="M95" s="234"/>
    </row>
    <row r="96" spans="1:13" ht="13.5" customHeight="1">
      <c r="A96" s="85"/>
      <c r="B96" s="57"/>
      <c r="C96" s="209"/>
      <c r="D96" s="84"/>
      <c r="E96" s="124"/>
      <c r="F96" s="384"/>
      <c r="G96" s="384"/>
      <c r="H96" s="376"/>
      <c r="J96" s="234"/>
      <c r="K96" s="376"/>
      <c r="M96" s="234"/>
    </row>
    <row r="97" spans="1:13" ht="18" customHeight="1">
      <c r="A97" s="377" t="s">
        <v>1655</v>
      </c>
      <c r="B97" s="374"/>
      <c r="C97" s="375" t="s">
        <v>1575</v>
      </c>
      <c r="D97" s="168"/>
      <c r="E97" s="378"/>
      <c r="F97" s="384"/>
      <c r="G97" s="384"/>
      <c r="H97" s="376"/>
      <c r="J97" s="234"/>
      <c r="K97" s="376"/>
      <c r="M97" s="234"/>
    </row>
    <row r="98" spans="1:13" ht="69" customHeight="1">
      <c r="A98" s="377"/>
      <c r="B98" s="379"/>
      <c r="C98" s="380" t="s">
        <v>1576</v>
      </c>
      <c r="D98" s="105"/>
      <c r="E98" s="124"/>
      <c r="F98" s="266"/>
      <c r="G98" s="97"/>
      <c r="H98" s="376"/>
      <c r="J98" s="234"/>
      <c r="K98" s="376"/>
      <c r="M98" s="234"/>
    </row>
    <row r="99" spans="1:13" ht="27" customHeight="1">
      <c r="A99" s="377" t="s">
        <v>1579</v>
      </c>
      <c r="B99" s="379"/>
      <c r="C99" s="381" t="s">
        <v>1577</v>
      </c>
      <c r="D99" s="105" t="s">
        <v>207</v>
      </c>
      <c r="E99" s="124">
        <f>(97601417.9*20%+40746144.9+110566000*40%+77335970.7*40%+20467375)/1000^2*1.05</f>
        <v>163.68932134799999</v>
      </c>
      <c r="F99" s="266"/>
      <c r="G99" s="97"/>
      <c r="H99" s="382"/>
      <c r="I99" s="127"/>
      <c r="J99" s="126" t="e">
        <f>SUM(J43:J87)</f>
        <v>#REF!</v>
      </c>
      <c r="K99" s="382"/>
      <c r="L99" s="127"/>
      <c r="M99" s="126" t="e">
        <f>SUM(M43:M87)</f>
        <v>#REF!</v>
      </c>
    </row>
    <row r="100" spans="1:13" ht="33" customHeight="1">
      <c r="A100" s="377" t="s">
        <v>1580</v>
      </c>
      <c r="B100" s="379"/>
      <c r="C100" s="381" t="s">
        <v>1578</v>
      </c>
      <c r="D100" s="105" t="s">
        <v>207</v>
      </c>
      <c r="E100" s="124">
        <f>(249117871.8+234943946.4+81791778.6+202009899.8)/(1000^2)</f>
        <v>767.86349660000019</v>
      </c>
      <c r="F100" s="266"/>
      <c r="G100" s="97"/>
    </row>
    <row r="101" spans="1:13" ht="14.25" customHeight="1">
      <c r="A101" s="85"/>
      <c r="B101" s="57"/>
      <c r="C101" s="209" t="s">
        <v>570</v>
      </c>
      <c r="D101" s="84"/>
      <c r="E101" s="383"/>
      <c r="F101" s="385"/>
      <c r="G101" s="385"/>
    </row>
    <row r="102" spans="1:13" ht="18" customHeight="1">
      <c r="A102" s="377" t="s">
        <v>1581</v>
      </c>
      <c r="B102" s="374"/>
      <c r="C102" s="375" t="s">
        <v>1653</v>
      </c>
      <c r="D102" s="168"/>
      <c r="E102" s="378"/>
      <c r="F102" s="384"/>
      <c r="G102" s="384"/>
    </row>
    <row r="103" spans="1:13">
      <c r="A103" s="377" t="s">
        <v>1582</v>
      </c>
      <c r="B103" s="379"/>
      <c r="C103" s="381" t="s">
        <v>1810</v>
      </c>
      <c r="D103" s="105" t="s">
        <v>156</v>
      </c>
      <c r="E103" s="124">
        <v>8</v>
      </c>
      <c r="F103" s="266"/>
      <c r="G103" s="97"/>
    </row>
    <row r="104" spans="1:13" ht="18" customHeight="1">
      <c r="A104" s="377"/>
      <c r="B104" s="57"/>
      <c r="C104" s="209" t="s">
        <v>570</v>
      </c>
      <c r="D104" s="84"/>
      <c r="E104" s="383"/>
      <c r="F104" s="385"/>
      <c r="G104" s="385"/>
    </row>
    <row r="105" spans="1:13" ht="18" customHeight="1">
      <c r="A105" s="377" t="s">
        <v>1583</v>
      </c>
      <c r="B105" s="57"/>
      <c r="C105" s="375" t="s">
        <v>571</v>
      </c>
      <c r="D105" s="84"/>
      <c r="E105" s="383"/>
      <c r="F105" s="385"/>
      <c r="G105" s="385"/>
    </row>
    <row r="106" spans="1:13" ht="66.75" customHeight="1">
      <c r="A106" s="377" t="s">
        <v>1606</v>
      </c>
      <c r="B106" s="57"/>
      <c r="C106" s="153" t="s">
        <v>572</v>
      </c>
      <c r="D106" s="105" t="s">
        <v>156</v>
      </c>
      <c r="E106" s="124">
        <v>2</v>
      </c>
      <c r="F106" s="97"/>
      <c r="G106" s="97"/>
    </row>
    <row r="107" spans="1:13" ht="33.75" customHeight="1">
      <c r="A107" s="377" t="s">
        <v>1607</v>
      </c>
      <c r="B107" s="57"/>
      <c r="C107" s="375" t="s">
        <v>1554</v>
      </c>
      <c r="D107" s="153"/>
      <c r="E107" s="124"/>
      <c r="F107" s="386"/>
      <c r="G107" s="385"/>
    </row>
    <row r="108" spans="1:13" ht="18" customHeight="1">
      <c r="A108" s="622" t="s">
        <v>88</v>
      </c>
      <c r="B108" s="623"/>
      <c r="C108" s="623"/>
      <c r="D108" s="356"/>
      <c r="E108" s="357"/>
      <c r="F108" s="387"/>
      <c r="G108" s="270"/>
    </row>
    <row r="109" spans="1:13" ht="18" customHeight="1">
      <c r="A109" s="622" t="s">
        <v>89</v>
      </c>
      <c r="B109" s="623"/>
      <c r="C109" s="623"/>
      <c r="D109" s="356"/>
      <c r="E109" s="357"/>
      <c r="F109" s="387"/>
      <c r="G109" s="270"/>
    </row>
    <row r="110" spans="1:13" ht="18" customHeight="1">
      <c r="A110" s="85"/>
      <c r="B110" s="57"/>
      <c r="C110" s="209"/>
      <c r="D110" s="84"/>
      <c r="E110" s="124"/>
      <c r="F110" s="385"/>
      <c r="G110" s="385"/>
    </row>
    <row r="111" spans="1:13" ht="56.25" customHeight="1">
      <c r="A111" s="377" t="s">
        <v>1608</v>
      </c>
      <c r="B111" s="57"/>
      <c r="C111" s="153" t="s">
        <v>1811</v>
      </c>
      <c r="D111" s="105" t="s">
        <v>303</v>
      </c>
      <c r="E111" s="124">
        <v>400</v>
      </c>
      <c r="F111" s="266"/>
      <c r="G111" s="97"/>
    </row>
    <row r="112" spans="1:13">
      <c r="A112" s="377" t="s">
        <v>1609</v>
      </c>
      <c r="B112" s="57"/>
      <c r="C112" s="153" t="s">
        <v>1841</v>
      </c>
      <c r="D112" s="105" t="s">
        <v>152</v>
      </c>
      <c r="E112" s="124">
        <v>1</v>
      </c>
      <c r="F112" s="388"/>
      <c r="G112" s="97"/>
    </row>
    <row r="113" spans="1:7" ht="36" customHeight="1">
      <c r="A113" s="377" t="s">
        <v>1656</v>
      </c>
      <c r="B113" s="57"/>
      <c r="C113" s="157" t="s">
        <v>1573</v>
      </c>
      <c r="D113" s="80" t="s">
        <v>156</v>
      </c>
      <c r="E113" s="124">
        <v>3</v>
      </c>
      <c r="F113" s="266"/>
      <c r="G113" s="97"/>
    </row>
    <row r="114" spans="1:7" ht="38.25" customHeight="1">
      <c r="A114" s="377" t="s">
        <v>1657</v>
      </c>
      <c r="B114" s="57"/>
      <c r="C114" s="289" t="s">
        <v>1574</v>
      </c>
      <c r="D114" s="80" t="s">
        <v>156</v>
      </c>
      <c r="E114" s="124">
        <v>1</v>
      </c>
      <c r="F114" s="266"/>
      <c r="G114" s="97"/>
    </row>
    <row r="115" spans="1:7" ht="18" customHeight="1">
      <c r="A115" s="377"/>
      <c r="B115" s="57"/>
      <c r="C115" s="289"/>
      <c r="D115" s="80"/>
      <c r="E115" s="124"/>
      <c r="F115" s="266"/>
      <c r="G115" s="97"/>
    </row>
    <row r="116" spans="1:7" ht="18" customHeight="1">
      <c r="A116" s="377"/>
      <c r="B116" s="76"/>
      <c r="C116" s="62"/>
      <c r="D116" s="168"/>
      <c r="E116" s="169"/>
      <c r="F116" s="97"/>
      <c r="G116" s="97"/>
    </row>
    <row r="117" spans="1:7" ht="18" customHeight="1">
      <c r="A117" s="377"/>
      <c r="B117" s="57"/>
      <c r="C117" s="79"/>
      <c r="D117" s="170"/>
      <c r="E117" s="171"/>
      <c r="F117" s="97"/>
      <c r="G117" s="97"/>
    </row>
    <row r="118" spans="1:7" ht="18" customHeight="1">
      <c r="A118" s="377"/>
      <c r="B118" s="57"/>
      <c r="C118" s="110"/>
      <c r="D118" s="170"/>
      <c r="E118" s="171"/>
      <c r="F118" s="97"/>
      <c r="G118" s="97"/>
    </row>
    <row r="119" spans="1:7" ht="18" customHeight="1">
      <c r="A119" s="377"/>
      <c r="B119" s="76"/>
      <c r="C119" s="172"/>
      <c r="D119" s="80"/>
      <c r="E119" s="173"/>
      <c r="F119" s="184"/>
      <c r="G119" s="184"/>
    </row>
    <row r="120" spans="1:7" ht="18" customHeight="1">
      <c r="A120" s="377"/>
      <c r="B120" s="108"/>
      <c r="C120" s="153"/>
      <c r="D120" s="64"/>
      <c r="E120" s="155"/>
      <c r="F120" s="97"/>
      <c r="G120" s="389"/>
    </row>
    <row r="121" spans="1:7" ht="18" customHeight="1">
      <c r="A121" s="377"/>
      <c r="B121" s="57"/>
      <c r="C121" s="289"/>
      <c r="D121" s="80"/>
      <c r="E121" s="124"/>
      <c r="F121" s="266"/>
      <c r="G121" s="97"/>
    </row>
    <row r="122" spans="1:7" ht="18" customHeight="1">
      <c r="A122" s="377"/>
      <c r="B122" s="57"/>
      <c r="C122" s="289"/>
      <c r="D122" s="80"/>
      <c r="E122" s="124"/>
      <c r="F122" s="266"/>
      <c r="G122" s="97"/>
    </row>
    <row r="123" spans="1:7" ht="18" customHeight="1">
      <c r="A123" s="377"/>
      <c r="B123" s="57"/>
      <c r="C123" s="289"/>
      <c r="D123" s="80"/>
      <c r="E123" s="124"/>
      <c r="F123" s="266"/>
      <c r="G123" s="97"/>
    </row>
    <row r="124" spans="1:7" ht="18" customHeight="1">
      <c r="A124" s="377"/>
      <c r="B124" s="57"/>
      <c r="C124" s="289"/>
      <c r="D124" s="80"/>
      <c r="E124" s="124"/>
      <c r="F124" s="266"/>
      <c r="G124" s="97"/>
    </row>
    <row r="125" spans="1:7" ht="18" customHeight="1">
      <c r="A125" s="377"/>
      <c r="B125" s="57"/>
      <c r="C125" s="289"/>
      <c r="D125" s="80"/>
      <c r="E125" s="124"/>
      <c r="F125" s="266"/>
      <c r="G125" s="97"/>
    </row>
    <row r="126" spans="1:7" ht="18" customHeight="1">
      <c r="A126" s="377"/>
      <c r="B126" s="57"/>
      <c r="C126" s="289"/>
      <c r="D126" s="80"/>
      <c r="E126" s="124"/>
      <c r="F126" s="266"/>
      <c r="G126" s="97"/>
    </row>
    <row r="127" spans="1:7" ht="18" customHeight="1">
      <c r="A127" s="377"/>
      <c r="B127" s="57"/>
      <c r="C127" s="289"/>
      <c r="D127" s="80"/>
      <c r="E127" s="124"/>
      <c r="F127" s="266"/>
      <c r="G127" s="97"/>
    </row>
    <row r="128" spans="1:7" ht="18" customHeight="1">
      <c r="A128" s="377"/>
      <c r="B128" s="57"/>
      <c r="C128" s="289"/>
      <c r="D128" s="80"/>
      <c r="E128" s="124"/>
      <c r="F128" s="266"/>
      <c r="G128" s="97"/>
    </row>
    <row r="129" spans="1:7" ht="18" customHeight="1">
      <c r="A129" s="377"/>
      <c r="B129" s="57"/>
      <c r="C129" s="289"/>
      <c r="D129" s="80"/>
      <c r="E129" s="124"/>
      <c r="F129" s="266"/>
      <c r="G129" s="97"/>
    </row>
    <row r="130" spans="1:7" ht="18" customHeight="1">
      <c r="A130" s="377"/>
      <c r="B130" s="57"/>
      <c r="C130" s="289"/>
      <c r="D130" s="80"/>
      <c r="E130" s="124"/>
      <c r="F130" s="266"/>
      <c r="G130" s="97"/>
    </row>
    <row r="131" spans="1:7" ht="18" customHeight="1">
      <c r="A131" s="377"/>
      <c r="B131" s="57"/>
      <c r="C131" s="289"/>
      <c r="D131" s="80"/>
      <c r="E131" s="124"/>
      <c r="F131" s="266"/>
      <c r="G131" s="97"/>
    </row>
    <row r="132" spans="1:7" ht="18" customHeight="1">
      <c r="A132" s="377"/>
      <c r="B132" s="57"/>
      <c r="C132" s="289"/>
      <c r="D132" s="80"/>
      <c r="E132" s="124"/>
      <c r="F132" s="266"/>
      <c r="G132" s="97"/>
    </row>
    <row r="133" spans="1:7" ht="18" customHeight="1">
      <c r="A133" s="377"/>
      <c r="B133" s="57"/>
      <c r="C133" s="289"/>
      <c r="D133" s="80"/>
      <c r="E133" s="124"/>
      <c r="F133" s="266"/>
      <c r="G133" s="97"/>
    </row>
    <row r="134" spans="1:7" ht="18" customHeight="1">
      <c r="A134" s="377"/>
      <c r="B134" s="57"/>
      <c r="C134" s="289"/>
      <c r="D134" s="80"/>
      <c r="E134" s="124"/>
      <c r="F134" s="266"/>
      <c r="G134" s="97"/>
    </row>
    <row r="135" spans="1:7" ht="18" customHeight="1">
      <c r="A135" s="377"/>
      <c r="B135" s="57"/>
      <c r="C135" s="289"/>
      <c r="D135" s="80"/>
      <c r="E135" s="124"/>
      <c r="F135" s="266"/>
      <c r="G135" s="97"/>
    </row>
    <row r="136" spans="1:7" ht="18" customHeight="1">
      <c r="A136" s="377"/>
      <c r="B136" s="57"/>
      <c r="C136" s="289"/>
      <c r="D136" s="80"/>
      <c r="E136" s="124"/>
      <c r="F136" s="266"/>
      <c r="G136" s="97"/>
    </row>
    <row r="137" spans="1:7" ht="18" customHeight="1">
      <c r="A137" s="377"/>
      <c r="B137" s="57"/>
      <c r="C137" s="289"/>
      <c r="D137" s="80"/>
      <c r="E137" s="124"/>
      <c r="F137" s="266"/>
      <c r="G137" s="97"/>
    </row>
    <row r="138" spans="1:7" ht="18" customHeight="1">
      <c r="A138" s="377"/>
      <c r="B138" s="57"/>
      <c r="C138" s="289"/>
      <c r="D138" s="80"/>
      <c r="E138" s="124"/>
      <c r="F138" s="266"/>
      <c r="G138" s="97"/>
    </row>
    <row r="139" spans="1:7" ht="18" customHeight="1">
      <c r="A139" s="377"/>
      <c r="B139" s="57"/>
      <c r="C139" s="289"/>
      <c r="D139" s="80"/>
      <c r="E139" s="124"/>
      <c r="F139" s="266"/>
      <c r="G139" s="97"/>
    </row>
    <row r="140" spans="1:7" ht="18" customHeight="1">
      <c r="A140" s="377"/>
      <c r="B140" s="57"/>
      <c r="C140" s="289"/>
      <c r="D140" s="80"/>
      <c r="E140" s="124"/>
      <c r="F140" s="266"/>
      <c r="G140" s="97"/>
    </row>
    <row r="141" spans="1:7" ht="18" customHeight="1">
      <c r="A141" s="377"/>
      <c r="B141" s="57"/>
      <c r="C141" s="289"/>
      <c r="D141" s="80"/>
      <c r="E141" s="124"/>
      <c r="F141" s="266"/>
      <c r="G141" s="97"/>
    </row>
    <row r="142" spans="1:7" ht="18" customHeight="1">
      <c r="A142" s="377"/>
      <c r="B142" s="57"/>
      <c r="C142" s="289"/>
      <c r="D142" s="80"/>
      <c r="E142" s="124"/>
      <c r="F142" s="266"/>
      <c r="G142" s="97"/>
    </row>
    <row r="143" spans="1:7" ht="18" customHeight="1">
      <c r="A143" s="377"/>
      <c r="B143" s="57"/>
      <c r="C143" s="289"/>
      <c r="D143" s="80"/>
      <c r="E143" s="124"/>
      <c r="F143" s="266"/>
      <c r="G143" s="97"/>
    </row>
    <row r="144" spans="1:7" ht="18" customHeight="1">
      <c r="A144" s="377"/>
      <c r="B144" s="57"/>
      <c r="C144" s="289"/>
      <c r="D144" s="80"/>
      <c r="E144" s="124"/>
      <c r="F144" s="266"/>
      <c r="G144" s="97"/>
    </row>
    <row r="145" spans="1:7" ht="18" customHeight="1">
      <c r="A145" s="377"/>
      <c r="B145" s="57"/>
      <c r="C145" s="289"/>
      <c r="D145" s="80"/>
      <c r="E145" s="124"/>
      <c r="F145" s="266"/>
      <c r="G145" s="97"/>
    </row>
    <row r="146" spans="1:7" ht="18" customHeight="1">
      <c r="A146" s="377"/>
      <c r="B146" s="57"/>
      <c r="C146" s="289"/>
      <c r="D146" s="80"/>
      <c r="E146" s="124"/>
      <c r="F146" s="266"/>
      <c r="G146" s="97"/>
    </row>
    <row r="147" spans="1:7" ht="18" customHeight="1">
      <c r="A147" s="85"/>
      <c r="B147" s="57"/>
      <c r="C147" s="209"/>
      <c r="D147" s="84"/>
      <c r="E147" s="383"/>
      <c r="F147" s="385"/>
      <c r="G147" s="385"/>
    </row>
    <row r="148" spans="1:7" ht="18" customHeight="1">
      <c r="A148" s="85"/>
      <c r="B148" s="57"/>
      <c r="C148" s="209"/>
      <c r="D148" s="84"/>
      <c r="E148" s="383"/>
      <c r="F148" s="385"/>
      <c r="G148" s="385"/>
    </row>
    <row r="149" spans="1:7" ht="18" customHeight="1">
      <c r="A149" s="85"/>
      <c r="B149" s="57"/>
      <c r="D149" s="84"/>
      <c r="E149" s="383"/>
      <c r="F149" s="385"/>
      <c r="G149" s="385"/>
    </row>
    <row r="150" spans="1:7" ht="18" customHeight="1">
      <c r="A150" s="610" t="s">
        <v>1872</v>
      </c>
      <c r="B150" s="611"/>
      <c r="C150" s="611"/>
      <c r="D150" s="611"/>
      <c r="E150" s="611"/>
      <c r="F150" s="612"/>
      <c r="G150" s="144"/>
    </row>
    <row r="151" spans="1:7" ht="18" customHeight="1"/>
  </sheetData>
  <mergeCells count="37">
    <mergeCell ref="K2:M2"/>
    <mergeCell ref="A1:G1"/>
    <mergeCell ref="A2:A3"/>
    <mergeCell ref="B2:B3"/>
    <mergeCell ref="C2:C3"/>
    <mergeCell ref="D2:D3"/>
    <mergeCell ref="E2:E3"/>
    <mergeCell ref="F2:F3"/>
    <mergeCell ref="G2:G3"/>
    <mergeCell ref="G65:G68"/>
    <mergeCell ref="E63:E64"/>
    <mergeCell ref="F63:F64"/>
    <mergeCell ref="G63:G64"/>
    <mergeCell ref="H2:J2"/>
    <mergeCell ref="A4:E4"/>
    <mergeCell ref="A46:C46"/>
    <mergeCell ref="A47:C47"/>
    <mergeCell ref="D63:D64"/>
    <mergeCell ref="A65:A68"/>
    <mergeCell ref="D65:D68"/>
    <mergeCell ref="E65:E68"/>
    <mergeCell ref="F65:F68"/>
    <mergeCell ref="G69:G71"/>
    <mergeCell ref="A72:A74"/>
    <mergeCell ref="D72:D74"/>
    <mergeCell ref="E72:E74"/>
    <mergeCell ref="F72:F74"/>
    <mergeCell ref="G72:G74"/>
    <mergeCell ref="A69:A71"/>
    <mergeCell ref="D69:D71"/>
    <mergeCell ref="A150:F150"/>
    <mergeCell ref="A108:C108"/>
    <mergeCell ref="A109:C109"/>
    <mergeCell ref="E69:E71"/>
    <mergeCell ref="F69:F71"/>
    <mergeCell ref="A77:C77"/>
    <mergeCell ref="A78:C78"/>
  </mergeCells>
  <phoneticPr fontId="11" type="noConversion"/>
  <pageMargins left="0.70866141732283505" right="0.70866141732283505" top="1.2992125984252001" bottom="0.74803149606299202" header="0.31496062992126" footer="0.31496062992126"/>
  <pageSetup paperSize="9" scale="74" firstPageNumber="26"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rowBreaks count="3" manualBreakCount="3">
    <brk id="46" max="16383" man="1"/>
    <brk id="77" max="16383" man="1"/>
    <brk id="108"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696FB-C0CD-43B9-89EC-2EAB12F38CD9}">
  <sheetPr>
    <tabColor rgb="FFFFFF00"/>
  </sheetPr>
  <dimension ref="A1:G146"/>
  <sheetViews>
    <sheetView view="pageBreakPreview" topLeftCell="A18" zoomScale="90" zoomScaleNormal="100" zoomScaleSheetLayoutView="90" workbookViewId="0">
      <selection activeCell="J13" sqref="J13"/>
    </sheetView>
  </sheetViews>
  <sheetFormatPr defaultColWidth="0.88671875" defaultRowHeight="13.8"/>
  <cols>
    <col min="1" max="1" width="7.109375" style="88" customWidth="1"/>
    <col min="2" max="2" width="8.5546875" style="89" bestFit="1" customWidth="1"/>
    <col min="3" max="3" width="56.109375" style="90" customWidth="1"/>
    <col min="4" max="4" width="7.5546875" style="91" customWidth="1"/>
    <col min="5" max="5" width="6.44140625" style="92" customWidth="1"/>
    <col min="6" max="6" width="12" style="88" customWidth="1"/>
    <col min="7" max="7" width="16.33203125" style="88" customWidth="1"/>
    <col min="8" max="16384" width="0.88671875" style="44"/>
  </cols>
  <sheetData>
    <row r="1" spans="1:7" ht="23.25" customHeight="1">
      <c r="A1" s="636" t="s">
        <v>1570</v>
      </c>
      <c r="B1" s="614"/>
      <c r="C1" s="614"/>
      <c r="D1" s="614"/>
      <c r="E1" s="614"/>
      <c r="F1" s="614"/>
      <c r="G1" s="615"/>
    </row>
    <row r="2" spans="1:7" ht="22.5" customHeight="1">
      <c r="A2" s="637" t="s">
        <v>4</v>
      </c>
      <c r="B2" s="638" t="s">
        <v>5</v>
      </c>
      <c r="C2" s="637" t="s">
        <v>1</v>
      </c>
      <c r="D2" s="639" t="s">
        <v>6</v>
      </c>
      <c r="E2" s="647" t="s">
        <v>7</v>
      </c>
      <c r="F2" s="649" t="s">
        <v>8</v>
      </c>
      <c r="G2" s="649" t="s">
        <v>9</v>
      </c>
    </row>
    <row r="3" spans="1:7" s="50" customFormat="1">
      <c r="A3" s="637"/>
      <c r="B3" s="638"/>
      <c r="C3" s="637"/>
      <c r="D3" s="639"/>
      <c r="E3" s="648"/>
      <c r="F3" s="650"/>
      <c r="G3" s="650"/>
    </row>
    <row r="4" spans="1:7" ht="12.75" customHeight="1">
      <c r="A4" s="51"/>
      <c r="B4" s="52"/>
      <c r="C4" s="53"/>
      <c r="D4" s="281"/>
      <c r="E4" s="282"/>
      <c r="F4" s="283"/>
      <c r="G4" s="283"/>
    </row>
    <row r="5" spans="1:7" ht="33" customHeight="1">
      <c r="A5" s="56">
        <v>3.1</v>
      </c>
      <c r="B5" s="57"/>
      <c r="C5" s="58" t="str">
        <f>A1</f>
        <v>SECTION 3.1 : MECHANICAL ENGINEERING - SUPPLY OF POLYELECTROLYTE, SLUDGE AND WASH WATER MAIN</v>
      </c>
      <c r="D5" s="105"/>
      <c r="E5" s="197"/>
      <c r="F5" s="11"/>
      <c r="G5" s="11"/>
    </row>
    <row r="6" spans="1:7" ht="18" customHeight="1">
      <c r="A6" s="56"/>
      <c r="B6" s="57"/>
      <c r="C6" s="58" t="s">
        <v>576</v>
      </c>
      <c r="D6" s="105"/>
      <c r="E6" s="197"/>
      <c r="F6" s="11"/>
      <c r="G6" s="11"/>
    </row>
    <row r="7" spans="1:7" ht="12" customHeight="1">
      <c r="A7" s="56"/>
      <c r="B7" s="57"/>
      <c r="C7" s="62"/>
      <c r="D7" s="105"/>
      <c r="E7" s="197"/>
      <c r="F7" s="11"/>
      <c r="G7" s="11"/>
    </row>
    <row r="8" spans="1:7" ht="27.6">
      <c r="A8" s="56" t="s">
        <v>577</v>
      </c>
      <c r="B8" s="125" t="s">
        <v>578</v>
      </c>
      <c r="C8" s="73" t="s">
        <v>579</v>
      </c>
      <c r="D8" s="105"/>
      <c r="E8" s="197"/>
      <c r="F8" s="313"/>
      <c r="G8" s="313"/>
    </row>
    <row r="9" spans="1:7" ht="34.5" customHeight="1">
      <c r="A9" s="64" t="s">
        <v>580</v>
      </c>
      <c r="B9" s="125"/>
      <c r="C9" s="74" t="s">
        <v>1561</v>
      </c>
      <c r="D9" s="105" t="s">
        <v>152</v>
      </c>
      <c r="E9" s="86">
        <v>1</v>
      </c>
      <c r="F9" s="265"/>
      <c r="G9" s="265"/>
    </row>
    <row r="10" spans="1:7" ht="18" customHeight="1">
      <c r="A10" s="64" t="s">
        <v>581</v>
      </c>
      <c r="B10" s="125"/>
      <c r="C10" s="74" t="s">
        <v>1562</v>
      </c>
      <c r="D10" s="105" t="s">
        <v>156</v>
      </c>
      <c r="E10" s="86">
        <v>6</v>
      </c>
      <c r="F10" s="265"/>
      <c r="G10" s="265"/>
    </row>
    <row r="11" spans="1:7" ht="18" customHeight="1">
      <c r="A11" s="64" t="s">
        <v>582</v>
      </c>
      <c r="B11" s="125"/>
      <c r="C11" s="74" t="s">
        <v>1563</v>
      </c>
      <c r="D11" s="105" t="s">
        <v>156</v>
      </c>
      <c r="E11" s="86">
        <v>3</v>
      </c>
      <c r="F11" s="265"/>
      <c r="G11" s="265"/>
    </row>
    <row r="12" spans="1:7" ht="18" customHeight="1">
      <c r="A12" s="64" t="s">
        <v>583</v>
      </c>
      <c r="B12" s="125"/>
      <c r="C12" s="74" t="s">
        <v>1531</v>
      </c>
      <c r="D12" s="105" t="s">
        <v>156</v>
      </c>
      <c r="E12" s="86">
        <v>1</v>
      </c>
      <c r="F12" s="265"/>
      <c r="G12" s="265"/>
    </row>
    <row r="13" spans="1:7">
      <c r="A13" s="64" t="s">
        <v>584</v>
      </c>
      <c r="B13" s="125"/>
      <c r="C13" s="74" t="s">
        <v>1888</v>
      </c>
      <c r="D13" s="105" t="s">
        <v>152</v>
      </c>
      <c r="E13" s="86">
        <v>1</v>
      </c>
      <c r="F13" s="265"/>
      <c r="G13" s="265"/>
    </row>
    <row r="14" spans="1:7">
      <c r="A14" s="64" t="s">
        <v>585</v>
      </c>
      <c r="B14" s="125"/>
      <c r="C14" s="74" t="s">
        <v>1887</v>
      </c>
      <c r="D14" s="105" t="s">
        <v>156</v>
      </c>
      <c r="E14" s="86">
        <v>5</v>
      </c>
      <c r="F14" s="265"/>
      <c r="G14" s="265"/>
    </row>
    <row r="15" spans="1:7">
      <c r="A15" s="64" t="s">
        <v>586</v>
      </c>
      <c r="B15" s="125"/>
      <c r="C15" s="74" t="s">
        <v>1889</v>
      </c>
      <c r="D15" s="105" t="s">
        <v>152</v>
      </c>
      <c r="E15" s="86">
        <v>1</v>
      </c>
      <c r="F15" s="265"/>
      <c r="G15" s="265"/>
    </row>
    <row r="16" spans="1:7" ht="18" customHeight="1">
      <c r="A16" s="64" t="s">
        <v>587</v>
      </c>
      <c r="B16" s="125"/>
      <c r="C16" s="74" t="s">
        <v>588</v>
      </c>
      <c r="D16" s="105" t="s">
        <v>156</v>
      </c>
      <c r="E16" s="86">
        <v>2</v>
      </c>
      <c r="F16" s="265"/>
      <c r="G16" s="265"/>
    </row>
    <row r="17" spans="1:7" ht="18" customHeight="1">
      <c r="A17" s="64" t="s">
        <v>589</v>
      </c>
      <c r="B17" s="125"/>
      <c r="C17" s="74" t="s">
        <v>590</v>
      </c>
      <c r="D17" s="105" t="s">
        <v>152</v>
      </c>
      <c r="E17" s="86">
        <v>1</v>
      </c>
      <c r="F17" s="265"/>
      <c r="G17" s="265"/>
    </row>
    <row r="18" spans="1:7" ht="18" customHeight="1">
      <c r="A18" s="64" t="s">
        <v>591</v>
      </c>
      <c r="B18" s="125"/>
      <c r="C18" s="74" t="s">
        <v>1922</v>
      </c>
      <c r="D18" s="105" t="s">
        <v>152</v>
      </c>
      <c r="E18" s="86">
        <v>1</v>
      </c>
      <c r="F18" s="265"/>
      <c r="G18" s="265"/>
    </row>
    <row r="19" spans="1:7" ht="18" customHeight="1">
      <c r="A19" s="64" t="s">
        <v>1921</v>
      </c>
      <c r="B19" s="125"/>
      <c r="C19" s="74" t="s">
        <v>1518</v>
      </c>
      <c r="D19" s="105" t="s">
        <v>592</v>
      </c>
      <c r="E19" s="124">
        <f>((4500*10*1.5)/(1000*36))*2</f>
        <v>3.75</v>
      </c>
      <c r="F19" s="265"/>
      <c r="G19" s="265"/>
    </row>
    <row r="20" spans="1:7" ht="18" customHeight="1">
      <c r="A20" s="72"/>
      <c r="B20" s="125"/>
      <c r="C20" s="68"/>
      <c r="D20" s="105"/>
      <c r="E20" s="86"/>
      <c r="F20" s="265"/>
      <c r="G20" s="265"/>
    </row>
    <row r="21" spans="1:7" ht="34.5" customHeight="1">
      <c r="A21" s="56" t="s">
        <v>593</v>
      </c>
      <c r="B21" s="125" t="s">
        <v>594</v>
      </c>
      <c r="C21" s="73" t="s">
        <v>595</v>
      </c>
      <c r="D21" s="105"/>
      <c r="E21" s="86"/>
      <c r="F21" s="265"/>
      <c r="G21" s="265"/>
    </row>
    <row r="22" spans="1:7" ht="248.4">
      <c r="A22" s="64" t="s">
        <v>596</v>
      </c>
      <c r="B22" s="125" t="s">
        <v>652</v>
      </c>
      <c r="C22" s="74" t="s">
        <v>1972</v>
      </c>
      <c r="D22" s="105" t="s">
        <v>569</v>
      </c>
      <c r="E22" s="86">
        <v>1</v>
      </c>
      <c r="F22" s="304"/>
      <c r="G22" s="202">
        <v>675000</v>
      </c>
    </row>
    <row r="23" spans="1:7" ht="82.8">
      <c r="A23" s="64" t="s">
        <v>597</v>
      </c>
      <c r="B23" s="71"/>
      <c r="C23" s="209" t="s">
        <v>1564</v>
      </c>
      <c r="D23" s="105" t="s">
        <v>569</v>
      </c>
      <c r="E23" s="124">
        <v>1</v>
      </c>
      <c r="F23" s="304"/>
      <c r="G23" s="237">
        <v>300000</v>
      </c>
    </row>
    <row r="24" spans="1:7" ht="18" customHeight="1">
      <c r="A24" s="616" t="s">
        <v>88</v>
      </c>
      <c r="B24" s="617"/>
      <c r="C24" s="618"/>
      <c r="D24" s="113"/>
      <c r="E24" s="114"/>
      <c r="F24" s="271"/>
      <c r="G24" s="176"/>
    </row>
    <row r="25" spans="1:7" ht="18" customHeight="1">
      <c r="A25" s="616" t="s">
        <v>89</v>
      </c>
      <c r="B25" s="617"/>
      <c r="C25" s="618"/>
      <c r="D25" s="284"/>
      <c r="E25" s="214"/>
      <c r="F25" s="308"/>
      <c r="G25" s="176"/>
    </row>
    <row r="26" spans="1:7" ht="18" customHeight="1">
      <c r="A26" s="285"/>
      <c r="B26" s="286"/>
      <c r="C26" s="286"/>
      <c r="D26" s="287"/>
      <c r="E26" s="226"/>
      <c r="F26" s="274"/>
      <c r="G26" s="309"/>
    </row>
    <row r="27" spans="1:7" ht="23.25" customHeight="1">
      <c r="A27" s="64" t="s">
        <v>598</v>
      </c>
      <c r="B27" s="71"/>
      <c r="C27" s="74" t="s">
        <v>1821</v>
      </c>
      <c r="D27" s="105" t="s">
        <v>569</v>
      </c>
      <c r="E27" s="124">
        <v>1</v>
      </c>
      <c r="F27" s="304"/>
      <c r="G27" s="237">
        <v>56000</v>
      </c>
    </row>
    <row r="28" spans="1:7" ht="36.75" customHeight="1">
      <c r="A28" s="64" t="s">
        <v>600</v>
      </c>
      <c r="B28" s="71"/>
      <c r="C28" s="153" t="s">
        <v>1813</v>
      </c>
      <c r="D28" s="154" t="s">
        <v>107</v>
      </c>
      <c r="E28" s="10"/>
      <c r="F28" s="288"/>
      <c r="G28" s="267"/>
    </row>
    <row r="29" spans="1:7" ht="18" customHeight="1">
      <c r="A29" s="64"/>
      <c r="B29" s="71"/>
      <c r="C29" s="68"/>
      <c r="D29" s="105"/>
      <c r="E29" s="124"/>
      <c r="F29" s="267"/>
      <c r="G29" s="265"/>
    </row>
    <row r="30" spans="1:7" ht="36" customHeight="1">
      <c r="A30" s="64" t="s">
        <v>601</v>
      </c>
      <c r="B30" s="206"/>
      <c r="C30" s="69" t="s">
        <v>1565</v>
      </c>
      <c r="D30" s="105"/>
      <c r="E30" s="124"/>
      <c r="F30" s="267"/>
      <c r="G30" s="265"/>
    </row>
    <row r="31" spans="1:7" s="75" customFormat="1" ht="37.5" customHeight="1">
      <c r="A31" s="64" t="s">
        <v>602</v>
      </c>
      <c r="B31" s="206"/>
      <c r="C31" s="74" t="s">
        <v>1923</v>
      </c>
      <c r="D31" s="105" t="s">
        <v>156</v>
      </c>
      <c r="E31" s="124">
        <v>6</v>
      </c>
      <c r="F31" s="304"/>
      <c r="G31" s="265"/>
    </row>
    <row r="32" spans="1:7" ht="18" customHeight="1">
      <c r="A32" s="64" t="s">
        <v>604</v>
      </c>
      <c r="B32" s="207"/>
      <c r="C32" s="78" t="s">
        <v>603</v>
      </c>
      <c r="D32" s="105" t="s">
        <v>156</v>
      </c>
      <c r="E32" s="86">
        <v>2</v>
      </c>
      <c r="F32" s="304"/>
      <c r="G32" s="265"/>
    </row>
    <row r="33" spans="1:7">
      <c r="A33" s="64" t="s">
        <v>605</v>
      </c>
      <c r="B33" s="208"/>
      <c r="C33" s="74" t="s">
        <v>1814</v>
      </c>
      <c r="D33" s="105" t="s">
        <v>152</v>
      </c>
      <c r="E33" s="86">
        <v>1</v>
      </c>
      <c r="F33" s="304"/>
      <c r="G33" s="304"/>
    </row>
    <row r="34" spans="1:7" ht="18" customHeight="1">
      <c r="A34" s="64" t="s">
        <v>607</v>
      </c>
      <c r="B34" s="57"/>
      <c r="C34" s="209" t="s">
        <v>1818</v>
      </c>
      <c r="D34" s="105" t="s">
        <v>156</v>
      </c>
      <c r="E34" s="86">
        <f>E31*2+6</f>
        <v>18</v>
      </c>
      <c r="F34" s="304"/>
      <c r="G34" s="265"/>
    </row>
    <row r="35" spans="1:7" ht="18" customHeight="1">
      <c r="A35" s="64" t="s">
        <v>608</v>
      </c>
      <c r="B35" s="76"/>
      <c r="C35" s="247" t="s">
        <v>1815</v>
      </c>
      <c r="D35" s="105" t="s">
        <v>156</v>
      </c>
      <c r="E35" s="86">
        <v>2</v>
      </c>
      <c r="F35" s="304"/>
      <c r="G35" s="265"/>
    </row>
    <row r="36" spans="1:7" ht="18" customHeight="1">
      <c r="A36" s="64" t="s">
        <v>610</v>
      </c>
      <c r="B36" s="76"/>
      <c r="C36" s="247" t="s">
        <v>1816</v>
      </c>
      <c r="D36" s="105" t="s">
        <v>156</v>
      </c>
      <c r="E36" s="86">
        <f>E31</f>
        <v>6</v>
      </c>
      <c r="F36" s="305"/>
      <c r="G36" s="265"/>
    </row>
    <row r="37" spans="1:7" ht="27.6">
      <c r="A37" s="64" t="s">
        <v>611</v>
      </c>
      <c r="B37" s="76"/>
      <c r="C37" s="289" t="s">
        <v>1820</v>
      </c>
      <c r="D37" s="105" t="s">
        <v>152</v>
      </c>
      <c r="E37" s="86">
        <v>1</v>
      </c>
      <c r="F37" s="304"/>
      <c r="G37" s="265"/>
    </row>
    <row r="38" spans="1:7" ht="18" customHeight="1">
      <c r="A38" s="64" t="s">
        <v>612</v>
      </c>
      <c r="B38" s="76"/>
      <c r="C38" s="209" t="s">
        <v>1817</v>
      </c>
      <c r="D38" s="105" t="s">
        <v>156</v>
      </c>
      <c r="E38" s="86">
        <f>3*2</f>
        <v>6</v>
      </c>
      <c r="F38" s="304"/>
      <c r="G38" s="265"/>
    </row>
    <row r="39" spans="1:7" ht="11.25" customHeight="1">
      <c r="A39" s="80"/>
      <c r="B39" s="77"/>
      <c r="C39" s="78"/>
      <c r="D39" s="82"/>
      <c r="E39" s="86"/>
      <c r="F39" s="304"/>
      <c r="G39" s="265"/>
    </row>
    <row r="40" spans="1:7" ht="18" customHeight="1">
      <c r="A40" s="64" t="s">
        <v>613</v>
      </c>
      <c r="B40" s="77"/>
      <c r="C40" s="69" t="s">
        <v>1567</v>
      </c>
      <c r="D40" s="105"/>
      <c r="E40" s="86"/>
      <c r="F40" s="304"/>
      <c r="G40" s="265"/>
    </row>
    <row r="41" spans="1:7" ht="15.75" customHeight="1">
      <c r="A41" s="64" t="s">
        <v>614</v>
      </c>
      <c r="B41" s="77"/>
      <c r="C41" s="85" t="s">
        <v>1568</v>
      </c>
      <c r="D41" s="105" t="s">
        <v>156</v>
      </c>
      <c r="E41" s="86">
        <v>1</v>
      </c>
      <c r="F41" s="304"/>
      <c r="G41" s="265"/>
    </row>
    <row r="42" spans="1:7" ht="13.5" customHeight="1">
      <c r="A42" s="64" t="s">
        <v>616</v>
      </c>
      <c r="B42" s="77"/>
      <c r="C42" s="85" t="s">
        <v>615</v>
      </c>
      <c r="D42" s="105" t="s">
        <v>156</v>
      </c>
      <c r="E42" s="86">
        <f>E41</f>
        <v>1</v>
      </c>
      <c r="F42" s="304"/>
      <c r="G42" s="265"/>
    </row>
    <row r="43" spans="1:7" ht="16.5" customHeight="1">
      <c r="A43" s="64" t="s">
        <v>618</v>
      </c>
      <c r="B43" s="77"/>
      <c r="C43" s="85" t="s">
        <v>617</v>
      </c>
      <c r="D43" s="105" t="s">
        <v>156</v>
      </c>
      <c r="E43" s="86">
        <f>E41</f>
        <v>1</v>
      </c>
      <c r="F43" s="304"/>
      <c r="G43" s="265"/>
    </row>
    <row r="44" spans="1:7" ht="35.25" customHeight="1">
      <c r="A44" s="64" t="s">
        <v>619</v>
      </c>
      <c r="B44" s="77"/>
      <c r="C44" s="209" t="s">
        <v>1532</v>
      </c>
      <c r="D44" s="105" t="s">
        <v>152</v>
      </c>
      <c r="E44" s="86">
        <v>1</v>
      </c>
      <c r="F44" s="304"/>
      <c r="G44" s="265"/>
    </row>
    <row r="45" spans="1:7" ht="13.5" customHeight="1">
      <c r="A45" s="80"/>
      <c r="B45" s="77"/>
      <c r="C45" s="78"/>
      <c r="D45" s="82"/>
      <c r="E45" s="86"/>
      <c r="F45" s="304"/>
      <c r="G45" s="277"/>
    </row>
    <row r="46" spans="1:7" ht="33" customHeight="1">
      <c r="A46" s="64" t="s">
        <v>620</v>
      </c>
      <c r="B46" s="77"/>
      <c r="C46" s="69" t="s">
        <v>1611</v>
      </c>
      <c r="D46" s="105"/>
      <c r="E46" s="124"/>
      <c r="F46" s="304"/>
      <c r="G46" s="277"/>
    </row>
    <row r="47" spans="1:7" ht="28.2">
      <c r="A47" s="64" t="s">
        <v>621</v>
      </c>
      <c r="B47" s="77"/>
      <c r="C47" s="78" t="s">
        <v>1886</v>
      </c>
      <c r="D47" s="86" t="s">
        <v>156</v>
      </c>
      <c r="E47" s="290">
        <v>2</v>
      </c>
      <c r="F47" s="179"/>
      <c r="G47" s="179"/>
    </row>
    <row r="48" spans="1:7" ht="33.75" customHeight="1">
      <c r="A48" s="64" t="s">
        <v>622</v>
      </c>
      <c r="B48" s="77"/>
      <c r="C48" s="78" t="s">
        <v>1895</v>
      </c>
      <c r="D48" s="86" t="s">
        <v>156</v>
      </c>
      <c r="E48" s="290">
        <v>1</v>
      </c>
      <c r="F48" s="179"/>
      <c r="G48" s="179"/>
    </row>
    <row r="49" spans="1:7" ht="18" customHeight="1">
      <c r="A49" s="64" t="s">
        <v>623</v>
      </c>
      <c r="B49" s="77"/>
      <c r="C49" s="78" t="s">
        <v>1662</v>
      </c>
      <c r="D49" s="86" t="s">
        <v>156</v>
      </c>
      <c r="E49" s="83">
        <f>2*SUM(E47:E48)</f>
        <v>6</v>
      </c>
      <c r="F49" s="179"/>
      <c r="G49" s="179"/>
    </row>
    <row r="50" spans="1:7" ht="18" customHeight="1">
      <c r="A50" s="64" t="s">
        <v>625</v>
      </c>
      <c r="B50" s="77"/>
      <c r="C50" s="78" t="s">
        <v>1661</v>
      </c>
      <c r="D50" s="86" t="s">
        <v>156</v>
      </c>
      <c r="E50" s="83">
        <f>SUM(E47:E48)</f>
        <v>3</v>
      </c>
      <c r="F50" s="179"/>
      <c r="G50" s="179"/>
    </row>
    <row r="51" spans="1:7" ht="18" customHeight="1">
      <c r="A51" s="64" t="s">
        <v>627</v>
      </c>
      <c r="B51" s="77"/>
      <c r="C51" s="78" t="s">
        <v>626</v>
      </c>
      <c r="D51" s="124" t="s">
        <v>156</v>
      </c>
      <c r="E51" s="219">
        <f>SUM(E47:E48)+1</f>
        <v>4</v>
      </c>
      <c r="F51" s="306"/>
      <c r="G51" s="179"/>
    </row>
    <row r="52" spans="1:7" ht="33" customHeight="1">
      <c r="A52" s="64" t="s">
        <v>629</v>
      </c>
      <c r="B52" s="159"/>
      <c r="C52" s="78" t="s">
        <v>1659</v>
      </c>
      <c r="D52" s="124" t="s">
        <v>152</v>
      </c>
      <c r="E52" s="292">
        <v>1</v>
      </c>
      <c r="F52" s="306"/>
      <c r="G52" s="307"/>
    </row>
    <row r="53" spans="1:7" ht="32.25" customHeight="1">
      <c r="A53" s="64" t="s">
        <v>631</v>
      </c>
      <c r="B53" s="159"/>
      <c r="C53" s="78" t="s">
        <v>1658</v>
      </c>
      <c r="D53" s="124" t="s">
        <v>156</v>
      </c>
      <c r="E53" s="292">
        <f>2*E47+2*E48</f>
        <v>6</v>
      </c>
      <c r="F53" s="306"/>
      <c r="G53" s="179"/>
    </row>
    <row r="54" spans="1:7">
      <c r="A54" s="64"/>
      <c r="B54" s="159"/>
      <c r="C54" s="78"/>
      <c r="D54" s="124"/>
      <c r="E54" s="292"/>
      <c r="F54" s="306"/>
      <c r="G54" s="179"/>
    </row>
    <row r="55" spans="1:7" ht="34.5" customHeight="1">
      <c r="A55" s="64" t="s">
        <v>632</v>
      </c>
      <c r="B55" s="293"/>
      <c r="C55" s="69" t="s">
        <v>628</v>
      </c>
      <c r="D55" s="105"/>
      <c r="E55" s="124"/>
      <c r="F55" s="304"/>
      <c r="G55" s="277"/>
    </row>
    <row r="56" spans="1:7" ht="33.75" customHeight="1">
      <c r="A56" s="64" t="s">
        <v>633</v>
      </c>
      <c r="B56" s="159"/>
      <c r="C56" s="78" t="s">
        <v>1890</v>
      </c>
      <c r="D56" s="86" t="s">
        <v>156</v>
      </c>
      <c r="E56" s="83">
        <v>4</v>
      </c>
      <c r="F56" s="179"/>
      <c r="G56" s="179"/>
    </row>
    <row r="57" spans="1:7" ht="18" customHeight="1">
      <c r="A57" s="64" t="s">
        <v>635</v>
      </c>
      <c r="B57" s="159"/>
      <c r="C57" s="78" t="s">
        <v>1527</v>
      </c>
      <c r="D57" s="86" t="s">
        <v>156</v>
      </c>
      <c r="E57" s="83">
        <f>E56+2</f>
        <v>6</v>
      </c>
      <c r="F57" s="179"/>
      <c r="G57" s="179"/>
    </row>
    <row r="58" spans="1:7" ht="18" customHeight="1">
      <c r="A58" s="64" t="s">
        <v>636</v>
      </c>
      <c r="B58" s="159"/>
      <c r="C58" s="78" t="s">
        <v>1528</v>
      </c>
      <c r="D58" s="86" t="s">
        <v>156</v>
      </c>
      <c r="E58" s="83">
        <v>3</v>
      </c>
      <c r="F58" s="179"/>
      <c r="G58" s="179"/>
    </row>
    <row r="59" spans="1:7" ht="18" customHeight="1">
      <c r="A59" s="64" t="s">
        <v>638</v>
      </c>
      <c r="B59" s="159"/>
      <c r="C59" s="78" t="s">
        <v>1690</v>
      </c>
      <c r="D59" s="86" t="s">
        <v>156</v>
      </c>
      <c r="E59" s="83">
        <v>3</v>
      </c>
      <c r="F59" s="179"/>
      <c r="G59" s="179"/>
    </row>
    <row r="60" spans="1:7" ht="18" customHeight="1">
      <c r="A60" s="64" t="s">
        <v>640</v>
      </c>
      <c r="B60" s="159"/>
      <c r="C60" s="78" t="s">
        <v>1529</v>
      </c>
      <c r="D60" s="86" t="s">
        <v>156</v>
      </c>
      <c r="E60" s="83">
        <v>7</v>
      </c>
      <c r="F60" s="306"/>
      <c r="G60" s="179"/>
    </row>
    <row r="61" spans="1:7" ht="18" customHeight="1">
      <c r="A61" s="64" t="s">
        <v>642</v>
      </c>
      <c r="B61" s="159"/>
      <c r="C61" s="78" t="s">
        <v>637</v>
      </c>
      <c r="D61" s="86" t="s">
        <v>156</v>
      </c>
      <c r="E61" s="219">
        <v>2</v>
      </c>
      <c r="F61" s="306"/>
      <c r="G61" s="179"/>
    </row>
    <row r="62" spans="1:7" ht="18" customHeight="1">
      <c r="A62" s="616" t="s">
        <v>88</v>
      </c>
      <c r="B62" s="617"/>
      <c r="C62" s="618"/>
      <c r="D62" s="294"/>
      <c r="E62" s="245"/>
      <c r="F62" s="176"/>
      <c r="G62" s="176"/>
    </row>
    <row r="63" spans="1:7" ht="18" customHeight="1">
      <c r="A63" s="616" t="s">
        <v>89</v>
      </c>
      <c r="B63" s="617"/>
      <c r="C63" s="618"/>
      <c r="D63" s="284"/>
      <c r="E63" s="214"/>
      <c r="F63" s="308"/>
      <c r="G63" s="176"/>
    </row>
    <row r="64" spans="1:7" ht="18" customHeight="1">
      <c r="A64" s="295"/>
      <c r="B64" s="286"/>
      <c r="C64" s="286"/>
      <c r="D64" s="287"/>
      <c r="E64" s="226"/>
      <c r="F64" s="274"/>
      <c r="G64" s="309"/>
    </row>
    <row r="65" spans="1:7" ht="18" customHeight="1">
      <c r="A65" s="64" t="s">
        <v>643</v>
      </c>
      <c r="B65" s="159"/>
      <c r="C65" s="78" t="s">
        <v>639</v>
      </c>
      <c r="D65" s="86" t="s">
        <v>156</v>
      </c>
      <c r="E65" s="219">
        <v>2</v>
      </c>
      <c r="F65" s="306"/>
      <c r="G65" s="179"/>
    </row>
    <row r="66" spans="1:7" ht="17.25" customHeight="1">
      <c r="A66" s="64" t="s">
        <v>644</v>
      </c>
      <c r="B66" s="159"/>
      <c r="C66" s="296" t="s">
        <v>1819</v>
      </c>
      <c r="D66" s="86" t="s">
        <v>156</v>
      </c>
      <c r="E66" s="292">
        <v>7</v>
      </c>
      <c r="F66" s="306"/>
      <c r="G66" s="179"/>
    </row>
    <row r="67" spans="1:7" ht="18" customHeight="1">
      <c r="A67" s="64" t="s">
        <v>645</v>
      </c>
      <c r="B67" s="159"/>
      <c r="C67" s="78" t="s">
        <v>626</v>
      </c>
      <c r="D67" s="124" t="s">
        <v>156</v>
      </c>
      <c r="E67" s="219">
        <v>1</v>
      </c>
      <c r="F67" s="310"/>
      <c r="G67" s="277"/>
    </row>
    <row r="68" spans="1:7" ht="36.75" customHeight="1">
      <c r="A68" s="64" t="s">
        <v>647</v>
      </c>
      <c r="B68" s="159"/>
      <c r="C68" s="74" t="s">
        <v>695</v>
      </c>
      <c r="D68" s="124" t="s">
        <v>152</v>
      </c>
      <c r="E68" s="219">
        <v>1</v>
      </c>
      <c r="F68" s="310"/>
      <c r="G68" s="277"/>
    </row>
    <row r="69" spans="1:7" ht="18" customHeight="1">
      <c r="A69" s="64" t="s">
        <v>648</v>
      </c>
      <c r="B69" s="293"/>
      <c r="C69" s="78" t="s">
        <v>1526</v>
      </c>
      <c r="D69" s="124" t="s">
        <v>156</v>
      </c>
      <c r="E69" s="292">
        <f>2*E56</f>
        <v>8</v>
      </c>
      <c r="F69" s="310"/>
      <c r="G69" s="277"/>
    </row>
    <row r="70" spans="1:7" ht="18" customHeight="1">
      <c r="A70" s="84"/>
      <c r="B70" s="77"/>
      <c r="C70" s="78"/>
      <c r="D70" s="124"/>
      <c r="E70" s="292"/>
      <c r="F70" s="310"/>
      <c r="G70" s="277"/>
    </row>
    <row r="71" spans="1:7" s="75" customFormat="1" ht="36" customHeight="1">
      <c r="A71" s="64" t="s">
        <v>649</v>
      </c>
      <c r="B71" s="77"/>
      <c r="C71" s="69" t="s">
        <v>646</v>
      </c>
      <c r="D71" s="105"/>
      <c r="E71" s="86"/>
      <c r="F71" s="304"/>
      <c r="G71" s="277"/>
    </row>
    <row r="72" spans="1:7" s="75" customFormat="1" ht="18" customHeight="1">
      <c r="A72" s="64" t="s">
        <v>696</v>
      </c>
      <c r="B72" s="77"/>
      <c r="C72" s="85" t="s">
        <v>1891</v>
      </c>
      <c r="D72" s="105" t="s">
        <v>156</v>
      </c>
      <c r="E72" s="86">
        <v>2</v>
      </c>
      <c r="F72" s="304"/>
      <c r="G72" s="307"/>
    </row>
    <row r="73" spans="1:7" s="75" customFormat="1" ht="18" customHeight="1">
      <c r="A73" s="64" t="s">
        <v>697</v>
      </c>
      <c r="B73" s="77"/>
      <c r="C73" s="217" t="s">
        <v>1530</v>
      </c>
      <c r="D73" s="124" t="s">
        <v>156</v>
      </c>
      <c r="E73" s="297">
        <v>4</v>
      </c>
      <c r="F73" s="306"/>
      <c r="G73" s="307"/>
    </row>
    <row r="74" spans="1:7" s="75" customFormat="1" ht="18" customHeight="1">
      <c r="A74" s="64" t="s">
        <v>698</v>
      </c>
      <c r="B74" s="77"/>
      <c r="C74" s="85" t="s">
        <v>650</v>
      </c>
      <c r="D74" s="124" t="s">
        <v>152</v>
      </c>
      <c r="E74" s="298">
        <v>1</v>
      </c>
      <c r="F74" s="306"/>
      <c r="G74" s="307"/>
    </row>
    <row r="75" spans="1:7" s="75" customFormat="1" ht="18" customHeight="1">
      <c r="A75" s="64" t="s">
        <v>1585</v>
      </c>
      <c r="B75" s="77"/>
      <c r="C75" s="85" t="s">
        <v>1584</v>
      </c>
      <c r="D75" s="124" t="s">
        <v>156</v>
      </c>
      <c r="E75" s="297">
        <v>3</v>
      </c>
      <c r="F75" s="306"/>
      <c r="G75" s="307"/>
    </row>
    <row r="76" spans="1:7" s="75" customFormat="1" ht="27.6">
      <c r="A76" s="64" t="s">
        <v>1586</v>
      </c>
      <c r="B76" s="77"/>
      <c r="C76" s="209" t="s">
        <v>1660</v>
      </c>
      <c r="D76" s="124" t="s">
        <v>152</v>
      </c>
      <c r="E76" s="297">
        <v>1</v>
      </c>
      <c r="F76" s="306"/>
      <c r="G76" s="307"/>
    </row>
    <row r="77" spans="1:7" s="75" customFormat="1" ht="37.5" customHeight="1">
      <c r="A77" s="64" t="s">
        <v>1587</v>
      </c>
      <c r="B77" s="77"/>
      <c r="C77" s="78" t="s">
        <v>1526</v>
      </c>
      <c r="D77" s="124" t="s">
        <v>156</v>
      </c>
      <c r="E77" s="292">
        <f>2*E72</f>
        <v>4</v>
      </c>
      <c r="F77" s="306"/>
      <c r="G77" s="307"/>
    </row>
    <row r="78" spans="1:7" s="75" customFormat="1" ht="18" customHeight="1">
      <c r="A78" s="84"/>
      <c r="B78" s="77"/>
      <c r="C78" s="85"/>
      <c r="D78" s="124"/>
      <c r="E78" s="292"/>
      <c r="F78" s="310"/>
      <c r="G78" s="277"/>
    </row>
    <row r="79" spans="1:7" s="75" customFormat="1">
      <c r="A79" s="299" t="s">
        <v>651</v>
      </c>
      <c r="B79" s="125" t="s">
        <v>652</v>
      </c>
      <c r="C79" s="73" t="s">
        <v>653</v>
      </c>
      <c r="D79" s="105"/>
      <c r="E79" s="86"/>
      <c r="F79" s="179"/>
      <c r="G79" s="179"/>
    </row>
    <row r="80" spans="1:7" s="164" customFormat="1" ht="253.5" customHeight="1">
      <c r="A80" s="84" t="s">
        <v>654</v>
      </c>
      <c r="B80" s="77"/>
      <c r="C80" s="79" t="s">
        <v>1683</v>
      </c>
      <c r="D80" s="105" t="s">
        <v>152</v>
      </c>
      <c r="E80" s="86">
        <v>1</v>
      </c>
      <c r="F80" s="179"/>
      <c r="G80" s="277"/>
    </row>
    <row r="81" spans="1:7" s="164" customFormat="1" ht="122.25" customHeight="1">
      <c r="A81" s="84" t="s">
        <v>655</v>
      </c>
      <c r="B81" s="77"/>
      <c r="C81" s="209" t="s">
        <v>1564</v>
      </c>
      <c r="D81" s="105" t="s">
        <v>152</v>
      </c>
      <c r="E81" s="86">
        <v>1</v>
      </c>
      <c r="F81" s="179"/>
      <c r="G81" s="277"/>
    </row>
    <row r="82" spans="1:7" s="164" customFormat="1" ht="21" customHeight="1">
      <c r="A82" s="84" t="s">
        <v>656</v>
      </c>
      <c r="B82" s="77"/>
      <c r="C82" s="74" t="s">
        <v>599</v>
      </c>
      <c r="D82" s="105" t="s">
        <v>152</v>
      </c>
      <c r="E82" s="86">
        <v>1</v>
      </c>
      <c r="F82" s="311"/>
      <c r="G82" s="277"/>
    </row>
    <row r="83" spans="1:7" s="164" customFormat="1" ht="18" customHeight="1">
      <c r="A83" s="84"/>
      <c r="B83" s="77"/>
      <c r="C83" s="74"/>
      <c r="D83" s="105"/>
      <c r="E83" s="86"/>
      <c r="F83" s="311"/>
      <c r="G83" s="277"/>
    </row>
    <row r="84" spans="1:7" s="164" customFormat="1" ht="18" customHeight="1">
      <c r="A84" s="84"/>
      <c r="B84" s="77"/>
      <c r="C84" s="74"/>
      <c r="D84" s="105"/>
      <c r="E84" s="86"/>
      <c r="F84" s="311"/>
      <c r="G84" s="277"/>
    </row>
    <row r="85" spans="1:7" s="164" customFormat="1" ht="18" customHeight="1">
      <c r="A85" s="84"/>
      <c r="B85" s="77"/>
      <c r="C85" s="74"/>
      <c r="D85" s="105"/>
      <c r="E85" s="86"/>
      <c r="F85" s="311"/>
      <c r="G85" s="277"/>
    </row>
    <row r="86" spans="1:7" ht="18" customHeight="1">
      <c r="A86" s="616" t="s">
        <v>88</v>
      </c>
      <c r="B86" s="617"/>
      <c r="C86" s="618"/>
      <c r="D86" s="294"/>
      <c r="E86" s="245"/>
      <c r="F86" s="176"/>
      <c r="G86" s="176"/>
    </row>
    <row r="87" spans="1:7" ht="18" customHeight="1">
      <c r="A87" s="616" t="s">
        <v>89</v>
      </c>
      <c r="B87" s="617"/>
      <c r="C87" s="618"/>
      <c r="D87" s="284"/>
      <c r="E87" s="214"/>
      <c r="F87" s="308"/>
      <c r="G87" s="176"/>
    </row>
    <row r="88" spans="1:7" ht="18" customHeight="1">
      <c r="A88" s="295"/>
      <c r="B88" s="286"/>
      <c r="C88" s="286"/>
      <c r="D88" s="287"/>
      <c r="E88" s="226"/>
      <c r="F88" s="274"/>
      <c r="G88" s="274"/>
    </row>
    <row r="89" spans="1:7" s="75" customFormat="1" ht="39.75" customHeight="1">
      <c r="A89" s="64" t="s">
        <v>657</v>
      </c>
      <c r="B89" s="211"/>
      <c r="C89" s="69" t="s">
        <v>1565</v>
      </c>
      <c r="D89" s="105"/>
      <c r="E89" s="86"/>
      <c r="F89" s="179"/>
      <c r="G89" s="277"/>
    </row>
    <row r="90" spans="1:7" s="75" customFormat="1" ht="39.75" customHeight="1">
      <c r="A90" s="64" t="s">
        <v>658</v>
      </c>
      <c r="B90" s="211"/>
      <c r="C90" s="74" t="s">
        <v>1569</v>
      </c>
      <c r="D90" s="105" t="s">
        <v>156</v>
      </c>
      <c r="E90" s="86">
        <v>6</v>
      </c>
      <c r="F90" s="179"/>
      <c r="G90" s="277"/>
    </row>
    <row r="91" spans="1:7" s="75" customFormat="1" ht="18" customHeight="1">
      <c r="A91" s="64" t="s">
        <v>659</v>
      </c>
      <c r="B91" s="211"/>
      <c r="C91" s="78" t="s">
        <v>603</v>
      </c>
      <c r="D91" s="105" t="s">
        <v>156</v>
      </c>
      <c r="E91" s="86">
        <v>2</v>
      </c>
      <c r="F91" s="179"/>
      <c r="G91" s="277"/>
    </row>
    <row r="92" spans="1:7" s="75" customFormat="1" ht="18" customHeight="1">
      <c r="A92" s="64" t="s">
        <v>660</v>
      </c>
      <c r="B92" s="57"/>
      <c r="C92" s="74" t="s">
        <v>599</v>
      </c>
      <c r="D92" s="105" t="s">
        <v>152</v>
      </c>
      <c r="E92" s="86">
        <v>1</v>
      </c>
      <c r="F92" s="311"/>
      <c r="G92" s="277"/>
    </row>
    <row r="93" spans="1:7" s="75" customFormat="1" ht="18" customHeight="1">
      <c r="A93" s="64" t="s">
        <v>661</v>
      </c>
      <c r="B93" s="57"/>
      <c r="C93" s="209" t="s">
        <v>606</v>
      </c>
      <c r="D93" s="105" t="s">
        <v>156</v>
      </c>
      <c r="E93" s="86">
        <v>18</v>
      </c>
      <c r="F93" s="311"/>
      <c r="G93" s="277"/>
    </row>
    <row r="94" spans="1:7" s="75" customFormat="1" ht="18" customHeight="1">
      <c r="A94" s="64" t="s">
        <v>662</v>
      </c>
      <c r="B94" s="57"/>
      <c r="C94" s="247" t="s">
        <v>1566</v>
      </c>
      <c r="D94" s="105" t="s">
        <v>156</v>
      </c>
      <c r="E94" s="86">
        <v>2</v>
      </c>
      <c r="F94" s="311"/>
      <c r="G94" s="277"/>
    </row>
    <row r="95" spans="1:7" s="75" customFormat="1" ht="18" customHeight="1">
      <c r="A95" s="64" t="s">
        <v>663</v>
      </c>
      <c r="B95" s="211"/>
      <c r="C95" s="247" t="s">
        <v>609</v>
      </c>
      <c r="D95" s="105" t="s">
        <v>156</v>
      </c>
      <c r="E95" s="86">
        <v>6</v>
      </c>
      <c r="F95" s="311"/>
      <c r="G95" s="277"/>
    </row>
    <row r="96" spans="1:7" ht="18" customHeight="1">
      <c r="A96" s="64" t="s">
        <v>664</v>
      </c>
      <c r="B96" s="57"/>
      <c r="C96" s="209" t="s">
        <v>665</v>
      </c>
      <c r="D96" s="105" t="s">
        <v>156</v>
      </c>
      <c r="E96" s="86">
        <v>4</v>
      </c>
      <c r="F96" s="311"/>
      <c r="G96" s="277"/>
    </row>
    <row r="97" spans="1:7" ht="18" customHeight="1">
      <c r="A97" s="64" t="s">
        <v>666</v>
      </c>
      <c r="B97" s="57"/>
      <c r="C97" s="69" t="s">
        <v>1567</v>
      </c>
      <c r="D97" s="105"/>
      <c r="E97" s="86"/>
      <c r="F97" s="179"/>
      <c r="G97" s="277"/>
    </row>
    <row r="98" spans="1:7" ht="18" customHeight="1">
      <c r="A98" s="64" t="s">
        <v>667</v>
      </c>
      <c r="B98" s="57"/>
      <c r="C98" s="85" t="s">
        <v>1568</v>
      </c>
      <c r="D98" s="105" t="s">
        <v>156</v>
      </c>
      <c r="E98" s="86">
        <v>1</v>
      </c>
      <c r="F98" s="311"/>
      <c r="G98" s="277"/>
    </row>
    <row r="99" spans="1:7" ht="18" customHeight="1">
      <c r="A99" s="64" t="s">
        <v>668</v>
      </c>
      <c r="B99" s="77"/>
      <c r="C99" s="85" t="s">
        <v>615</v>
      </c>
      <c r="D99" s="105" t="s">
        <v>156</v>
      </c>
      <c r="E99" s="86">
        <v>1</v>
      </c>
      <c r="F99" s="311"/>
      <c r="G99" s="277"/>
    </row>
    <row r="100" spans="1:7" ht="18" customHeight="1">
      <c r="A100" s="64" t="s">
        <v>669</v>
      </c>
      <c r="B100" s="77"/>
      <c r="C100" s="85" t="s">
        <v>617</v>
      </c>
      <c r="D100" s="105" t="s">
        <v>156</v>
      </c>
      <c r="E100" s="86">
        <v>1</v>
      </c>
      <c r="F100" s="311"/>
      <c r="G100" s="277"/>
    </row>
    <row r="101" spans="1:7" ht="34.5" customHeight="1">
      <c r="A101" s="64" t="s">
        <v>670</v>
      </c>
      <c r="B101" s="211"/>
      <c r="C101" s="209" t="s">
        <v>1532</v>
      </c>
      <c r="D101" s="105" t="s">
        <v>152</v>
      </c>
      <c r="E101" s="86">
        <v>1</v>
      </c>
      <c r="F101" s="311"/>
      <c r="G101" s="277"/>
    </row>
    <row r="102" spans="1:7" ht="18" customHeight="1">
      <c r="A102" s="84"/>
      <c r="B102" s="77"/>
      <c r="C102" s="85"/>
      <c r="D102" s="105"/>
      <c r="E102" s="86"/>
      <c r="F102" s="179"/>
      <c r="G102" s="277"/>
    </row>
    <row r="103" spans="1:7" ht="32.25" customHeight="1">
      <c r="A103" s="64" t="s">
        <v>671</v>
      </c>
      <c r="B103" s="77"/>
      <c r="C103" s="69" t="s">
        <v>1611</v>
      </c>
      <c r="D103" s="105"/>
      <c r="E103" s="124"/>
      <c r="F103" s="179"/>
      <c r="G103" s="277"/>
    </row>
    <row r="104" spans="1:7" ht="28.2">
      <c r="A104" s="64" t="s">
        <v>672</v>
      </c>
      <c r="B104" s="77"/>
      <c r="C104" s="78" t="s">
        <v>1886</v>
      </c>
      <c r="D104" s="86" t="s">
        <v>156</v>
      </c>
      <c r="E104" s="290">
        <v>2</v>
      </c>
      <c r="F104" s="179"/>
      <c r="G104" s="307"/>
    </row>
    <row r="105" spans="1:7" ht="35.25" customHeight="1">
      <c r="A105" s="64" t="s">
        <v>673</v>
      </c>
      <c r="B105" s="77"/>
      <c r="C105" s="78" t="s">
        <v>1896</v>
      </c>
      <c r="D105" s="86" t="s">
        <v>156</v>
      </c>
      <c r="E105" s="290">
        <v>1</v>
      </c>
      <c r="F105" s="179"/>
      <c r="G105" s="307"/>
    </row>
    <row r="106" spans="1:7" ht="18" customHeight="1">
      <c r="A106" s="64" t="s">
        <v>674</v>
      </c>
      <c r="B106" s="77"/>
      <c r="C106" s="78" t="s">
        <v>1527</v>
      </c>
      <c r="D106" s="86" t="s">
        <v>156</v>
      </c>
      <c r="E106" s="83">
        <f>2*SUM(E104:E105)</f>
        <v>6</v>
      </c>
      <c r="F106" s="312"/>
      <c r="G106" s="307"/>
    </row>
    <row r="107" spans="1:7" ht="18" customHeight="1">
      <c r="A107" s="64" t="s">
        <v>675</v>
      </c>
      <c r="B107" s="77"/>
      <c r="C107" s="78" t="s">
        <v>624</v>
      </c>
      <c r="D107" s="86" t="s">
        <v>156</v>
      </c>
      <c r="E107" s="83">
        <f>SUM(E104:E105)</f>
        <v>3</v>
      </c>
      <c r="F107" s="312"/>
      <c r="G107" s="307"/>
    </row>
    <row r="108" spans="1:7" ht="18" customHeight="1">
      <c r="A108" s="64" t="s">
        <v>676</v>
      </c>
      <c r="B108" s="77"/>
      <c r="C108" s="78" t="s">
        <v>626</v>
      </c>
      <c r="D108" s="124" t="s">
        <v>156</v>
      </c>
      <c r="E108" s="219">
        <f>SUM(E104:E105)+1</f>
        <v>4</v>
      </c>
      <c r="F108" s="312"/>
      <c r="G108" s="307"/>
    </row>
    <row r="109" spans="1:7" ht="36.75" customHeight="1">
      <c r="A109" s="64" t="s">
        <v>677</v>
      </c>
      <c r="B109" s="77"/>
      <c r="C109" s="78" t="s">
        <v>1659</v>
      </c>
      <c r="D109" s="124" t="s">
        <v>152</v>
      </c>
      <c r="E109" s="292">
        <v>1</v>
      </c>
      <c r="F109" s="312"/>
      <c r="G109" s="307"/>
    </row>
    <row r="110" spans="1:7" ht="36.75" customHeight="1">
      <c r="A110" s="64" t="s">
        <v>678</v>
      </c>
      <c r="B110" s="77"/>
      <c r="C110" s="78" t="s">
        <v>1658</v>
      </c>
      <c r="D110" s="124" t="s">
        <v>156</v>
      </c>
      <c r="E110" s="292">
        <f>2*E104+2*E105</f>
        <v>6</v>
      </c>
      <c r="F110" s="312"/>
      <c r="G110" s="307"/>
    </row>
    <row r="111" spans="1:7" ht="18" customHeight="1">
      <c r="A111" s="64"/>
      <c r="B111" s="77"/>
      <c r="C111" s="78"/>
      <c r="D111" s="124"/>
      <c r="E111" s="292"/>
      <c r="F111" s="179"/>
      <c r="G111" s="277"/>
    </row>
    <row r="112" spans="1:7" ht="39.75" customHeight="1">
      <c r="A112" s="64" t="s">
        <v>679</v>
      </c>
      <c r="B112" s="77"/>
      <c r="C112" s="69" t="s">
        <v>1610</v>
      </c>
      <c r="D112" s="105"/>
      <c r="E112" s="124"/>
      <c r="F112" s="179"/>
      <c r="G112" s="277"/>
    </row>
    <row r="113" spans="1:7" ht="36.75" customHeight="1">
      <c r="A113" s="64" t="s">
        <v>680</v>
      </c>
      <c r="B113" s="77"/>
      <c r="C113" s="78" t="s">
        <v>630</v>
      </c>
      <c r="D113" s="86" t="s">
        <v>156</v>
      </c>
      <c r="E113" s="83">
        <v>4</v>
      </c>
      <c r="F113" s="179"/>
      <c r="G113" s="277"/>
    </row>
    <row r="114" spans="1:7" ht="18" customHeight="1">
      <c r="A114" s="64" t="s">
        <v>681</v>
      </c>
      <c r="B114" s="77"/>
      <c r="C114" s="78" t="s">
        <v>1527</v>
      </c>
      <c r="D114" s="86" t="s">
        <v>156</v>
      </c>
      <c r="E114" s="83">
        <f>E113+2</f>
        <v>6</v>
      </c>
      <c r="F114" s="311"/>
      <c r="G114" s="277"/>
    </row>
    <row r="115" spans="1:7" ht="18" customHeight="1">
      <c r="A115" s="64" t="s">
        <v>682</v>
      </c>
      <c r="B115" s="77"/>
      <c r="C115" s="78" t="s">
        <v>1528</v>
      </c>
      <c r="D115" s="86" t="s">
        <v>156</v>
      </c>
      <c r="E115" s="83">
        <v>3</v>
      </c>
      <c r="F115" s="311"/>
      <c r="G115" s="277"/>
    </row>
    <row r="116" spans="1:7" ht="18" customHeight="1">
      <c r="A116" s="64" t="s">
        <v>683</v>
      </c>
      <c r="B116" s="77"/>
      <c r="C116" s="78" t="s">
        <v>634</v>
      </c>
      <c r="D116" s="86" t="s">
        <v>156</v>
      </c>
      <c r="E116" s="83">
        <v>3</v>
      </c>
      <c r="F116" s="179"/>
      <c r="G116" s="277"/>
    </row>
    <row r="117" spans="1:7" ht="18" customHeight="1">
      <c r="A117" s="64" t="s">
        <v>684</v>
      </c>
      <c r="B117" s="77"/>
      <c r="C117" s="78" t="s">
        <v>1529</v>
      </c>
      <c r="D117" s="86" t="s">
        <v>156</v>
      </c>
      <c r="E117" s="83">
        <v>7</v>
      </c>
      <c r="F117" s="179"/>
      <c r="G117" s="277"/>
    </row>
    <row r="118" spans="1:7" ht="18" customHeight="1">
      <c r="A118" s="64" t="s">
        <v>685</v>
      </c>
      <c r="B118" s="77"/>
      <c r="C118" s="78" t="s">
        <v>637</v>
      </c>
      <c r="D118" s="86" t="s">
        <v>156</v>
      </c>
      <c r="E118" s="219">
        <v>2</v>
      </c>
      <c r="F118" s="312"/>
      <c r="G118" s="277"/>
    </row>
    <row r="119" spans="1:7" ht="18" customHeight="1">
      <c r="A119" s="64" t="s">
        <v>686</v>
      </c>
      <c r="B119" s="77"/>
      <c r="C119" s="78" t="s">
        <v>639</v>
      </c>
      <c r="D119" s="86" t="s">
        <v>156</v>
      </c>
      <c r="E119" s="219">
        <v>2</v>
      </c>
      <c r="F119" s="312"/>
      <c r="G119" s="277"/>
    </row>
    <row r="120" spans="1:7" ht="18" customHeight="1">
      <c r="A120" s="64" t="s">
        <v>687</v>
      </c>
      <c r="B120" s="77"/>
      <c r="C120" s="78" t="s">
        <v>641</v>
      </c>
      <c r="D120" s="86" t="s">
        <v>156</v>
      </c>
      <c r="E120" s="292">
        <v>7</v>
      </c>
      <c r="F120" s="312"/>
      <c r="G120" s="277"/>
    </row>
    <row r="121" spans="1:7" ht="18" customHeight="1">
      <c r="A121" s="64" t="s">
        <v>688</v>
      </c>
      <c r="B121" s="77"/>
      <c r="C121" s="78" t="s">
        <v>626</v>
      </c>
      <c r="D121" s="124" t="s">
        <v>156</v>
      </c>
      <c r="E121" s="219">
        <v>1</v>
      </c>
      <c r="F121" s="312"/>
      <c r="G121" s="277"/>
    </row>
    <row r="122" spans="1:7" ht="18" customHeight="1">
      <c r="A122" s="64" t="s">
        <v>689</v>
      </c>
      <c r="B122" s="77"/>
      <c r="C122" s="74" t="s">
        <v>599</v>
      </c>
      <c r="D122" s="124" t="s">
        <v>152</v>
      </c>
      <c r="E122" s="219">
        <v>1</v>
      </c>
      <c r="F122" s="312"/>
      <c r="G122" s="277"/>
    </row>
    <row r="123" spans="1:7" ht="33.75" customHeight="1">
      <c r="A123" s="64" t="s">
        <v>690</v>
      </c>
      <c r="B123" s="77"/>
      <c r="C123" s="78" t="s">
        <v>1526</v>
      </c>
      <c r="D123" s="124" t="s">
        <v>156</v>
      </c>
      <c r="E123" s="292">
        <f>2*E113</f>
        <v>8</v>
      </c>
      <c r="F123" s="311"/>
      <c r="G123" s="277"/>
    </row>
    <row r="124" spans="1:7" s="164" customFormat="1" ht="18" customHeight="1">
      <c r="A124" s="644" t="s">
        <v>88</v>
      </c>
      <c r="B124" s="645"/>
      <c r="C124" s="646"/>
      <c r="D124" s="294"/>
      <c r="E124" s="245"/>
      <c r="F124" s="176"/>
      <c r="G124" s="176"/>
    </row>
    <row r="125" spans="1:7" ht="18" customHeight="1">
      <c r="A125" s="616" t="s">
        <v>89</v>
      </c>
      <c r="B125" s="617"/>
      <c r="C125" s="618"/>
      <c r="D125" s="284"/>
      <c r="E125" s="214"/>
      <c r="F125" s="308"/>
      <c r="G125" s="176"/>
    </row>
    <row r="126" spans="1:7" ht="18" customHeight="1">
      <c r="A126" s="64"/>
      <c r="B126" s="218"/>
      <c r="C126" s="78"/>
      <c r="D126" s="124"/>
      <c r="E126" s="292"/>
      <c r="F126" s="179"/>
      <c r="G126" s="179"/>
    </row>
    <row r="127" spans="1:7" ht="36.75" customHeight="1">
      <c r="A127" s="64" t="s">
        <v>691</v>
      </c>
      <c r="B127" s="211"/>
      <c r="C127" s="69" t="s">
        <v>646</v>
      </c>
      <c r="D127" s="105"/>
      <c r="E127" s="86"/>
      <c r="F127" s="179"/>
      <c r="G127" s="307"/>
    </row>
    <row r="128" spans="1:7" ht="18" customHeight="1">
      <c r="A128" s="64" t="s">
        <v>692</v>
      </c>
      <c r="B128" s="211"/>
      <c r="C128" s="85" t="s">
        <v>1682</v>
      </c>
      <c r="D128" s="105" t="s">
        <v>156</v>
      </c>
      <c r="E128" s="86">
        <v>2</v>
      </c>
      <c r="F128" s="179"/>
      <c r="G128" s="307"/>
    </row>
    <row r="129" spans="1:7" ht="18" customHeight="1">
      <c r="A129" s="64" t="s">
        <v>693</v>
      </c>
      <c r="B129" s="300"/>
      <c r="C129" s="217" t="s">
        <v>1530</v>
      </c>
      <c r="D129" s="124" t="s">
        <v>156</v>
      </c>
      <c r="E129" s="297">
        <v>4</v>
      </c>
      <c r="F129" s="179"/>
      <c r="G129" s="307"/>
    </row>
    <row r="130" spans="1:7" ht="18" customHeight="1">
      <c r="A130" s="64" t="s">
        <v>694</v>
      </c>
      <c r="B130" s="211"/>
      <c r="C130" s="85" t="s">
        <v>650</v>
      </c>
      <c r="D130" s="124" t="s">
        <v>152</v>
      </c>
      <c r="E130" s="298">
        <v>1</v>
      </c>
      <c r="F130" s="312"/>
      <c r="G130" s="307"/>
    </row>
    <row r="131" spans="1:7" ht="18" customHeight="1">
      <c r="A131" s="64" t="s">
        <v>1588</v>
      </c>
      <c r="B131" s="218"/>
      <c r="C131" s="85" t="s">
        <v>1665</v>
      </c>
      <c r="D131" s="124" t="s">
        <v>152</v>
      </c>
      <c r="E131" s="297">
        <v>1</v>
      </c>
      <c r="F131" s="312"/>
      <c r="G131" s="307"/>
    </row>
    <row r="132" spans="1:7" ht="18" customHeight="1">
      <c r="A132" s="64" t="s">
        <v>1589</v>
      </c>
      <c r="B132" s="218"/>
      <c r="C132" s="85" t="s">
        <v>1584</v>
      </c>
      <c r="D132" s="124" t="s">
        <v>156</v>
      </c>
      <c r="E132" s="297">
        <v>3</v>
      </c>
      <c r="F132" s="312"/>
      <c r="G132" s="307"/>
    </row>
    <row r="133" spans="1:7" ht="18" customHeight="1">
      <c r="A133" s="64"/>
      <c r="B133" s="218"/>
      <c r="C133" s="85"/>
      <c r="D133" s="124"/>
      <c r="E133" s="297"/>
      <c r="F133" s="312"/>
      <c r="G133" s="307"/>
    </row>
    <row r="134" spans="1:7" ht="42">
      <c r="A134" s="56" t="s">
        <v>1834</v>
      </c>
      <c r="B134" s="218"/>
      <c r="C134" s="301" t="s">
        <v>1843</v>
      </c>
      <c r="D134" s="302"/>
      <c r="E134" s="303"/>
      <c r="F134" s="312"/>
      <c r="G134" s="307"/>
    </row>
    <row r="135" spans="1:7" ht="27.6">
      <c r="A135" s="64" t="s">
        <v>1835</v>
      </c>
      <c r="B135" s="125" t="s">
        <v>594</v>
      </c>
      <c r="C135" s="73" t="s">
        <v>595</v>
      </c>
      <c r="D135" s="302"/>
      <c r="E135" s="303"/>
      <c r="F135" s="312"/>
      <c r="G135" s="307"/>
    </row>
    <row r="136" spans="1:7" ht="73.5" customHeight="1">
      <c r="A136" s="64" t="s">
        <v>1836</v>
      </c>
      <c r="B136" s="218"/>
      <c r="C136" s="209" t="s">
        <v>1893</v>
      </c>
      <c r="D136" s="174" t="s">
        <v>156</v>
      </c>
      <c r="E136" s="303">
        <v>2</v>
      </c>
      <c r="F136" s="312"/>
      <c r="G136" s="307"/>
    </row>
    <row r="137" spans="1:7" ht="74.25" customHeight="1">
      <c r="A137" s="64" t="s">
        <v>1837</v>
      </c>
      <c r="B137" s="218"/>
      <c r="C137" s="209" t="s">
        <v>1894</v>
      </c>
      <c r="D137" s="174" t="s">
        <v>156</v>
      </c>
      <c r="E137" s="303">
        <v>2</v>
      </c>
      <c r="F137" s="312"/>
      <c r="G137" s="307"/>
    </row>
    <row r="138" spans="1:7" ht="27.6">
      <c r="A138" s="64" t="s">
        <v>1838</v>
      </c>
      <c r="B138" s="218"/>
      <c r="C138" s="209" t="s">
        <v>1844</v>
      </c>
      <c r="D138" s="174" t="s">
        <v>156</v>
      </c>
      <c r="E138" s="303">
        <v>1</v>
      </c>
      <c r="F138" s="312"/>
      <c r="G138" s="307"/>
    </row>
    <row r="139" spans="1:7" ht="18" customHeight="1">
      <c r="A139" s="64"/>
      <c r="B139" s="218"/>
      <c r="C139" s="85"/>
      <c r="D139" s="124"/>
      <c r="E139" s="297"/>
      <c r="F139" s="312"/>
      <c r="G139" s="307"/>
    </row>
    <row r="140" spans="1:7" ht="18" customHeight="1">
      <c r="A140" s="64" t="s">
        <v>1835</v>
      </c>
      <c r="B140" s="125" t="s">
        <v>652</v>
      </c>
      <c r="C140" s="73" t="s">
        <v>653</v>
      </c>
      <c r="D140" s="124"/>
      <c r="E140" s="297"/>
      <c r="F140" s="312"/>
      <c r="G140" s="307"/>
    </row>
    <row r="141" spans="1:7" ht="72" customHeight="1">
      <c r="A141" s="64" t="s">
        <v>1836</v>
      </c>
      <c r="B141" s="218"/>
      <c r="C141" s="209" t="s">
        <v>1893</v>
      </c>
      <c r="D141" s="174" t="s">
        <v>156</v>
      </c>
      <c r="E141" s="303">
        <v>2</v>
      </c>
      <c r="F141" s="312"/>
      <c r="G141" s="307"/>
    </row>
    <row r="142" spans="1:7" ht="68.25" customHeight="1">
      <c r="A142" s="64" t="s">
        <v>1837</v>
      </c>
      <c r="B142" s="218"/>
      <c r="C142" s="209" t="s">
        <v>1894</v>
      </c>
      <c r="D142" s="174" t="s">
        <v>156</v>
      </c>
      <c r="E142" s="303">
        <v>2</v>
      </c>
      <c r="F142" s="312"/>
      <c r="G142" s="307"/>
    </row>
    <row r="143" spans="1:7" ht="27.6">
      <c r="A143" s="64" t="s">
        <v>1838</v>
      </c>
      <c r="B143" s="218"/>
      <c r="C143" s="209" t="s">
        <v>1844</v>
      </c>
      <c r="D143" s="174" t="s">
        <v>156</v>
      </c>
      <c r="E143" s="303">
        <v>1</v>
      </c>
      <c r="F143" s="312"/>
      <c r="G143" s="307"/>
    </row>
    <row r="144" spans="1:7" ht="18" customHeight="1">
      <c r="A144" s="64"/>
      <c r="B144" s="218"/>
      <c r="C144" s="85"/>
      <c r="D144" s="124"/>
      <c r="E144" s="297"/>
      <c r="F144" s="312"/>
      <c r="G144" s="307"/>
    </row>
    <row r="145" spans="1:7" ht="18" customHeight="1">
      <c r="A145" s="610" t="s">
        <v>1870</v>
      </c>
      <c r="B145" s="611"/>
      <c r="C145" s="611"/>
      <c r="D145" s="611"/>
      <c r="E145" s="611"/>
      <c r="F145" s="612"/>
      <c r="G145" s="176"/>
    </row>
    <row r="146" spans="1:7" ht="18" customHeight="1"/>
  </sheetData>
  <mergeCells count="17">
    <mergeCell ref="A1:G1"/>
    <mergeCell ref="A2:A3"/>
    <mergeCell ref="B2:B3"/>
    <mergeCell ref="C2:C3"/>
    <mergeCell ref="D2:D3"/>
    <mergeCell ref="E2:E3"/>
    <mergeCell ref="F2:F3"/>
    <mergeCell ref="G2:G3"/>
    <mergeCell ref="A24:C24"/>
    <mergeCell ref="A125:C125"/>
    <mergeCell ref="A62:C62"/>
    <mergeCell ref="A63:C63"/>
    <mergeCell ref="A145:F145"/>
    <mergeCell ref="A86:C86"/>
    <mergeCell ref="A87:C87"/>
    <mergeCell ref="A25:C25"/>
    <mergeCell ref="A124:C124"/>
  </mergeCells>
  <phoneticPr fontId="11" type="noConversion"/>
  <pageMargins left="0.70866141732283505" right="0.70866141732283505" top="1.2992125984252001" bottom="0.74803149606299202" header="0.31496062992126" footer="0.31496062992126"/>
  <pageSetup paperSize="9" scale="76" firstPageNumber="30"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rowBreaks count="4" manualBreakCount="4">
    <brk id="24" max="16383" man="1"/>
    <brk id="62" max="16383" man="1"/>
    <brk id="86" max="16383" man="1"/>
    <brk id="124"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9BF1-05D3-422F-8A6A-1D16BEDDD1DA}">
  <dimension ref="A1:M165"/>
  <sheetViews>
    <sheetView view="pageLayout" zoomScaleNormal="100" zoomScaleSheetLayoutView="145" workbookViewId="0">
      <selection activeCell="C16" sqref="C16"/>
    </sheetView>
  </sheetViews>
  <sheetFormatPr defaultColWidth="5.109375" defaultRowHeight="13.8"/>
  <cols>
    <col min="1" max="1" width="7.33203125" style="88" customWidth="1"/>
    <col min="2" max="2" width="6.44140625" style="89" bestFit="1" customWidth="1"/>
    <col min="3" max="3" width="51.33203125" style="90" customWidth="1"/>
    <col min="4" max="4" width="6.5546875" style="91" customWidth="1"/>
    <col min="5" max="5" width="5.44140625" style="92" bestFit="1" customWidth="1"/>
    <col min="6" max="6" width="13.109375" style="44" customWidth="1"/>
    <col min="7" max="7" width="17.88671875" style="88" customWidth="1"/>
    <col min="8" max="8" width="6" style="44" hidden="1" customWidth="1"/>
    <col min="9" max="10" width="15" style="44" hidden="1" customWidth="1"/>
    <col min="11" max="11" width="6" style="44" hidden="1" customWidth="1"/>
    <col min="12" max="13" width="15" style="44" hidden="1" customWidth="1"/>
    <col min="14" max="16384" width="5.109375" style="44"/>
  </cols>
  <sheetData>
    <row r="1" spans="1:13">
      <c r="A1" s="636" t="s">
        <v>1839</v>
      </c>
      <c r="B1" s="614"/>
      <c r="C1" s="614"/>
      <c r="D1" s="614"/>
      <c r="E1" s="614"/>
      <c r="F1" s="614"/>
      <c r="G1" s="615"/>
      <c r="H1" s="188"/>
      <c r="I1" s="188"/>
      <c r="J1" s="188"/>
      <c r="K1" s="188"/>
      <c r="L1" s="188"/>
      <c r="M1" s="189"/>
    </row>
    <row r="2" spans="1:13" ht="24.75" customHeight="1">
      <c r="A2" s="655" t="s">
        <v>4</v>
      </c>
      <c r="B2" s="657" t="s">
        <v>5</v>
      </c>
      <c r="C2" s="655" t="s">
        <v>1</v>
      </c>
      <c r="D2" s="649" t="s">
        <v>6</v>
      </c>
      <c r="E2" s="647" t="s">
        <v>7</v>
      </c>
      <c r="F2" s="642" t="s">
        <v>8</v>
      </c>
      <c r="G2" s="649" t="s">
        <v>9</v>
      </c>
      <c r="H2" s="651" t="e">
        <f>'[2]3.1 - Mech Poly, Water &amp; Sludge'!H2:J2</f>
        <v>#REF!</v>
      </c>
      <c r="I2" s="651"/>
      <c r="J2" s="651"/>
      <c r="K2" s="651" t="e">
        <f>'[2]3.1 - Mech Poly, Water &amp; Sludge'!K2:M2</f>
        <v>#REF!</v>
      </c>
      <c r="L2" s="651"/>
      <c r="M2" s="651"/>
    </row>
    <row r="3" spans="1:13" s="50" customFormat="1">
      <c r="A3" s="656"/>
      <c r="B3" s="658"/>
      <c r="C3" s="656"/>
      <c r="D3" s="650"/>
      <c r="E3" s="648"/>
      <c r="F3" s="643"/>
      <c r="G3" s="650"/>
      <c r="H3" s="190" t="s">
        <v>7</v>
      </c>
      <c r="I3" s="191" t="s">
        <v>8</v>
      </c>
      <c r="J3" s="191" t="s">
        <v>9</v>
      </c>
      <c r="K3" s="190" t="s">
        <v>7</v>
      </c>
      <c r="L3" s="191" t="s">
        <v>8</v>
      </c>
      <c r="M3" s="191" t="s">
        <v>9</v>
      </c>
    </row>
    <row r="4" spans="1:13" ht="18" customHeight="1">
      <c r="A4" s="652" t="s">
        <v>1871</v>
      </c>
      <c r="B4" s="653"/>
      <c r="C4" s="653"/>
      <c r="D4" s="653"/>
      <c r="E4" s="654"/>
      <c r="F4" s="256"/>
      <c r="G4" s="257"/>
      <c r="H4" s="194"/>
      <c r="I4" s="55"/>
      <c r="J4" s="55"/>
      <c r="K4" s="194"/>
      <c r="L4" s="55"/>
      <c r="M4" s="55"/>
    </row>
    <row r="5" spans="1:13" ht="18" customHeight="1">
      <c r="A5" s="195"/>
      <c r="B5" s="195"/>
      <c r="C5" s="195"/>
      <c r="D5" s="195"/>
      <c r="E5" s="195"/>
      <c r="F5" s="258"/>
      <c r="G5" s="259"/>
      <c r="H5" s="196"/>
      <c r="I5" s="61"/>
      <c r="J5" s="61"/>
      <c r="K5" s="196"/>
      <c r="L5" s="61"/>
      <c r="M5" s="61"/>
    </row>
    <row r="6" spans="1:13" ht="41.4">
      <c r="A6" s="56">
        <v>3.2</v>
      </c>
      <c r="B6" s="57"/>
      <c r="C6" s="58" t="str">
        <f>A1</f>
        <v>SECTION 3.2 : MECHANICAL ENGINEERING - SUPPLY OF NEW and REFURBISHMENT OF BELT PRESS WITH ASSOCIATED EQUIPMENT</v>
      </c>
      <c r="D6" s="105"/>
      <c r="E6" s="197"/>
      <c r="F6" s="260"/>
      <c r="G6" s="261"/>
      <c r="H6" s="196"/>
      <c r="I6" s="61"/>
      <c r="J6" s="61"/>
      <c r="K6" s="196"/>
      <c r="L6" s="61"/>
      <c r="M6" s="61"/>
    </row>
    <row r="7" spans="1:13" ht="23.25" customHeight="1">
      <c r="A7" s="56"/>
      <c r="B7" s="57"/>
      <c r="C7" s="58" t="s">
        <v>576</v>
      </c>
      <c r="D7" s="105"/>
      <c r="E7" s="197"/>
      <c r="F7" s="260"/>
      <c r="G7" s="11"/>
      <c r="H7" s="196"/>
      <c r="I7" s="61"/>
      <c r="J7" s="61"/>
      <c r="K7" s="196"/>
      <c r="L7" s="61"/>
      <c r="M7" s="61"/>
    </row>
    <row r="8" spans="1:13" ht="39" customHeight="1">
      <c r="A8" s="56" t="s">
        <v>699</v>
      </c>
      <c r="B8" s="199" t="s">
        <v>578</v>
      </c>
      <c r="C8" s="73" t="s">
        <v>700</v>
      </c>
      <c r="D8" s="105"/>
      <c r="E8" s="197"/>
      <c r="F8" s="260"/>
      <c r="G8" s="11"/>
      <c r="H8" s="196"/>
      <c r="I8" s="61"/>
      <c r="J8" s="61"/>
      <c r="K8" s="196"/>
      <c r="L8" s="61"/>
      <c r="M8" s="61"/>
    </row>
    <row r="9" spans="1:13" ht="33.75" customHeight="1">
      <c r="A9" s="72"/>
      <c r="B9" s="71"/>
      <c r="C9" s="68" t="s">
        <v>701</v>
      </c>
      <c r="D9" s="105"/>
      <c r="E9" s="105"/>
      <c r="F9" s="262"/>
      <c r="G9" s="263"/>
      <c r="H9" s="200"/>
      <c r="I9" s="201"/>
      <c r="J9" s="201"/>
      <c r="K9" s="200"/>
      <c r="L9" s="201"/>
      <c r="M9" s="201"/>
    </row>
    <row r="10" spans="1:13" ht="18" customHeight="1">
      <c r="A10" s="59" t="s">
        <v>702</v>
      </c>
      <c r="B10" s="71"/>
      <c r="C10" s="74" t="s">
        <v>703</v>
      </c>
      <c r="D10" s="105" t="s">
        <v>156</v>
      </c>
      <c r="E10" s="124">
        <v>10</v>
      </c>
      <c r="F10" s="264"/>
      <c r="G10" s="265"/>
      <c r="H10" s="203">
        <v>10</v>
      </c>
      <c r="I10" s="63">
        <f>62692.172</f>
        <v>62692.171999999999</v>
      </c>
      <c r="J10" s="63">
        <f t="shared" ref="J10:J14" si="0">H10*I10</f>
        <v>626921.72</v>
      </c>
      <c r="K10" s="203">
        <v>6</v>
      </c>
      <c r="L10" s="63">
        <f>62692.172</f>
        <v>62692.171999999999</v>
      </c>
      <c r="M10" s="63">
        <f t="shared" ref="M10:M14" si="1">K10*L10</f>
        <v>376153.03200000001</v>
      </c>
    </row>
    <row r="11" spans="1:13" ht="36.75" customHeight="1">
      <c r="A11" s="59" t="s">
        <v>704</v>
      </c>
      <c r="B11" s="71"/>
      <c r="C11" s="74" t="s">
        <v>865</v>
      </c>
      <c r="D11" s="105" t="s">
        <v>303</v>
      </c>
      <c r="E11" s="124">
        <v>23</v>
      </c>
      <c r="F11" s="264"/>
      <c r="G11" s="265"/>
      <c r="H11" s="203">
        <f t="shared" ref="H11" si="2">61+23*2</f>
        <v>107</v>
      </c>
      <c r="I11" s="63">
        <f t="shared" ref="I11" si="3">250*1.1589</f>
        <v>289.72500000000002</v>
      </c>
      <c r="J11" s="63">
        <f t="shared" si="0"/>
        <v>31000.575000000001</v>
      </c>
      <c r="K11" s="203">
        <f t="shared" ref="K11" si="4">61+23*2</f>
        <v>107</v>
      </c>
      <c r="L11" s="63">
        <f t="shared" ref="L11" si="5">250*1.1589</f>
        <v>289.72500000000002</v>
      </c>
      <c r="M11" s="63">
        <f t="shared" si="1"/>
        <v>31000.575000000001</v>
      </c>
    </row>
    <row r="12" spans="1:13" ht="35.25" customHeight="1">
      <c r="A12" s="59" t="s">
        <v>705</v>
      </c>
      <c r="B12" s="71"/>
      <c r="C12" s="74" t="s">
        <v>1590</v>
      </c>
      <c r="D12" s="105" t="s">
        <v>15</v>
      </c>
      <c r="E12" s="124">
        <v>1</v>
      </c>
      <c r="F12" s="264"/>
      <c r="G12" s="265"/>
      <c r="H12" s="203">
        <v>1</v>
      </c>
      <c r="I12" s="63">
        <f>1549.58*H10</f>
        <v>15495.8</v>
      </c>
      <c r="J12" s="63">
        <f t="shared" si="0"/>
        <v>15495.8</v>
      </c>
      <c r="K12" s="203">
        <v>1</v>
      </c>
      <c r="L12" s="63">
        <f>1549.58*K10</f>
        <v>9297.48</v>
      </c>
      <c r="M12" s="63">
        <f t="shared" si="1"/>
        <v>9297.48</v>
      </c>
    </row>
    <row r="13" spans="1:13" ht="18" customHeight="1">
      <c r="A13" s="59" t="s">
        <v>706</v>
      </c>
      <c r="B13" s="71"/>
      <c r="C13" s="74" t="s">
        <v>1591</v>
      </c>
      <c r="D13" s="105" t="s">
        <v>156</v>
      </c>
      <c r="E13" s="124">
        <f>4+7</f>
        <v>11</v>
      </c>
      <c r="F13" s="264"/>
      <c r="G13" s="265"/>
      <c r="H13" s="203">
        <f t="shared" ref="H13" si="6">4+7</f>
        <v>11</v>
      </c>
      <c r="I13" s="63">
        <f t="shared" ref="I13" si="7">1000*1.1589</f>
        <v>1158.9000000000001</v>
      </c>
      <c r="J13" s="63">
        <f t="shared" si="0"/>
        <v>12747.900000000001</v>
      </c>
      <c r="K13" s="203">
        <f t="shared" ref="K13" si="8">4+7</f>
        <v>11</v>
      </c>
      <c r="L13" s="63">
        <f t="shared" ref="L13" si="9">1000*1.1589</f>
        <v>1158.9000000000001</v>
      </c>
      <c r="M13" s="63">
        <f t="shared" si="1"/>
        <v>12747.900000000001</v>
      </c>
    </row>
    <row r="14" spans="1:13" ht="18" customHeight="1">
      <c r="A14" s="59" t="s">
        <v>707</v>
      </c>
      <c r="B14" s="71"/>
      <c r="C14" s="74" t="s">
        <v>1518</v>
      </c>
      <c r="D14" s="105" t="s">
        <v>592</v>
      </c>
      <c r="E14" s="586">
        <v>1000</v>
      </c>
      <c r="F14" s="264"/>
      <c r="G14" s="265"/>
      <c r="H14" s="203">
        <v>10</v>
      </c>
      <c r="I14" s="201">
        <v>11100</v>
      </c>
      <c r="J14" s="63">
        <f t="shared" si="0"/>
        <v>111000</v>
      </c>
      <c r="K14" s="203">
        <v>10</v>
      </c>
      <c r="L14" s="201">
        <v>11100</v>
      </c>
      <c r="M14" s="63">
        <f t="shared" si="1"/>
        <v>111000</v>
      </c>
    </row>
    <row r="15" spans="1:13" ht="10.5" customHeight="1">
      <c r="A15" s="72"/>
      <c r="B15" s="71"/>
      <c r="C15" s="74"/>
      <c r="D15" s="105"/>
      <c r="E15" s="124"/>
      <c r="F15" s="264"/>
      <c r="G15" s="265"/>
      <c r="H15" s="203"/>
      <c r="I15" s="201"/>
      <c r="J15" s="63"/>
      <c r="K15" s="203"/>
      <c r="L15" s="201"/>
      <c r="M15" s="63"/>
    </row>
    <row r="16" spans="1:13" ht="27.75" customHeight="1">
      <c r="A16" s="56" t="s">
        <v>708</v>
      </c>
      <c r="B16" s="57" t="s">
        <v>1831</v>
      </c>
      <c r="C16" s="73" t="s">
        <v>709</v>
      </c>
      <c r="D16" s="105"/>
      <c r="E16" s="124"/>
      <c r="F16" s="264"/>
      <c r="G16" s="265"/>
      <c r="H16" s="203"/>
      <c r="I16" s="201"/>
      <c r="J16" s="201"/>
      <c r="K16" s="203"/>
      <c r="L16" s="201"/>
      <c r="M16" s="201"/>
    </row>
    <row r="17" spans="1:13" ht="46.5" customHeight="1">
      <c r="A17" s="59" t="s">
        <v>710</v>
      </c>
      <c r="B17" s="71"/>
      <c r="C17" s="74" t="s">
        <v>1822</v>
      </c>
      <c r="D17" s="105" t="s">
        <v>15</v>
      </c>
      <c r="E17" s="124">
        <v>1</v>
      </c>
      <c r="F17" s="97"/>
      <c r="G17" s="179"/>
      <c r="H17" s="203">
        <v>1</v>
      </c>
      <c r="I17" s="67">
        <f t="shared" ref="I17" si="10">248402.5*0.3</f>
        <v>74520.75</v>
      </c>
      <c r="J17" s="67">
        <f t="shared" ref="J17:J18" si="11">H17*I17</f>
        <v>74520.75</v>
      </c>
      <c r="K17" s="203">
        <v>1</v>
      </c>
      <c r="L17" s="67">
        <f t="shared" ref="L17" si="12">248402.5*0.3</f>
        <v>74520.75</v>
      </c>
      <c r="M17" s="67">
        <f t="shared" ref="M17:M18" si="13">K17*L17</f>
        <v>74520.75</v>
      </c>
    </row>
    <row r="18" spans="1:13" ht="69.75" customHeight="1">
      <c r="A18" s="59" t="s">
        <v>711</v>
      </c>
      <c r="B18" s="71"/>
      <c r="C18" s="74" t="s">
        <v>1519</v>
      </c>
      <c r="D18" s="105" t="s">
        <v>15</v>
      </c>
      <c r="E18" s="124">
        <v>1</v>
      </c>
      <c r="F18" s="97"/>
      <c r="G18" s="179"/>
      <c r="H18" s="203">
        <v>1</v>
      </c>
      <c r="I18" s="67">
        <f t="shared" ref="I18" si="14">248402.5*0.35</f>
        <v>86940.875</v>
      </c>
      <c r="J18" s="67">
        <f t="shared" si="11"/>
        <v>86940.875</v>
      </c>
      <c r="K18" s="203">
        <v>1</v>
      </c>
      <c r="L18" s="67">
        <f t="shared" ref="L18" si="15">248402.5*0.35</f>
        <v>86940.875</v>
      </c>
      <c r="M18" s="67">
        <f t="shared" si="13"/>
        <v>86940.875</v>
      </c>
    </row>
    <row r="19" spans="1:13" ht="12.75" customHeight="1">
      <c r="A19" s="59"/>
      <c r="B19" s="71"/>
      <c r="C19" s="68"/>
      <c r="D19" s="105"/>
      <c r="E19" s="124"/>
      <c r="F19" s="266"/>
      <c r="G19" s="267"/>
      <c r="H19" s="203"/>
      <c r="I19" s="205"/>
      <c r="J19" s="205"/>
      <c r="K19" s="203"/>
      <c r="L19" s="205"/>
      <c r="M19" s="205"/>
    </row>
    <row r="20" spans="1:13" ht="36.75" customHeight="1">
      <c r="A20" s="56" t="s">
        <v>712</v>
      </c>
      <c r="B20" s="199" t="s">
        <v>578</v>
      </c>
      <c r="C20" s="73" t="s">
        <v>595</v>
      </c>
      <c r="D20" s="105"/>
      <c r="E20" s="124"/>
      <c r="F20" s="266"/>
      <c r="G20" s="267"/>
      <c r="H20" s="203"/>
      <c r="I20" s="205"/>
      <c r="J20" s="205"/>
      <c r="K20" s="203"/>
      <c r="L20" s="205"/>
      <c r="M20" s="205"/>
    </row>
    <row r="21" spans="1:13" ht="18" customHeight="1">
      <c r="A21" s="64" t="s">
        <v>713</v>
      </c>
      <c r="B21" s="206"/>
      <c r="C21" s="69" t="s">
        <v>714</v>
      </c>
      <c r="D21" s="105"/>
      <c r="E21" s="124"/>
      <c r="F21" s="266"/>
      <c r="G21" s="267"/>
      <c r="H21" s="203"/>
      <c r="I21" s="205"/>
      <c r="J21" s="205"/>
      <c r="K21" s="203"/>
      <c r="L21" s="205"/>
      <c r="M21" s="205"/>
    </row>
    <row r="22" spans="1:13" s="75" customFormat="1" ht="164.4" customHeight="1">
      <c r="A22" s="64" t="s">
        <v>715</v>
      </c>
      <c r="B22" s="206"/>
      <c r="C22" s="74" t="s">
        <v>1973</v>
      </c>
      <c r="D22" s="105" t="s">
        <v>156</v>
      </c>
      <c r="E22" s="124">
        <f>E10</f>
        <v>10</v>
      </c>
      <c r="F22" s="97"/>
      <c r="G22" s="179"/>
      <c r="H22" s="203">
        <v>6</v>
      </c>
      <c r="I22" s="67">
        <f t="shared" ref="I22" si="16">2967765*1.15</f>
        <v>3412929.7499999995</v>
      </c>
      <c r="J22" s="67">
        <f t="shared" ref="J22:J26" si="17">H22*I22</f>
        <v>20477578.499999996</v>
      </c>
      <c r="K22" s="203">
        <f>K10</f>
        <v>6</v>
      </c>
      <c r="L22" s="67">
        <f t="shared" ref="L22" si="18">2967765*1.15</f>
        <v>3412929.7499999995</v>
      </c>
      <c r="M22" s="67">
        <f t="shared" ref="M22:M26" si="19">K22*L22</f>
        <v>20477578.499999996</v>
      </c>
    </row>
    <row r="23" spans="1:13" ht="18" customHeight="1">
      <c r="A23" s="64" t="s">
        <v>716</v>
      </c>
      <c r="B23" s="207"/>
      <c r="C23" s="153" t="s">
        <v>1964</v>
      </c>
      <c r="D23" s="105" t="s">
        <v>156</v>
      </c>
      <c r="E23" s="124">
        <f>1*E$22</f>
        <v>10</v>
      </c>
      <c r="F23" s="97"/>
      <c r="G23" s="179"/>
      <c r="H23" s="203">
        <f t="shared" ref="H23:K26" si="20">1*H$22</f>
        <v>6</v>
      </c>
      <c r="I23" s="67">
        <f t="shared" ref="I23" si="21">56280*1.15</f>
        <v>64721.999999999993</v>
      </c>
      <c r="J23" s="67">
        <f t="shared" si="17"/>
        <v>388331.99999999994</v>
      </c>
      <c r="K23" s="203">
        <f t="shared" ref="K23" si="22">1*K$22</f>
        <v>6</v>
      </c>
      <c r="L23" s="67">
        <f t="shared" ref="L23" si="23">56280*1.15</f>
        <v>64721.999999999993</v>
      </c>
      <c r="M23" s="67">
        <f t="shared" si="19"/>
        <v>388331.99999999994</v>
      </c>
    </row>
    <row r="24" spans="1:13" ht="18" customHeight="1">
      <c r="A24" s="64" t="s">
        <v>717</v>
      </c>
      <c r="B24" s="208"/>
      <c r="C24" s="74" t="s">
        <v>718</v>
      </c>
      <c r="D24" s="105" t="s">
        <v>156</v>
      </c>
      <c r="E24" s="124">
        <v>10</v>
      </c>
      <c r="F24" s="97"/>
      <c r="G24" s="179"/>
      <c r="H24" s="203">
        <f t="shared" si="20"/>
        <v>6</v>
      </c>
      <c r="I24" s="67">
        <f t="shared" ref="I24" si="24">141035*1.15</f>
        <v>162190.25</v>
      </c>
      <c r="J24" s="67">
        <f t="shared" si="17"/>
        <v>973141.5</v>
      </c>
      <c r="K24" s="203">
        <f t="shared" si="20"/>
        <v>6</v>
      </c>
      <c r="L24" s="67">
        <f t="shared" ref="L24" si="25">141035*1.15</f>
        <v>162190.25</v>
      </c>
      <c r="M24" s="67">
        <f t="shared" si="19"/>
        <v>973141.5</v>
      </c>
    </row>
    <row r="25" spans="1:13" ht="18" customHeight="1">
      <c r="A25" s="64" t="s">
        <v>719</v>
      </c>
      <c r="B25" s="57"/>
      <c r="C25" s="209" t="s">
        <v>720</v>
      </c>
      <c r="D25" s="105" t="s">
        <v>156</v>
      </c>
      <c r="E25" s="124">
        <v>10</v>
      </c>
      <c r="F25" s="97"/>
      <c r="G25" s="179"/>
      <c r="H25" s="203">
        <v>0</v>
      </c>
      <c r="I25" s="67">
        <f t="shared" ref="I25" si="26">177047.5*1.15</f>
        <v>203604.62499999997</v>
      </c>
      <c r="J25" s="67">
        <f t="shared" si="17"/>
        <v>0</v>
      </c>
      <c r="K25" s="203">
        <v>0</v>
      </c>
      <c r="L25" s="67">
        <f t="shared" ref="L25" si="27">177047.5*1.15</f>
        <v>203604.62499999997</v>
      </c>
      <c r="M25" s="67">
        <f t="shared" si="19"/>
        <v>0</v>
      </c>
    </row>
    <row r="26" spans="1:13" ht="32.25" customHeight="1">
      <c r="A26" s="64" t="s">
        <v>721</v>
      </c>
      <c r="B26" s="76"/>
      <c r="C26" s="209" t="s">
        <v>1823</v>
      </c>
      <c r="D26" s="105" t="s">
        <v>156</v>
      </c>
      <c r="E26" s="124">
        <f t="shared" ref="E26:E65" si="28">1*E$22</f>
        <v>10</v>
      </c>
      <c r="F26" s="97"/>
      <c r="G26" s="179"/>
      <c r="H26" s="203">
        <f t="shared" si="20"/>
        <v>6</v>
      </c>
      <c r="I26" s="67">
        <f>(3697227.5/10)*1.15</f>
        <v>425181.16249999998</v>
      </c>
      <c r="J26" s="67">
        <f t="shared" si="17"/>
        <v>2551086.9749999996</v>
      </c>
      <c r="K26" s="203">
        <f t="shared" si="20"/>
        <v>6</v>
      </c>
      <c r="L26" s="67">
        <f>(3697227.5/10)*1.15</f>
        <v>425181.16249999998</v>
      </c>
      <c r="M26" s="67">
        <f t="shared" si="19"/>
        <v>2551086.9749999996</v>
      </c>
    </row>
    <row r="27" spans="1:13">
      <c r="A27" s="64"/>
      <c r="B27" s="76"/>
      <c r="C27" s="209"/>
      <c r="D27" s="105"/>
      <c r="E27" s="124"/>
      <c r="F27" s="97"/>
      <c r="G27" s="179"/>
      <c r="H27" s="210"/>
      <c r="I27" s="67"/>
      <c r="J27" s="67"/>
      <c r="K27" s="210"/>
      <c r="L27" s="67"/>
      <c r="M27" s="67"/>
    </row>
    <row r="28" spans="1:13">
      <c r="A28" s="64" t="s">
        <v>722</v>
      </c>
      <c r="B28" s="211"/>
      <c r="C28" s="69" t="s">
        <v>1520</v>
      </c>
      <c r="D28" s="105"/>
      <c r="E28" s="124"/>
      <c r="F28" s="97"/>
      <c r="G28" s="179"/>
      <c r="H28" s="210"/>
      <c r="I28" s="67"/>
      <c r="J28" s="67"/>
      <c r="K28" s="210"/>
      <c r="L28" s="67"/>
      <c r="M28" s="67"/>
    </row>
    <row r="29" spans="1:13" ht="27.6">
      <c r="A29" s="64" t="s">
        <v>728</v>
      </c>
      <c r="B29" s="77"/>
      <c r="C29" s="69" t="s">
        <v>1593</v>
      </c>
      <c r="D29" s="212"/>
      <c r="E29" s="212"/>
      <c r="F29" s="268"/>
      <c r="G29" s="269"/>
      <c r="H29" s="210"/>
      <c r="I29" s="67"/>
      <c r="J29" s="67"/>
      <c r="K29" s="210"/>
      <c r="L29" s="67"/>
      <c r="M29" s="67"/>
    </row>
    <row r="30" spans="1:13" ht="27.6">
      <c r="A30" s="64" t="s">
        <v>723</v>
      </c>
      <c r="B30" s="77"/>
      <c r="C30" s="78" t="s">
        <v>1594</v>
      </c>
      <c r="D30" s="82" t="s">
        <v>156</v>
      </c>
      <c r="E30" s="124">
        <f>2*E22</f>
        <v>20</v>
      </c>
      <c r="F30" s="97"/>
      <c r="G30" s="179"/>
      <c r="H30" s="210"/>
      <c r="I30" s="67"/>
      <c r="J30" s="67"/>
      <c r="K30" s="210"/>
      <c r="L30" s="67"/>
      <c r="M30" s="67"/>
    </row>
    <row r="31" spans="1:13">
      <c r="A31" s="64" t="s">
        <v>724</v>
      </c>
      <c r="B31" s="77"/>
      <c r="C31" s="78" t="s">
        <v>603</v>
      </c>
      <c r="D31" s="82" t="s">
        <v>156</v>
      </c>
      <c r="E31" s="124">
        <v>2</v>
      </c>
      <c r="F31" s="97"/>
      <c r="G31" s="179"/>
      <c r="H31" s="210"/>
      <c r="I31" s="67"/>
      <c r="J31" s="67"/>
      <c r="K31" s="210"/>
      <c r="L31" s="67"/>
      <c r="M31" s="67"/>
    </row>
    <row r="32" spans="1:13" s="75" customFormat="1" ht="18" customHeight="1">
      <c r="A32" s="622" t="s">
        <v>88</v>
      </c>
      <c r="B32" s="623"/>
      <c r="C32" s="623"/>
      <c r="D32" s="113"/>
      <c r="E32" s="114"/>
      <c r="F32" s="270"/>
      <c r="G32" s="271"/>
      <c r="H32" s="213"/>
      <c r="I32" s="67"/>
      <c r="J32" s="67"/>
      <c r="K32" s="213"/>
      <c r="L32" s="67"/>
      <c r="M32" s="67"/>
    </row>
    <row r="33" spans="1:13" s="75" customFormat="1" ht="18" customHeight="1">
      <c r="A33" s="616" t="s">
        <v>89</v>
      </c>
      <c r="B33" s="617"/>
      <c r="C33" s="618"/>
      <c r="D33" s="115"/>
      <c r="E33" s="214"/>
      <c r="F33" s="272"/>
      <c r="G33" s="176"/>
      <c r="H33" s="213"/>
      <c r="I33" s="67"/>
      <c r="J33" s="67"/>
      <c r="K33" s="213"/>
      <c r="L33" s="67"/>
      <c r="M33" s="67"/>
    </row>
    <row r="34" spans="1:13">
      <c r="A34" s="64"/>
      <c r="B34" s="77"/>
      <c r="C34" s="78"/>
      <c r="D34" s="82"/>
      <c r="E34" s="124"/>
      <c r="F34" s="97"/>
      <c r="G34" s="179"/>
      <c r="H34" s="210"/>
      <c r="I34" s="67"/>
      <c r="J34" s="67"/>
      <c r="K34" s="210"/>
      <c r="L34" s="67"/>
      <c r="M34" s="67"/>
    </row>
    <row r="35" spans="1:13" ht="27.6">
      <c r="A35" s="64" t="s">
        <v>725</v>
      </c>
      <c r="B35" s="77"/>
      <c r="C35" s="78" t="s">
        <v>1595</v>
      </c>
      <c r="D35" s="82" t="s">
        <v>156</v>
      </c>
      <c r="E35" s="124">
        <v>1</v>
      </c>
      <c r="F35" s="97"/>
      <c r="G35" s="179"/>
      <c r="H35" s="210"/>
      <c r="I35" s="67"/>
      <c r="J35" s="67"/>
      <c r="K35" s="210"/>
      <c r="L35" s="67"/>
      <c r="M35" s="67"/>
    </row>
    <row r="36" spans="1:13" s="75" customFormat="1" ht="27.6">
      <c r="A36" s="64" t="s">
        <v>726</v>
      </c>
      <c r="B36" s="77"/>
      <c r="C36" s="78" t="s">
        <v>1824</v>
      </c>
      <c r="D36" s="124" t="s">
        <v>569</v>
      </c>
      <c r="E36" s="124">
        <v>1</v>
      </c>
      <c r="F36" s="97"/>
      <c r="G36" s="152">
        <v>390000</v>
      </c>
      <c r="H36" s="203">
        <v>1</v>
      </c>
      <c r="I36" s="67">
        <v>34221</v>
      </c>
      <c r="J36" s="67">
        <f t="shared" ref="J36:J41" si="29">H36*I36</f>
        <v>34221</v>
      </c>
      <c r="K36" s="203">
        <v>1</v>
      </c>
      <c r="L36" s="67">
        <v>34221</v>
      </c>
      <c r="M36" s="67">
        <f t="shared" ref="M36:M41" si="30">K36*L36</f>
        <v>34221</v>
      </c>
    </row>
    <row r="37" spans="1:13" s="75" customFormat="1">
      <c r="A37" s="64" t="s">
        <v>727</v>
      </c>
      <c r="B37" s="77"/>
      <c r="C37" s="153" t="s">
        <v>1830</v>
      </c>
      <c r="D37" s="154" t="s">
        <v>107</v>
      </c>
      <c r="E37" s="10"/>
      <c r="F37" s="97"/>
      <c r="G37" s="179"/>
      <c r="H37" s="203"/>
      <c r="I37" s="67"/>
      <c r="J37" s="67"/>
      <c r="K37" s="203"/>
      <c r="L37" s="67"/>
      <c r="M37" s="67"/>
    </row>
    <row r="38" spans="1:13" s="75" customFormat="1" ht="18" customHeight="1">
      <c r="A38" s="64" t="s">
        <v>729</v>
      </c>
      <c r="B38" s="57"/>
      <c r="C38" s="209" t="s">
        <v>1827</v>
      </c>
      <c r="D38" s="82" t="s">
        <v>156</v>
      </c>
      <c r="E38" s="124">
        <v>3</v>
      </c>
      <c r="F38" s="97"/>
      <c r="G38" s="179"/>
      <c r="H38" s="203">
        <v>3</v>
      </c>
      <c r="I38" s="67">
        <v>950</v>
      </c>
      <c r="J38" s="67">
        <f t="shared" si="29"/>
        <v>2850</v>
      </c>
      <c r="K38" s="203">
        <v>3</v>
      </c>
      <c r="L38" s="67">
        <v>950</v>
      </c>
      <c r="M38" s="67">
        <f t="shared" si="30"/>
        <v>2850</v>
      </c>
    </row>
    <row r="39" spans="1:13" s="75" customFormat="1" ht="18" customHeight="1">
      <c r="A39" s="64" t="s">
        <v>866</v>
      </c>
      <c r="B39" s="77"/>
      <c r="C39" s="85" t="s">
        <v>1826</v>
      </c>
      <c r="D39" s="105" t="s">
        <v>156</v>
      </c>
      <c r="E39" s="124">
        <f>3*'[2]3.2 -  Mech. New Belt Press '!E$9*2</f>
        <v>60</v>
      </c>
      <c r="F39" s="97"/>
      <c r="G39" s="179"/>
      <c r="H39" s="203">
        <f>4*'[2]3.2 -  Mech. New Belt Press '!H$9</f>
        <v>40</v>
      </c>
      <c r="I39" s="67">
        <v>950</v>
      </c>
      <c r="J39" s="67">
        <f t="shared" si="29"/>
        <v>38000</v>
      </c>
      <c r="K39" s="203">
        <f>4*'[2]3.2 -  Mech. New Belt Press '!K$9</f>
        <v>24</v>
      </c>
      <c r="L39" s="67">
        <v>950</v>
      </c>
      <c r="M39" s="67">
        <f t="shared" si="30"/>
        <v>22800</v>
      </c>
    </row>
    <row r="40" spans="1:13" s="75" customFormat="1" ht="18" customHeight="1">
      <c r="A40" s="64" t="s">
        <v>731</v>
      </c>
      <c r="B40" s="77"/>
      <c r="C40" s="85" t="s">
        <v>1825</v>
      </c>
      <c r="D40" s="105" t="s">
        <v>156</v>
      </c>
      <c r="E40" s="124">
        <f>2*'[2]3.2 -  Mech. New Belt Press '!E$9</f>
        <v>20</v>
      </c>
      <c r="F40" s="97"/>
      <c r="G40" s="179"/>
      <c r="H40" s="203">
        <f>4*'[2]3.2 -  Mech. New Belt Press '!H$9</f>
        <v>40</v>
      </c>
      <c r="I40" s="67">
        <v>650</v>
      </c>
      <c r="J40" s="67">
        <f t="shared" si="29"/>
        <v>26000</v>
      </c>
      <c r="K40" s="203">
        <f>4*'[2]3.2 -  Mech. New Belt Press '!K$9</f>
        <v>24</v>
      </c>
      <c r="L40" s="67">
        <v>650</v>
      </c>
      <c r="M40" s="67">
        <f t="shared" si="30"/>
        <v>15600</v>
      </c>
    </row>
    <row r="41" spans="1:13" s="75" customFormat="1" ht="38.25" customHeight="1">
      <c r="A41" s="64" t="s">
        <v>732</v>
      </c>
      <c r="B41" s="77"/>
      <c r="C41" s="209" t="s">
        <v>1828</v>
      </c>
      <c r="D41" s="105" t="s">
        <v>156</v>
      </c>
      <c r="E41" s="124">
        <f>2*'[2]3.2 -  Mech. New Belt Press '!E$9</f>
        <v>20</v>
      </c>
      <c r="F41" s="97"/>
      <c r="G41" s="179"/>
      <c r="H41" s="203">
        <f>4*'[2]3.2 -  Mech. New Belt Press '!H$9</f>
        <v>40</v>
      </c>
      <c r="I41" s="67">
        <v>650</v>
      </c>
      <c r="J41" s="67">
        <f t="shared" si="29"/>
        <v>26000</v>
      </c>
      <c r="K41" s="203">
        <f>4*'[2]3.2 -  Mech. New Belt Press '!K$9</f>
        <v>24</v>
      </c>
      <c r="L41" s="67">
        <v>650</v>
      </c>
      <c r="M41" s="67">
        <f t="shared" si="30"/>
        <v>15600</v>
      </c>
    </row>
    <row r="42" spans="1:13" s="75" customFormat="1" ht="18" customHeight="1">
      <c r="A42" s="64" t="s">
        <v>734</v>
      </c>
      <c r="B42" s="77"/>
      <c r="C42" s="85" t="s">
        <v>737</v>
      </c>
      <c r="D42" s="105" t="s">
        <v>156</v>
      </c>
      <c r="E42" s="124">
        <f>1*E22</f>
        <v>10</v>
      </c>
      <c r="F42" s="97"/>
      <c r="G42" s="179"/>
      <c r="H42" s="203"/>
      <c r="I42" s="67"/>
      <c r="J42" s="67"/>
      <c r="K42" s="203"/>
      <c r="L42" s="67"/>
      <c r="M42" s="67"/>
    </row>
    <row r="43" spans="1:13" s="164" customFormat="1">
      <c r="A43" s="64"/>
      <c r="B43" s="77"/>
      <c r="C43" s="85"/>
      <c r="D43" s="82"/>
      <c r="E43" s="124"/>
      <c r="F43" s="97"/>
      <c r="G43" s="179"/>
      <c r="H43" s="215"/>
      <c r="I43" s="67"/>
      <c r="J43" s="67"/>
      <c r="K43" s="215"/>
      <c r="L43" s="67"/>
      <c r="M43" s="67"/>
    </row>
    <row r="44" spans="1:13" s="164" customFormat="1" ht="32.25" customHeight="1">
      <c r="A44" s="64" t="s">
        <v>736</v>
      </c>
      <c r="B44" s="211"/>
      <c r="C44" s="69" t="s">
        <v>1603</v>
      </c>
      <c r="D44" s="82"/>
      <c r="E44" s="124"/>
      <c r="F44" s="97"/>
      <c r="G44" s="179"/>
      <c r="H44" s="215"/>
      <c r="I44" s="67"/>
      <c r="J44" s="67"/>
      <c r="K44" s="215"/>
      <c r="L44" s="67"/>
      <c r="M44" s="67"/>
    </row>
    <row r="45" spans="1:13" s="75" customFormat="1" ht="18" customHeight="1">
      <c r="A45" s="64" t="s">
        <v>738</v>
      </c>
      <c r="B45" s="57"/>
      <c r="C45" s="216" t="s">
        <v>1599</v>
      </c>
      <c r="D45" s="124" t="s">
        <v>156</v>
      </c>
      <c r="E45" s="124">
        <v>6</v>
      </c>
      <c r="F45" s="97"/>
      <c r="G45" s="179"/>
      <c r="H45" s="215">
        <v>2</v>
      </c>
      <c r="I45" s="67">
        <v>75600</v>
      </c>
      <c r="J45" s="67">
        <f t="shared" ref="J45:J48" si="31">H45*I45</f>
        <v>151200</v>
      </c>
      <c r="K45" s="215">
        <v>2</v>
      </c>
      <c r="L45" s="67">
        <v>75600</v>
      </c>
      <c r="M45" s="67">
        <f t="shared" ref="M45:M48" si="32">K45*L45</f>
        <v>151200</v>
      </c>
    </row>
    <row r="46" spans="1:13" s="75" customFormat="1" ht="18" customHeight="1">
      <c r="A46" s="64" t="s">
        <v>739</v>
      </c>
      <c r="B46" s="57"/>
      <c r="C46" s="216" t="s">
        <v>1600</v>
      </c>
      <c r="D46" s="124" t="s">
        <v>156</v>
      </c>
      <c r="E46" s="124">
        <v>2</v>
      </c>
      <c r="F46" s="97"/>
      <c r="G46" s="179"/>
      <c r="H46" s="215">
        <f>2*H$22</f>
        <v>12</v>
      </c>
      <c r="I46" s="67">
        <v>38084</v>
      </c>
      <c r="J46" s="67">
        <f t="shared" si="31"/>
        <v>457008</v>
      </c>
      <c r="K46" s="215">
        <f>2*K$22</f>
        <v>12</v>
      </c>
      <c r="L46" s="67">
        <v>38084</v>
      </c>
      <c r="M46" s="67">
        <f t="shared" si="32"/>
        <v>457008</v>
      </c>
    </row>
    <row r="47" spans="1:13" s="75" customFormat="1" ht="32.25" customHeight="1">
      <c r="A47" s="64" t="s">
        <v>740</v>
      </c>
      <c r="B47" s="57"/>
      <c r="C47" s="216" t="s">
        <v>1601</v>
      </c>
      <c r="D47" s="124" t="s">
        <v>156</v>
      </c>
      <c r="E47" s="124">
        <v>20</v>
      </c>
      <c r="F47" s="97"/>
      <c r="G47" s="179"/>
      <c r="H47" s="215">
        <f t="shared" ref="H47" si="33">1*H$22</f>
        <v>6</v>
      </c>
      <c r="I47" s="67">
        <v>96272</v>
      </c>
      <c r="J47" s="67">
        <f t="shared" si="31"/>
        <v>577632</v>
      </c>
      <c r="K47" s="215">
        <f t="shared" ref="K47" si="34">1*K$22</f>
        <v>6</v>
      </c>
      <c r="L47" s="67">
        <v>96272</v>
      </c>
      <c r="M47" s="67">
        <f t="shared" si="32"/>
        <v>577632</v>
      </c>
    </row>
    <row r="48" spans="1:13" s="75" customFormat="1" ht="38.25" customHeight="1">
      <c r="A48" s="64" t="s">
        <v>741</v>
      </c>
      <c r="B48" s="57"/>
      <c r="C48" s="216" t="s">
        <v>1602</v>
      </c>
      <c r="D48" s="124" t="s">
        <v>156</v>
      </c>
      <c r="E48" s="124">
        <v>10</v>
      </c>
      <c r="F48" s="97"/>
      <c r="G48" s="179"/>
      <c r="H48" s="215">
        <v>1</v>
      </c>
      <c r="I48" s="67">
        <v>176887</v>
      </c>
      <c r="J48" s="67">
        <f t="shared" si="31"/>
        <v>176887</v>
      </c>
      <c r="K48" s="215">
        <v>1</v>
      </c>
      <c r="L48" s="67">
        <v>176887</v>
      </c>
      <c r="M48" s="67">
        <f t="shared" si="32"/>
        <v>176887</v>
      </c>
    </row>
    <row r="49" spans="1:13" s="75" customFormat="1" ht="18" customHeight="1">
      <c r="A49" s="64" t="s">
        <v>742</v>
      </c>
      <c r="B49" s="57"/>
      <c r="C49" s="217" t="s">
        <v>743</v>
      </c>
      <c r="D49" s="124" t="s">
        <v>152</v>
      </c>
      <c r="E49" s="124">
        <v>1</v>
      </c>
      <c r="F49" s="97"/>
      <c r="G49" s="179"/>
      <c r="H49" s="215"/>
      <c r="I49" s="67"/>
      <c r="J49" s="67"/>
      <c r="K49" s="215"/>
      <c r="L49" s="67"/>
      <c r="M49" s="67"/>
    </row>
    <row r="50" spans="1:13" s="75" customFormat="1" ht="18" customHeight="1">
      <c r="A50" s="64"/>
      <c r="B50" s="57"/>
      <c r="C50" s="217"/>
      <c r="D50" s="124"/>
      <c r="E50" s="124"/>
      <c r="F50" s="97"/>
      <c r="G50" s="179"/>
      <c r="H50" s="213"/>
      <c r="I50" s="67"/>
      <c r="J50" s="67"/>
      <c r="K50" s="213"/>
      <c r="L50" s="67"/>
      <c r="M50" s="67"/>
    </row>
    <row r="51" spans="1:13" s="75" customFormat="1" ht="18" customHeight="1">
      <c r="A51" s="64" t="s">
        <v>744</v>
      </c>
      <c r="B51" s="57"/>
      <c r="C51" s="156" t="s">
        <v>745</v>
      </c>
      <c r="D51" s="82"/>
      <c r="E51" s="124"/>
      <c r="F51" s="97"/>
      <c r="G51" s="179"/>
      <c r="H51" s="213"/>
      <c r="I51" s="67"/>
      <c r="J51" s="67"/>
      <c r="K51" s="213"/>
      <c r="L51" s="67"/>
      <c r="M51" s="67"/>
    </row>
    <row r="52" spans="1:13" s="75" customFormat="1" ht="18" customHeight="1">
      <c r="A52" s="64" t="s">
        <v>746</v>
      </c>
      <c r="B52" s="211"/>
      <c r="C52" s="78" t="s">
        <v>1829</v>
      </c>
      <c r="D52" s="86" t="s">
        <v>156</v>
      </c>
      <c r="E52" s="124">
        <f>1*E$22</f>
        <v>10</v>
      </c>
      <c r="F52" s="97"/>
      <c r="G52" s="179"/>
      <c r="H52" s="213">
        <f>1*H$22</f>
        <v>6</v>
      </c>
      <c r="I52" s="67">
        <v>950</v>
      </c>
      <c r="J52" s="67">
        <f t="shared" ref="J52:J53" si="35">H52*I52</f>
        <v>5700</v>
      </c>
      <c r="K52" s="213">
        <f>1*K$22</f>
        <v>6</v>
      </c>
      <c r="L52" s="67">
        <v>950</v>
      </c>
      <c r="M52" s="67">
        <f t="shared" ref="M52:M53" si="36">K52*L52</f>
        <v>5700</v>
      </c>
    </row>
    <row r="53" spans="1:13" s="75" customFormat="1" ht="18" customHeight="1">
      <c r="A53" s="64" t="s">
        <v>748</v>
      </c>
      <c r="B53" s="218"/>
      <c r="C53" s="78" t="s">
        <v>749</v>
      </c>
      <c r="D53" s="124" t="s">
        <v>569</v>
      </c>
      <c r="E53" s="219">
        <v>1</v>
      </c>
      <c r="F53" s="97"/>
      <c r="G53" s="152">
        <v>130000</v>
      </c>
      <c r="H53" s="220">
        <v>1</v>
      </c>
      <c r="I53" s="67">
        <v>54725</v>
      </c>
      <c r="J53" s="67">
        <f t="shared" si="35"/>
        <v>54725</v>
      </c>
      <c r="K53" s="220">
        <v>1</v>
      </c>
      <c r="L53" s="67">
        <v>54725</v>
      </c>
      <c r="M53" s="67">
        <f t="shared" si="36"/>
        <v>54725</v>
      </c>
    </row>
    <row r="54" spans="1:13" s="75" customFormat="1" ht="31.5" customHeight="1">
      <c r="A54" s="64" t="s">
        <v>750</v>
      </c>
      <c r="B54" s="218"/>
      <c r="C54" s="153" t="s">
        <v>867</v>
      </c>
      <c r="D54" s="154" t="s">
        <v>107</v>
      </c>
      <c r="E54" s="10"/>
      <c r="F54" s="97"/>
      <c r="G54" s="179"/>
      <c r="H54" s="221"/>
      <c r="I54" s="67"/>
      <c r="J54" s="67"/>
      <c r="K54" s="221"/>
      <c r="L54" s="67"/>
      <c r="M54" s="67"/>
    </row>
    <row r="55" spans="1:13" s="75" customFormat="1" ht="18" customHeight="1">
      <c r="A55" s="84"/>
      <c r="B55" s="57"/>
      <c r="C55" s="78"/>
      <c r="D55" s="82"/>
      <c r="E55" s="124"/>
      <c r="F55" s="97"/>
      <c r="G55" s="179"/>
      <c r="H55" s="213"/>
      <c r="I55" s="67"/>
      <c r="J55" s="67"/>
      <c r="K55" s="213"/>
      <c r="L55" s="67"/>
      <c r="M55" s="67"/>
    </row>
    <row r="56" spans="1:13" ht="18" customHeight="1">
      <c r="A56" s="64" t="s">
        <v>751</v>
      </c>
      <c r="B56" s="211"/>
      <c r="C56" s="156" t="s">
        <v>1521</v>
      </c>
      <c r="D56" s="105"/>
      <c r="E56" s="219"/>
      <c r="F56" s="97"/>
      <c r="G56" s="179"/>
      <c r="H56" s="220"/>
      <c r="I56" s="67"/>
      <c r="J56" s="67"/>
      <c r="K56" s="220"/>
      <c r="L56" s="67"/>
      <c r="M56" s="67"/>
    </row>
    <row r="57" spans="1:13" ht="18" customHeight="1">
      <c r="A57" s="64" t="s">
        <v>868</v>
      </c>
      <c r="B57" s="211"/>
      <c r="C57" s="153" t="s">
        <v>870</v>
      </c>
      <c r="D57" s="82" t="s">
        <v>15</v>
      </c>
      <c r="E57" s="219">
        <v>1</v>
      </c>
      <c r="F57" s="97"/>
      <c r="G57" s="179"/>
      <c r="H57" s="220"/>
      <c r="I57" s="67"/>
      <c r="J57" s="67"/>
      <c r="K57" s="220"/>
      <c r="L57" s="67"/>
      <c r="M57" s="67"/>
    </row>
    <row r="58" spans="1:13" ht="31.5" customHeight="1">
      <c r="A58" s="64" t="s">
        <v>869</v>
      </c>
      <c r="B58" s="211"/>
      <c r="C58" s="222" t="s">
        <v>752</v>
      </c>
      <c r="D58" s="124" t="s">
        <v>569</v>
      </c>
      <c r="E58" s="124">
        <v>1</v>
      </c>
      <c r="F58" s="97"/>
      <c r="G58" s="152">
        <v>167000</v>
      </c>
      <c r="H58" s="215">
        <v>1</v>
      </c>
      <c r="I58" s="67">
        <f t="shared" ref="I58" si="37">(2187472/10)</f>
        <v>218747.2</v>
      </c>
      <c r="J58" s="67">
        <f t="shared" ref="J58" si="38">H58*I58</f>
        <v>218747.2</v>
      </c>
      <c r="K58" s="215">
        <v>1</v>
      </c>
      <c r="L58" s="67">
        <f t="shared" ref="L58" si="39">(2187472/10)</f>
        <v>218747.2</v>
      </c>
      <c r="M58" s="67">
        <f t="shared" ref="M58" si="40">K58*L58</f>
        <v>218747.2</v>
      </c>
    </row>
    <row r="59" spans="1:13" ht="33.75" customHeight="1">
      <c r="A59" s="64" t="s">
        <v>871</v>
      </c>
      <c r="B59" s="211"/>
      <c r="C59" s="153" t="s">
        <v>872</v>
      </c>
      <c r="D59" s="154" t="s">
        <v>107</v>
      </c>
      <c r="E59" s="15"/>
      <c r="F59" s="97"/>
      <c r="G59" s="179"/>
      <c r="H59" s="215"/>
      <c r="I59" s="67"/>
      <c r="J59" s="67"/>
      <c r="K59" s="215"/>
      <c r="L59" s="67"/>
      <c r="M59" s="67"/>
    </row>
    <row r="60" spans="1:13" s="75" customFormat="1" ht="18" customHeight="1">
      <c r="A60" s="627" t="s">
        <v>88</v>
      </c>
      <c r="B60" s="628"/>
      <c r="C60" s="628"/>
      <c r="D60" s="113"/>
      <c r="E60" s="114"/>
      <c r="F60" s="270"/>
      <c r="G60" s="271"/>
      <c r="H60" s="213"/>
      <c r="I60" s="67"/>
      <c r="J60" s="67"/>
      <c r="K60" s="213"/>
      <c r="L60" s="67"/>
      <c r="M60" s="67"/>
    </row>
    <row r="61" spans="1:13" s="75" customFormat="1" ht="18" customHeight="1">
      <c r="A61" s="644" t="s">
        <v>89</v>
      </c>
      <c r="B61" s="645"/>
      <c r="C61" s="646"/>
      <c r="D61" s="115"/>
      <c r="E61" s="214"/>
      <c r="F61" s="272"/>
      <c r="G61" s="176"/>
      <c r="H61" s="213"/>
      <c r="I61" s="67"/>
      <c r="J61" s="67"/>
      <c r="K61" s="213"/>
      <c r="L61" s="67"/>
      <c r="M61" s="67"/>
    </row>
    <row r="62" spans="1:13" s="75" customFormat="1" ht="18" customHeight="1">
      <c r="A62" s="223"/>
      <c r="B62" s="224"/>
      <c r="C62" s="224"/>
      <c r="D62" s="225"/>
      <c r="E62" s="226"/>
      <c r="F62" s="273"/>
      <c r="G62" s="274"/>
      <c r="H62" s="213"/>
      <c r="I62" s="67"/>
      <c r="J62" s="67"/>
      <c r="K62" s="213"/>
      <c r="L62" s="67"/>
      <c r="M62" s="67"/>
    </row>
    <row r="63" spans="1:13" ht="18" customHeight="1">
      <c r="A63" s="227" t="s">
        <v>753</v>
      </c>
      <c r="B63" s="227" t="s">
        <v>652</v>
      </c>
      <c r="C63" s="228" t="s">
        <v>653</v>
      </c>
      <c r="D63" s="82"/>
      <c r="E63" s="124"/>
      <c r="F63" s="97"/>
      <c r="G63" s="179"/>
      <c r="H63" s="203"/>
      <c r="I63" s="67"/>
      <c r="J63" s="67"/>
      <c r="K63" s="203"/>
      <c r="L63" s="67"/>
      <c r="M63" s="67"/>
    </row>
    <row r="64" spans="1:13" ht="18" customHeight="1">
      <c r="A64" s="80"/>
      <c r="B64" s="77"/>
      <c r="C64" s="229" t="s">
        <v>754</v>
      </c>
      <c r="D64" s="82"/>
      <c r="E64" s="124"/>
      <c r="F64" s="97"/>
      <c r="G64" s="179"/>
      <c r="H64" s="203"/>
      <c r="I64" s="67"/>
      <c r="J64" s="67"/>
      <c r="K64" s="203"/>
      <c r="L64" s="67"/>
      <c r="M64" s="67"/>
    </row>
    <row r="65" spans="1:13" ht="18" customHeight="1">
      <c r="A65" s="64" t="s">
        <v>755</v>
      </c>
      <c r="B65" s="77"/>
      <c r="C65" s="78" t="s">
        <v>756</v>
      </c>
      <c r="D65" s="82" t="s">
        <v>156</v>
      </c>
      <c r="E65" s="124">
        <f t="shared" si="28"/>
        <v>10</v>
      </c>
      <c r="F65" s="97"/>
      <c r="G65" s="179"/>
      <c r="H65" s="203" t="e">
        <f>SUM(H22,#REF!)</f>
        <v>#REF!</v>
      </c>
      <c r="I65" s="67" t="e">
        <f>AVERAGE(I22,#REF!)*5%</f>
        <v>#REF!</v>
      </c>
      <c r="J65" s="67" t="e">
        <f t="shared" ref="J65:J67" si="41">H65*I65</f>
        <v>#REF!</v>
      </c>
      <c r="K65" s="203">
        <f t="shared" ref="K65:K66" si="42">1*K$22</f>
        <v>6</v>
      </c>
      <c r="L65" s="67">
        <f>L22*5%</f>
        <v>170646.48749999999</v>
      </c>
      <c r="M65" s="67">
        <f t="shared" ref="M65:M67" si="43">K65*L65</f>
        <v>1023878.9249999999</v>
      </c>
    </row>
    <row r="66" spans="1:13" ht="18" customHeight="1">
      <c r="A66" s="64" t="s">
        <v>757</v>
      </c>
      <c r="B66" s="207"/>
      <c r="C66" s="153" t="s">
        <v>1592</v>
      </c>
      <c r="D66" s="64" t="s">
        <v>156</v>
      </c>
      <c r="E66" s="124">
        <f>1*E$22</f>
        <v>10</v>
      </c>
      <c r="F66" s="97"/>
      <c r="G66" s="179"/>
      <c r="H66" s="203" t="e">
        <f>SUM(H22,#REF!)</f>
        <v>#REF!</v>
      </c>
      <c r="I66" s="67">
        <f t="shared" ref="I66" si="44">980*1.15</f>
        <v>1127</v>
      </c>
      <c r="J66" s="67" t="e">
        <f t="shared" si="41"/>
        <v>#REF!</v>
      </c>
      <c r="K66" s="203">
        <f t="shared" si="42"/>
        <v>6</v>
      </c>
      <c r="L66" s="67">
        <f t="shared" ref="L66" si="45">980*1.15</f>
        <v>1127</v>
      </c>
      <c r="M66" s="67">
        <f t="shared" si="43"/>
        <v>6762</v>
      </c>
    </row>
    <row r="67" spans="1:13" ht="18" customHeight="1">
      <c r="A67" s="64" t="s">
        <v>758</v>
      </c>
      <c r="B67" s="77"/>
      <c r="C67" s="78" t="s">
        <v>759</v>
      </c>
      <c r="D67" s="82" t="s">
        <v>15</v>
      </c>
      <c r="E67" s="230">
        <v>1</v>
      </c>
      <c r="F67" s="97"/>
      <c r="G67" s="179"/>
      <c r="H67" s="231">
        <v>1</v>
      </c>
      <c r="I67" s="67">
        <f>90500*1.15*(H10/10)</f>
        <v>104074.99999999999</v>
      </c>
      <c r="J67" s="67">
        <f t="shared" si="41"/>
        <v>104074.99999999999</v>
      </c>
      <c r="K67" s="231">
        <v>1</v>
      </c>
      <c r="L67" s="67">
        <f>90500*1.15*(K10/10)</f>
        <v>62444.999999999985</v>
      </c>
      <c r="M67" s="67">
        <f t="shared" si="43"/>
        <v>62444.999999999985</v>
      </c>
    </row>
    <row r="68" spans="1:13" ht="13.5" customHeight="1">
      <c r="A68" s="64"/>
      <c r="B68" s="57"/>
      <c r="C68" s="209"/>
      <c r="D68" s="84"/>
      <c r="E68" s="232"/>
      <c r="F68" s="252"/>
      <c r="G68" s="253"/>
      <c r="H68" s="233"/>
      <c r="I68" s="234"/>
      <c r="J68" s="234"/>
      <c r="K68" s="233"/>
      <c r="L68" s="234"/>
      <c r="M68" s="234"/>
    </row>
    <row r="69" spans="1:13" ht="18" customHeight="1">
      <c r="A69" s="64" t="s">
        <v>760</v>
      </c>
      <c r="B69" s="211"/>
      <c r="C69" s="69" t="s">
        <v>1520</v>
      </c>
      <c r="D69" s="105"/>
      <c r="E69" s="124"/>
      <c r="F69" s="97"/>
      <c r="G69" s="179"/>
      <c r="H69" s="215"/>
      <c r="I69" s="67"/>
      <c r="J69" s="67"/>
      <c r="K69" s="215"/>
      <c r="L69" s="67"/>
      <c r="M69" s="67"/>
    </row>
    <row r="70" spans="1:13" ht="33" customHeight="1">
      <c r="A70" s="64" t="s">
        <v>761</v>
      </c>
      <c r="B70" s="77"/>
      <c r="C70" s="69" t="s">
        <v>1593</v>
      </c>
      <c r="D70" s="235"/>
      <c r="E70" s="236"/>
      <c r="F70" s="275"/>
      <c r="G70" s="276"/>
      <c r="H70" s="129"/>
      <c r="I70" s="129"/>
      <c r="J70" s="129"/>
      <c r="K70" s="129"/>
      <c r="L70" s="129"/>
      <c r="M70" s="129"/>
    </row>
    <row r="71" spans="1:13" ht="34.5" customHeight="1">
      <c r="A71" s="64" t="s">
        <v>762</v>
      </c>
      <c r="B71" s="77"/>
      <c r="C71" s="78" t="s">
        <v>1596</v>
      </c>
      <c r="D71" s="82" t="s">
        <v>156</v>
      </c>
      <c r="E71" s="124">
        <f>2*E22</f>
        <v>20</v>
      </c>
      <c r="F71" s="97"/>
      <c r="G71" s="277"/>
      <c r="H71" s="203">
        <f>2*H22</f>
        <v>12</v>
      </c>
      <c r="I71" s="238">
        <v>1207</v>
      </c>
      <c r="J71" s="63">
        <f t="shared" ref="J71:J79" si="46">H71*I71</f>
        <v>14484</v>
      </c>
      <c r="K71" s="203">
        <f>2*K22</f>
        <v>12</v>
      </c>
      <c r="L71" s="238">
        <v>1207</v>
      </c>
      <c r="M71" s="63">
        <f t="shared" ref="M71:M79" si="47">K71*L71</f>
        <v>14484</v>
      </c>
    </row>
    <row r="72" spans="1:13" ht="18" customHeight="1">
      <c r="A72" s="64" t="s">
        <v>763</v>
      </c>
      <c r="B72" s="77"/>
      <c r="C72" s="78" t="s">
        <v>603</v>
      </c>
      <c r="D72" s="82" t="s">
        <v>156</v>
      </c>
      <c r="E72" s="124">
        <v>2</v>
      </c>
      <c r="F72" s="97"/>
      <c r="G72" s="277"/>
      <c r="H72" s="203">
        <v>2</v>
      </c>
      <c r="I72" s="238">
        <v>2542.1125000000002</v>
      </c>
      <c r="J72" s="63">
        <f t="shared" si="46"/>
        <v>5084.2250000000004</v>
      </c>
      <c r="K72" s="203">
        <v>2</v>
      </c>
      <c r="L72" s="238">
        <v>2542.1125000000002</v>
      </c>
      <c r="M72" s="63">
        <f t="shared" si="47"/>
        <v>5084.2250000000004</v>
      </c>
    </row>
    <row r="73" spans="1:13" ht="34.5" customHeight="1">
      <c r="A73" s="64" t="s">
        <v>764</v>
      </c>
      <c r="B73" s="77"/>
      <c r="C73" s="78" t="s">
        <v>1597</v>
      </c>
      <c r="D73" s="82" t="s">
        <v>156</v>
      </c>
      <c r="E73" s="124">
        <v>1</v>
      </c>
      <c r="F73" s="97"/>
      <c r="G73" s="277"/>
      <c r="H73" s="203">
        <v>1</v>
      </c>
      <c r="I73" s="238">
        <f t="shared" ref="I73" si="48">3142.1125*1.1589</f>
        <v>3641.3941762500003</v>
      </c>
      <c r="J73" s="63">
        <f t="shared" si="46"/>
        <v>3641.3941762500003</v>
      </c>
      <c r="K73" s="203">
        <v>1</v>
      </c>
      <c r="L73" s="238">
        <f t="shared" ref="L73" si="49">3142.1125*1.1589</f>
        <v>3641.3941762500003</v>
      </c>
      <c r="M73" s="63">
        <f t="shared" si="47"/>
        <v>3641.3941762500003</v>
      </c>
    </row>
    <row r="74" spans="1:13" ht="18" customHeight="1">
      <c r="A74" s="64" t="s">
        <v>765</v>
      </c>
      <c r="B74" s="77"/>
      <c r="C74" s="78" t="s">
        <v>766</v>
      </c>
      <c r="D74" s="124" t="s">
        <v>152</v>
      </c>
      <c r="E74" s="124">
        <v>1</v>
      </c>
      <c r="F74" s="97"/>
      <c r="G74" s="277"/>
      <c r="H74" s="203">
        <v>1</v>
      </c>
      <c r="I74" s="238">
        <v>25042.112499999999</v>
      </c>
      <c r="J74" s="63">
        <f t="shared" si="46"/>
        <v>25042.112499999999</v>
      </c>
      <c r="K74" s="203">
        <v>1</v>
      </c>
      <c r="L74" s="238">
        <v>25042.112499999999</v>
      </c>
      <c r="M74" s="63">
        <f t="shared" si="47"/>
        <v>25042.112499999999</v>
      </c>
    </row>
    <row r="75" spans="1:13" ht="18" customHeight="1">
      <c r="A75" s="64" t="s">
        <v>767</v>
      </c>
      <c r="B75" s="57"/>
      <c r="C75" s="209" t="s">
        <v>730</v>
      </c>
      <c r="D75" s="82" t="s">
        <v>156</v>
      </c>
      <c r="E75" s="124">
        <v>3</v>
      </c>
      <c r="F75" s="97"/>
      <c r="G75" s="277"/>
      <c r="H75" s="203">
        <v>3</v>
      </c>
      <c r="I75" s="238">
        <v>2542.1125000000002</v>
      </c>
      <c r="J75" s="63">
        <f t="shared" si="46"/>
        <v>7626.3375000000005</v>
      </c>
      <c r="K75" s="203">
        <v>3</v>
      </c>
      <c r="L75" s="238">
        <v>2542.1125000000002</v>
      </c>
      <c r="M75" s="63">
        <f t="shared" si="47"/>
        <v>7626.3375000000005</v>
      </c>
    </row>
    <row r="76" spans="1:13" ht="18" customHeight="1">
      <c r="A76" s="64" t="s">
        <v>768</v>
      </c>
      <c r="B76" s="239"/>
      <c r="C76" s="78" t="s">
        <v>1598</v>
      </c>
      <c r="D76" s="105" t="s">
        <v>156</v>
      </c>
      <c r="E76" s="124">
        <f>1*'[2]3.2 -  Mech. New Belt Press '!E$9</f>
        <v>10</v>
      </c>
      <c r="F76" s="278"/>
      <c r="G76" s="277"/>
      <c r="H76" s="203">
        <f>1*'[2]3.2 -  Mech. New Belt Press '!H$9</f>
        <v>10</v>
      </c>
      <c r="I76" s="240">
        <f t="shared" ref="I76" si="50">150*1.1589</f>
        <v>173.83500000000001</v>
      </c>
      <c r="J76" s="63">
        <f t="shared" si="46"/>
        <v>1738.3500000000001</v>
      </c>
      <c r="K76" s="203">
        <f>1*'[2]3.2 -  Mech. New Belt Press '!K$9</f>
        <v>6</v>
      </c>
      <c r="L76" s="240">
        <f t="shared" ref="L76" si="51">150*1.1589</f>
        <v>173.83500000000001</v>
      </c>
      <c r="M76" s="63">
        <f t="shared" si="47"/>
        <v>1043.01</v>
      </c>
    </row>
    <row r="77" spans="1:13" ht="18" customHeight="1">
      <c r="A77" s="64" t="s">
        <v>769</v>
      </c>
      <c r="B77" s="77"/>
      <c r="C77" s="85" t="s">
        <v>770</v>
      </c>
      <c r="D77" s="105" t="s">
        <v>156</v>
      </c>
      <c r="E77" s="124">
        <f>4*'[2]3.2 -  Mech. New Belt Press '!E$9</f>
        <v>40</v>
      </c>
      <c r="F77" s="278"/>
      <c r="G77" s="277"/>
      <c r="H77" s="203">
        <f>4*'[2]3.2 -  Mech. New Belt Press '!H$9</f>
        <v>40</v>
      </c>
      <c r="I77" s="240">
        <f t="shared" ref="I77:L79" si="52">250*1.1589</f>
        <v>289.72500000000002</v>
      </c>
      <c r="J77" s="63">
        <f t="shared" si="46"/>
        <v>11589</v>
      </c>
      <c r="K77" s="203">
        <f>4*'[2]3.2 -  Mech. New Belt Press '!K$9</f>
        <v>24</v>
      </c>
      <c r="L77" s="240">
        <f t="shared" ref="L77" si="53">250*1.1589</f>
        <v>289.72500000000002</v>
      </c>
      <c r="M77" s="63">
        <f t="shared" si="47"/>
        <v>6953.4000000000005</v>
      </c>
    </row>
    <row r="78" spans="1:13" ht="18" customHeight="1">
      <c r="A78" s="64" t="s">
        <v>771</v>
      </c>
      <c r="B78" s="77"/>
      <c r="C78" s="85" t="s">
        <v>733</v>
      </c>
      <c r="D78" s="105" t="s">
        <v>156</v>
      </c>
      <c r="E78" s="124">
        <f>4*'[2]3.2 -  Mech. New Belt Press '!E$9</f>
        <v>40</v>
      </c>
      <c r="F78" s="278"/>
      <c r="G78" s="277"/>
      <c r="H78" s="203">
        <f>4*'[2]3.2 -  Mech. New Belt Press '!H$9</f>
        <v>40</v>
      </c>
      <c r="I78" s="240">
        <f t="shared" si="52"/>
        <v>289.72500000000002</v>
      </c>
      <c r="J78" s="63">
        <f t="shared" si="46"/>
        <v>11589</v>
      </c>
      <c r="K78" s="203">
        <f>4*'[2]3.2 -  Mech. New Belt Press '!K$9</f>
        <v>24</v>
      </c>
      <c r="L78" s="240">
        <f t="shared" si="52"/>
        <v>289.72500000000002</v>
      </c>
      <c r="M78" s="63">
        <f t="shared" si="47"/>
        <v>6953.4000000000005</v>
      </c>
    </row>
    <row r="79" spans="1:13" ht="33.75" customHeight="1">
      <c r="A79" s="64" t="s">
        <v>772</v>
      </c>
      <c r="B79" s="77"/>
      <c r="C79" s="209" t="s">
        <v>735</v>
      </c>
      <c r="D79" s="105" t="s">
        <v>156</v>
      </c>
      <c r="E79" s="124">
        <f>4*'[2]3.2 -  Mech. New Belt Press '!E$9</f>
        <v>40</v>
      </c>
      <c r="F79" s="278"/>
      <c r="G79" s="277"/>
      <c r="H79" s="203">
        <f>4*'[2]3.2 -  Mech. New Belt Press '!H$9</f>
        <v>40</v>
      </c>
      <c r="I79" s="240">
        <f t="shared" si="52"/>
        <v>289.72500000000002</v>
      </c>
      <c r="J79" s="63">
        <f t="shared" si="46"/>
        <v>11589</v>
      </c>
      <c r="K79" s="203">
        <f>4*'[2]3.2 -  Mech. New Belt Press '!K$9</f>
        <v>24</v>
      </c>
      <c r="L79" s="240">
        <f t="shared" si="52"/>
        <v>289.72500000000002</v>
      </c>
      <c r="M79" s="63">
        <f t="shared" si="47"/>
        <v>6953.4000000000005</v>
      </c>
    </row>
    <row r="80" spans="1:13">
      <c r="A80" s="64"/>
      <c r="B80" s="77"/>
      <c r="C80" s="209"/>
      <c r="D80" s="105"/>
      <c r="E80" s="124"/>
      <c r="F80" s="278"/>
      <c r="G80" s="277"/>
      <c r="H80" s="203"/>
      <c r="I80" s="240"/>
      <c r="J80" s="63"/>
      <c r="K80" s="203"/>
      <c r="L80" s="240"/>
      <c r="M80" s="63"/>
    </row>
    <row r="81" spans="1:13" ht="32.25" customHeight="1">
      <c r="A81" s="64" t="s">
        <v>773</v>
      </c>
      <c r="B81" s="211"/>
      <c r="C81" s="69" t="s">
        <v>1603</v>
      </c>
      <c r="D81" s="82"/>
      <c r="E81" s="124"/>
      <c r="F81" s="97"/>
      <c r="G81" s="179"/>
      <c r="H81" s="215"/>
      <c r="I81" s="67"/>
      <c r="J81" s="67"/>
      <c r="K81" s="215"/>
      <c r="L81" s="67"/>
      <c r="M81" s="67"/>
    </row>
    <row r="82" spans="1:13" ht="18" customHeight="1">
      <c r="A82" s="64" t="s">
        <v>774</v>
      </c>
      <c r="B82" s="57"/>
      <c r="C82" s="216" t="s">
        <v>1599</v>
      </c>
      <c r="D82" s="124" t="s">
        <v>156</v>
      </c>
      <c r="E82" s="124">
        <v>6</v>
      </c>
      <c r="F82" s="278"/>
      <c r="G82" s="179"/>
      <c r="H82" s="215">
        <v>4</v>
      </c>
      <c r="I82" s="240">
        <f t="shared" ref="I82:L85" si="54">250*1.1589</f>
        <v>289.72500000000002</v>
      </c>
      <c r="J82" s="67">
        <f t="shared" ref="J82:J86" si="55">H82*I82</f>
        <v>1158.9000000000001</v>
      </c>
      <c r="K82" s="215">
        <v>4</v>
      </c>
      <c r="L82" s="240">
        <f t="shared" ref="L82" si="56">250*1.1589</f>
        <v>289.72500000000002</v>
      </c>
      <c r="M82" s="67">
        <f t="shared" ref="M82:M86" si="57">K82*L82</f>
        <v>1158.9000000000001</v>
      </c>
    </row>
    <row r="83" spans="1:13" ht="18" customHeight="1">
      <c r="A83" s="64" t="s">
        <v>775</v>
      </c>
      <c r="B83" s="57"/>
      <c r="C83" s="216" t="s">
        <v>1600</v>
      </c>
      <c r="D83" s="124" t="s">
        <v>156</v>
      </c>
      <c r="E83" s="124">
        <v>2</v>
      </c>
      <c r="F83" s="278"/>
      <c r="G83" s="179"/>
      <c r="H83" s="215">
        <v>20</v>
      </c>
      <c r="I83" s="240">
        <f t="shared" si="54"/>
        <v>289.72500000000002</v>
      </c>
      <c r="J83" s="67">
        <f t="shared" si="55"/>
        <v>5794.5</v>
      </c>
      <c r="K83" s="215">
        <v>20</v>
      </c>
      <c r="L83" s="240">
        <f t="shared" si="54"/>
        <v>289.72500000000002</v>
      </c>
      <c r="M83" s="67">
        <f t="shared" si="57"/>
        <v>5794.5</v>
      </c>
    </row>
    <row r="84" spans="1:13" ht="33" customHeight="1">
      <c r="A84" s="64" t="s">
        <v>776</v>
      </c>
      <c r="B84" s="57"/>
      <c r="C84" s="216" t="s">
        <v>1601</v>
      </c>
      <c r="D84" s="124" t="s">
        <v>156</v>
      </c>
      <c r="E84" s="124">
        <v>20</v>
      </c>
      <c r="F84" s="278"/>
      <c r="G84" s="179"/>
      <c r="H84" s="215">
        <v>10</v>
      </c>
      <c r="I84" s="240">
        <f t="shared" si="54"/>
        <v>289.72500000000002</v>
      </c>
      <c r="J84" s="67">
        <f t="shared" si="55"/>
        <v>2897.25</v>
      </c>
      <c r="K84" s="215">
        <v>10</v>
      </c>
      <c r="L84" s="240">
        <f t="shared" si="54"/>
        <v>289.72500000000002</v>
      </c>
      <c r="M84" s="67">
        <f t="shared" si="57"/>
        <v>2897.25</v>
      </c>
    </row>
    <row r="85" spans="1:13" ht="34.5" customHeight="1">
      <c r="A85" s="64" t="s">
        <v>777</v>
      </c>
      <c r="B85" s="211"/>
      <c r="C85" s="216" t="s">
        <v>1602</v>
      </c>
      <c r="D85" s="124" t="s">
        <v>156</v>
      </c>
      <c r="E85" s="124">
        <v>10</v>
      </c>
      <c r="F85" s="278"/>
      <c r="G85" s="179"/>
      <c r="H85" s="215">
        <v>10</v>
      </c>
      <c r="I85" s="240">
        <f t="shared" si="54"/>
        <v>289.72500000000002</v>
      </c>
      <c r="J85" s="67">
        <f t="shared" si="55"/>
        <v>2897.25</v>
      </c>
      <c r="K85" s="215">
        <v>10</v>
      </c>
      <c r="L85" s="240">
        <f t="shared" si="54"/>
        <v>289.72500000000002</v>
      </c>
      <c r="M85" s="67">
        <f t="shared" si="57"/>
        <v>2897.25</v>
      </c>
    </row>
    <row r="86" spans="1:13" ht="18" customHeight="1">
      <c r="A86" s="64" t="s">
        <v>778</v>
      </c>
      <c r="B86" s="57"/>
      <c r="C86" s="217" t="s">
        <v>743</v>
      </c>
      <c r="D86" s="124" t="s">
        <v>152</v>
      </c>
      <c r="E86" s="124">
        <v>1</v>
      </c>
      <c r="F86" s="278"/>
      <c r="G86" s="179"/>
      <c r="H86" s="215">
        <v>1</v>
      </c>
      <c r="I86" s="240">
        <f t="shared" ref="I86" si="58">25000*1.1589</f>
        <v>28972.5</v>
      </c>
      <c r="J86" s="67">
        <f t="shared" si="55"/>
        <v>28972.5</v>
      </c>
      <c r="K86" s="215">
        <v>1</v>
      </c>
      <c r="L86" s="240">
        <f t="shared" ref="L86" si="59">25000*1.1589</f>
        <v>28972.5</v>
      </c>
      <c r="M86" s="67">
        <f t="shared" si="57"/>
        <v>28972.5</v>
      </c>
    </row>
    <row r="87" spans="1:13" ht="15.75" customHeight="1">
      <c r="A87" s="64"/>
      <c r="B87" s="57"/>
      <c r="C87" s="78"/>
      <c r="D87" s="124"/>
      <c r="E87" s="124"/>
      <c r="F87" s="278"/>
      <c r="G87" s="179"/>
      <c r="H87" s="215"/>
      <c r="I87" s="240"/>
      <c r="J87" s="67"/>
      <c r="K87" s="215"/>
      <c r="L87" s="240"/>
      <c r="M87" s="67"/>
    </row>
    <row r="88" spans="1:13" ht="18" customHeight="1">
      <c r="A88" s="64" t="s">
        <v>779</v>
      </c>
      <c r="B88" s="57"/>
      <c r="C88" s="156" t="s">
        <v>745</v>
      </c>
      <c r="D88" s="82"/>
      <c r="E88" s="86"/>
      <c r="F88" s="278"/>
      <c r="G88" s="179"/>
      <c r="H88" s="213"/>
      <c r="I88" s="240"/>
      <c r="J88" s="67"/>
      <c r="K88" s="213"/>
      <c r="L88" s="240"/>
      <c r="M88" s="67"/>
    </row>
    <row r="89" spans="1:13" ht="18" customHeight="1">
      <c r="A89" s="64" t="s">
        <v>780</v>
      </c>
      <c r="B89" s="211"/>
      <c r="C89" s="78" t="s">
        <v>747</v>
      </c>
      <c r="D89" s="86" t="s">
        <v>156</v>
      </c>
      <c r="E89" s="86">
        <v>10</v>
      </c>
      <c r="F89" s="278"/>
      <c r="G89" s="179"/>
      <c r="H89" s="213">
        <v>10</v>
      </c>
      <c r="I89" s="240">
        <f t="shared" ref="I89:L90" si="60">25000*1.1589</f>
        <v>28972.5</v>
      </c>
      <c r="J89" s="67">
        <f t="shared" ref="J89:J90" si="61">H89*I89</f>
        <v>289725</v>
      </c>
      <c r="K89" s="213">
        <v>10</v>
      </c>
      <c r="L89" s="240">
        <f t="shared" si="60"/>
        <v>28972.5</v>
      </c>
      <c r="M89" s="67">
        <f t="shared" ref="M89:M90" si="62">K89*L89</f>
        <v>289725</v>
      </c>
    </row>
    <row r="90" spans="1:13" ht="18" customHeight="1">
      <c r="A90" s="64" t="s">
        <v>781</v>
      </c>
      <c r="B90" s="218"/>
      <c r="C90" s="78" t="s">
        <v>1840</v>
      </c>
      <c r="D90" s="124" t="s">
        <v>152</v>
      </c>
      <c r="E90" s="219">
        <v>1</v>
      </c>
      <c r="F90" s="278"/>
      <c r="G90" s="179"/>
      <c r="H90" s="220">
        <v>1</v>
      </c>
      <c r="I90" s="240">
        <f t="shared" si="60"/>
        <v>28972.5</v>
      </c>
      <c r="J90" s="67">
        <f t="shared" si="61"/>
        <v>28972.5</v>
      </c>
      <c r="K90" s="220">
        <v>1</v>
      </c>
      <c r="L90" s="240">
        <f t="shared" si="60"/>
        <v>28972.5</v>
      </c>
      <c r="M90" s="67">
        <f t="shared" si="62"/>
        <v>28972.5</v>
      </c>
    </row>
    <row r="91" spans="1:13" ht="15.75" customHeight="1">
      <c r="A91" s="64"/>
      <c r="B91" s="218"/>
      <c r="C91" s="78"/>
      <c r="D91" s="86"/>
      <c r="E91" s="219"/>
      <c r="F91" s="278"/>
      <c r="G91" s="179"/>
      <c r="H91" s="220"/>
      <c r="I91" s="240"/>
      <c r="J91" s="67"/>
      <c r="K91" s="220"/>
      <c r="L91" s="240"/>
      <c r="M91" s="67"/>
    </row>
    <row r="92" spans="1:13" ht="18" customHeight="1">
      <c r="A92" s="64" t="s">
        <v>782</v>
      </c>
      <c r="B92" s="218"/>
      <c r="C92" s="241" t="s">
        <v>783</v>
      </c>
      <c r="D92" s="86"/>
      <c r="E92" s="219"/>
      <c r="F92" s="278"/>
      <c r="G92" s="179"/>
      <c r="H92" s="220"/>
      <c r="I92" s="240"/>
      <c r="J92" s="67"/>
      <c r="K92" s="220"/>
      <c r="L92" s="240"/>
      <c r="M92" s="67"/>
    </row>
    <row r="93" spans="1:13" ht="32.25" customHeight="1">
      <c r="A93" s="64"/>
      <c r="B93" s="211"/>
      <c r="C93" s="242" t="s">
        <v>752</v>
      </c>
      <c r="D93" s="124"/>
      <c r="E93" s="124"/>
      <c r="F93" s="97"/>
      <c r="G93" s="179"/>
      <c r="H93" s="215">
        <v>1</v>
      </c>
      <c r="I93" s="67">
        <f t="shared" ref="I93" si="63">(2187472/155)</f>
        <v>14112.722580645161</v>
      </c>
      <c r="J93" s="67">
        <f t="shared" ref="J93" si="64">H93*I93</f>
        <v>14112.722580645161</v>
      </c>
      <c r="K93" s="215">
        <v>1</v>
      </c>
      <c r="L93" s="67">
        <f t="shared" ref="L93" si="65">(2187472/155)</f>
        <v>14112.722580645161</v>
      </c>
      <c r="M93" s="67">
        <f t="shared" ref="M93" si="66">K93*L93</f>
        <v>14112.722580645161</v>
      </c>
    </row>
    <row r="94" spans="1:13" ht="32.25" customHeight="1">
      <c r="A94" s="64" t="s">
        <v>784</v>
      </c>
      <c r="B94" s="243" t="s">
        <v>652</v>
      </c>
      <c r="C94" s="78" t="s">
        <v>1848</v>
      </c>
      <c r="D94" s="124" t="s">
        <v>152</v>
      </c>
      <c r="E94" s="124">
        <v>1</v>
      </c>
      <c r="F94" s="279"/>
      <c r="G94" s="179"/>
      <c r="H94" s="244"/>
      <c r="I94" s="67"/>
      <c r="J94" s="67"/>
      <c r="K94" s="244"/>
      <c r="L94" s="67"/>
      <c r="M94" s="67"/>
    </row>
    <row r="95" spans="1:13" ht="32.25" customHeight="1">
      <c r="A95" s="64" t="s">
        <v>1845</v>
      </c>
      <c r="B95" s="243" t="s">
        <v>652</v>
      </c>
      <c r="C95" s="78" t="s">
        <v>1849</v>
      </c>
      <c r="D95" s="124" t="s">
        <v>152</v>
      </c>
      <c r="E95" s="124">
        <v>1</v>
      </c>
      <c r="F95" s="279"/>
      <c r="G95" s="179"/>
      <c r="H95" s="244"/>
      <c r="I95" s="67"/>
      <c r="J95" s="67"/>
      <c r="K95" s="244"/>
      <c r="L95" s="67"/>
      <c r="M95" s="67"/>
    </row>
    <row r="96" spans="1:13" ht="50.25" customHeight="1">
      <c r="A96" s="64" t="s">
        <v>1846</v>
      </c>
      <c r="B96" s="211"/>
      <c r="C96" s="78" t="s">
        <v>1847</v>
      </c>
      <c r="D96" s="124" t="s">
        <v>152</v>
      </c>
      <c r="E96" s="124">
        <v>1</v>
      </c>
      <c r="F96" s="279"/>
      <c r="G96" s="179"/>
      <c r="H96" s="244"/>
      <c r="I96" s="67"/>
      <c r="J96" s="67"/>
      <c r="K96" s="244"/>
      <c r="L96" s="67"/>
      <c r="M96" s="67"/>
    </row>
    <row r="97" spans="1:13">
      <c r="A97" s="64"/>
      <c r="B97" s="211"/>
      <c r="C97" s="78"/>
      <c r="D97" s="124"/>
      <c r="E97" s="86"/>
      <c r="F97" s="279"/>
      <c r="G97" s="179"/>
      <c r="H97" s="244"/>
      <c r="I97" s="67"/>
      <c r="J97" s="67"/>
      <c r="K97" s="244"/>
      <c r="L97" s="67"/>
      <c r="M97" s="67"/>
    </row>
    <row r="98" spans="1:13" ht="18" customHeight="1">
      <c r="A98" s="627" t="s">
        <v>88</v>
      </c>
      <c r="B98" s="628"/>
      <c r="C98" s="628"/>
      <c r="D98" s="113"/>
      <c r="E98" s="245"/>
      <c r="F98" s="99"/>
      <c r="G98" s="176"/>
      <c r="H98" s="244"/>
      <c r="I98" s="67"/>
      <c r="J98" s="67"/>
      <c r="K98" s="244"/>
      <c r="L98" s="67"/>
      <c r="M98" s="67"/>
    </row>
    <row r="99" spans="1:13" ht="18" customHeight="1">
      <c r="A99" s="644" t="s">
        <v>89</v>
      </c>
      <c r="B99" s="645"/>
      <c r="C99" s="646"/>
      <c r="D99" s="115"/>
      <c r="E99" s="116"/>
      <c r="F99" s="280"/>
      <c r="G99" s="176"/>
      <c r="H99" s="244"/>
      <c r="I99" s="67"/>
      <c r="J99" s="67"/>
      <c r="K99" s="244"/>
      <c r="L99" s="67"/>
      <c r="M99" s="67"/>
    </row>
    <row r="100" spans="1:13">
      <c r="A100" s="64"/>
      <c r="B100" s="211"/>
      <c r="C100" s="78"/>
      <c r="D100" s="124"/>
      <c r="E100" s="86"/>
      <c r="F100" s="279"/>
      <c r="G100" s="179"/>
      <c r="H100" s="244"/>
      <c r="I100" s="67"/>
      <c r="J100" s="67"/>
      <c r="K100" s="244"/>
      <c r="L100" s="67"/>
      <c r="M100" s="67"/>
    </row>
    <row r="101" spans="1:13" ht="24.75" customHeight="1">
      <c r="A101" s="56" t="s">
        <v>785</v>
      </c>
      <c r="B101" s="227" t="s">
        <v>1892</v>
      </c>
      <c r="C101" s="246" t="s">
        <v>1605</v>
      </c>
      <c r="D101" s="82"/>
      <c r="E101" s="86"/>
      <c r="F101" s="278"/>
      <c r="G101" s="179"/>
      <c r="H101" s="244"/>
      <c r="I101" s="67"/>
      <c r="J101" s="67"/>
      <c r="K101" s="244"/>
      <c r="L101" s="67"/>
      <c r="M101" s="67"/>
    </row>
    <row r="102" spans="1:13" ht="18" customHeight="1">
      <c r="A102" s="59" t="s">
        <v>786</v>
      </c>
      <c r="B102" s="125"/>
      <c r="C102" s="156" t="s">
        <v>1522</v>
      </c>
      <c r="D102" s="64" t="s">
        <v>152</v>
      </c>
      <c r="E102" s="86">
        <v>1</v>
      </c>
      <c r="F102" s="97"/>
      <c r="G102" s="179"/>
      <c r="H102" s="244"/>
      <c r="I102" s="67"/>
      <c r="J102" s="67"/>
      <c r="K102" s="244"/>
      <c r="L102" s="67"/>
      <c r="M102" s="67"/>
    </row>
    <row r="103" spans="1:13" ht="18" customHeight="1">
      <c r="A103" s="59" t="s">
        <v>787</v>
      </c>
      <c r="B103" s="206"/>
      <c r="C103" s="69" t="s">
        <v>788</v>
      </c>
      <c r="D103" s="64"/>
      <c r="E103" s="86"/>
      <c r="F103" s="97"/>
      <c r="G103" s="179"/>
      <c r="H103" s="244"/>
      <c r="I103" s="67"/>
      <c r="J103" s="67"/>
      <c r="K103" s="244"/>
      <c r="L103" s="67"/>
      <c r="M103" s="67"/>
    </row>
    <row r="104" spans="1:13" ht="18" customHeight="1">
      <c r="A104" s="59" t="s">
        <v>789</v>
      </c>
      <c r="B104" s="207"/>
      <c r="C104" s="153" t="s">
        <v>790</v>
      </c>
      <c r="D104" s="64" t="s">
        <v>156</v>
      </c>
      <c r="E104" s="124">
        <v>1</v>
      </c>
      <c r="F104" s="97"/>
      <c r="G104" s="179"/>
      <c r="H104" s="244"/>
      <c r="I104" s="67"/>
      <c r="J104" s="67"/>
      <c r="K104" s="244"/>
      <c r="L104" s="67"/>
      <c r="M104" s="67"/>
    </row>
    <row r="105" spans="1:13" ht="18" customHeight="1">
      <c r="A105" s="59" t="s">
        <v>791</v>
      </c>
      <c r="B105" s="76"/>
      <c r="C105" s="247" t="s">
        <v>792</v>
      </c>
      <c r="D105" s="64" t="s">
        <v>156</v>
      </c>
      <c r="E105" s="124">
        <v>1</v>
      </c>
      <c r="F105" s="97"/>
      <c r="G105" s="179"/>
      <c r="H105" s="244"/>
      <c r="I105" s="67"/>
      <c r="J105" s="67"/>
      <c r="K105" s="244"/>
      <c r="L105" s="67"/>
      <c r="M105" s="67"/>
    </row>
    <row r="106" spans="1:13" ht="18" customHeight="1">
      <c r="A106" s="59" t="s">
        <v>793</v>
      </c>
      <c r="B106" s="57"/>
      <c r="C106" s="209" t="s">
        <v>794</v>
      </c>
      <c r="D106" s="64" t="s">
        <v>156</v>
      </c>
      <c r="E106" s="124">
        <v>4</v>
      </c>
      <c r="F106" s="97"/>
      <c r="G106" s="179"/>
      <c r="H106" s="244"/>
      <c r="I106" s="67"/>
      <c r="J106" s="67"/>
      <c r="K106" s="244"/>
      <c r="L106" s="67"/>
      <c r="M106" s="67"/>
    </row>
    <row r="107" spans="1:13" ht="18" customHeight="1">
      <c r="A107" s="59" t="s">
        <v>795</v>
      </c>
      <c r="B107" s="76"/>
      <c r="C107" s="247" t="s">
        <v>1523</v>
      </c>
      <c r="D107" s="64" t="s">
        <v>156</v>
      </c>
      <c r="E107" s="124">
        <v>24</v>
      </c>
      <c r="F107" s="97"/>
      <c r="G107" s="179"/>
      <c r="H107" s="244"/>
      <c r="I107" s="67"/>
      <c r="J107" s="67"/>
      <c r="K107" s="244"/>
      <c r="L107" s="67"/>
      <c r="M107" s="67"/>
    </row>
    <row r="108" spans="1:13" ht="18" customHeight="1">
      <c r="A108" s="59" t="s">
        <v>796</v>
      </c>
      <c r="B108" s="76"/>
      <c r="C108" s="209" t="s">
        <v>797</v>
      </c>
      <c r="D108" s="64" t="s">
        <v>156</v>
      </c>
      <c r="E108" s="124">
        <v>2</v>
      </c>
      <c r="F108" s="97"/>
      <c r="G108" s="179"/>
      <c r="H108" s="244"/>
      <c r="I108" s="67"/>
      <c r="J108" s="67"/>
      <c r="K108" s="244"/>
      <c r="L108" s="67"/>
      <c r="M108" s="67"/>
    </row>
    <row r="109" spans="1:13" ht="18" customHeight="1">
      <c r="A109" s="59" t="s">
        <v>798</v>
      </c>
      <c r="B109" s="77"/>
      <c r="C109" s="78" t="s">
        <v>799</v>
      </c>
      <c r="D109" s="64" t="s">
        <v>156</v>
      </c>
      <c r="E109" s="124">
        <v>2</v>
      </c>
      <c r="F109" s="97"/>
      <c r="G109" s="179"/>
      <c r="H109" s="244"/>
      <c r="I109" s="67"/>
      <c r="J109" s="67"/>
      <c r="K109" s="244"/>
      <c r="L109" s="67"/>
      <c r="M109" s="67"/>
    </row>
    <row r="110" spans="1:13" ht="18" customHeight="1">
      <c r="A110" s="59" t="s">
        <v>800</v>
      </c>
      <c r="B110" s="77"/>
      <c r="C110" s="79" t="s">
        <v>1524</v>
      </c>
      <c r="D110" s="64" t="s">
        <v>156</v>
      </c>
      <c r="E110" s="586">
        <v>100</v>
      </c>
      <c r="F110" s="97"/>
      <c r="G110" s="179"/>
      <c r="H110" s="244"/>
      <c r="I110" s="67"/>
      <c r="J110" s="67"/>
      <c r="K110" s="244"/>
      <c r="L110" s="67"/>
      <c r="M110" s="67"/>
    </row>
    <row r="111" spans="1:13" ht="18" customHeight="1">
      <c r="A111" s="59"/>
      <c r="B111" s="77"/>
      <c r="C111" s="79"/>
      <c r="D111" s="64"/>
      <c r="E111" s="124"/>
      <c r="F111" s="97"/>
      <c r="G111" s="179"/>
      <c r="H111" s="244"/>
      <c r="I111" s="67"/>
      <c r="J111" s="67"/>
      <c r="K111" s="244"/>
      <c r="L111" s="67"/>
      <c r="M111" s="67"/>
    </row>
    <row r="112" spans="1:13" ht="18" customHeight="1">
      <c r="A112" s="59" t="s">
        <v>801</v>
      </c>
      <c r="B112" s="77"/>
      <c r="C112" s="69" t="s">
        <v>802</v>
      </c>
      <c r="D112" s="82"/>
      <c r="E112" s="124"/>
      <c r="F112" s="97"/>
      <c r="G112" s="179"/>
      <c r="H112" s="244"/>
      <c r="I112" s="67"/>
      <c r="J112" s="67"/>
      <c r="K112" s="244"/>
      <c r="L112" s="67"/>
      <c r="M112" s="67"/>
    </row>
    <row r="113" spans="1:13" ht="18" customHeight="1">
      <c r="A113" s="59" t="s">
        <v>803</v>
      </c>
      <c r="B113" s="77"/>
      <c r="C113" s="78" t="s">
        <v>804</v>
      </c>
      <c r="D113" s="64" t="s">
        <v>156</v>
      </c>
      <c r="E113" s="230">
        <f>12*E$15</f>
        <v>0</v>
      </c>
      <c r="F113" s="97"/>
      <c r="G113" s="179"/>
      <c r="H113" s="244"/>
      <c r="I113" s="67"/>
      <c r="J113" s="67"/>
      <c r="K113" s="244"/>
      <c r="L113" s="67"/>
      <c r="M113" s="67"/>
    </row>
    <row r="114" spans="1:13" ht="18" customHeight="1">
      <c r="A114" s="59" t="s">
        <v>805</v>
      </c>
      <c r="B114" s="57"/>
      <c r="C114" s="209" t="s">
        <v>806</v>
      </c>
      <c r="D114" s="64" t="s">
        <v>156</v>
      </c>
      <c r="E114" s="230">
        <f>2*E$15</f>
        <v>0</v>
      </c>
      <c r="F114" s="97"/>
      <c r="G114" s="179"/>
      <c r="H114" s="244"/>
      <c r="I114" s="67"/>
      <c r="J114" s="67"/>
      <c r="K114" s="244"/>
      <c r="L114" s="67"/>
      <c r="M114" s="67"/>
    </row>
    <row r="115" spans="1:13" ht="18" customHeight="1">
      <c r="A115" s="59" t="s">
        <v>807</v>
      </c>
      <c r="B115" s="239"/>
      <c r="C115" s="209" t="s">
        <v>808</v>
      </c>
      <c r="D115" s="64" t="s">
        <v>156</v>
      </c>
      <c r="E115" s="230">
        <f>2*E$15</f>
        <v>0</v>
      </c>
      <c r="F115" s="97"/>
      <c r="G115" s="179"/>
      <c r="H115" s="244"/>
      <c r="I115" s="67"/>
      <c r="J115" s="67"/>
      <c r="K115" s="244"/>
      <c r="L115" s="67"/>
      <c r="M115" s="67"/>
    </row>
    <row r="116" spans="1:13" ht="18" customHeight="1">
      <c r="A116" s="59" t="s">
        <v>809</v>
      </c>
      <c r="B116" s="77"/>
      <c r="C116" s="85" t="s">
        <v>1525</v>
      </c>
      <c r="D116" s="64" t="s">
        <v>156</v>
      </c>
      <c r="E116" s="230">
        <f>4*E$15</f>
        <v>0</v>
      </c>
      <c r="F116" s="97"/>
      <c r="G116" s="179"/>
      <c r="H116" s="244"/>
      <c r="I116" s="67"/>
      <c r="J116" s="67"/>
      <c r="K116" s="244"/>
      <c r="L116" s="67"/>
      <c r="M116" s="67"/>
    </row>
    <row r="117" spans="1:13" ht="18" customHeight="1">
      <c r="A117" s="59" t="s">
        <v>810</v>
      </c>
      <c r="B117" s="77"/>
      <c r="C117" s="85" t="s">
        <v>811</v>
      </c>
      <c r="D117" s="64" t="s">
        <v>156</v>
      </c>
      <c r="E117" s="230">
        <f>2*E$15</f>
        <v>0</v>
      </c>
      <c r="F117" s="97"/>
      <c r="G117" s="179"/>
    </row>
    <row r="118" spans="1:13" ht="18" customHeight="1">
      <c r="A118" s="59"/>
      <c r="B118" s="77"/>
      <c r="C118" s="85"/>
      <c r="D118" s="64"/>
      <c r="E118" s="230"/>
      <c r="F118" s="97"/>
      <c r="G118" s="179"/>
    </row>
    <row r="119" spans="1:13" ht="18" customHeight="1">
      <c r="A119" s="59" t="s">
        <v>812</v>
      </c>
      <c r="B119" s="77"/>
      <c r="C119" s="69" t="s">
        <v>813</v>
      </c>
      <c r="D119" s="64"/>
      <c r="E119" s="124"/>
      <c r="F119" s="97"/>
      <c r="G119" s="179"/>
    </row>
    <row r="120" spans="1:13" ht="18" customHeight="1">
      <c r="A120" s="59" t="s">
        <v>814</v>
      </c>
      <c r="B120" s="77"/>
      <c r="C120" s="85" t="s">
        <v>815</v>
      </c>
      <c r="D120" s="64" t="s">
        <v>156</v>
      </c>
      <c r="E120" s="230">
        <f>44*2</f>
        <v>88</v>
      </c>
      <c r="F120" s="97"/>
      <c r="G120" s="179"/>
    </row>
    <row r="121" spans="1:13" ht="18" customHeight="1">
      <c r="A121" s="59" t="s">
        <v>816</v>
      </c>
      <c r="B121" s="77"/>
      <c r="C121" s="85" t="s">
        <v>817</v>
      </c>
      <c r="D121" s="64" t="s">
        <v>156</v>
      </c>
      <c r="E121" s="230">
        <v>88</v>
      </c>
      <c r="F121" s="97"/>
      <c r="G121" s="179"/>
    </row>
    <row r="122" spans="1:13" ht="18" customHeight="1">
      <c r="A122" s="59" t="s">
        <v>818</v>
      </c>
      <c r="B122" s="77"/>
      <c r="C122" s="85" t="s">
        <v>819</v>
      </c>
      <c r="D122" s="64" t="s">
        <v>156</v>
      </c>
      <c r="E122" s="230">
        <f>2*E$15</f>
        <v>0</v>
      </c>
      <c r="F122" s="97"/>
      <c r="G122" s="179"/>
    </row>
    <row r="123" spans="1:13" ht="18" customHeight="1">
      <c r="A123" s="59" t="s">
        <v>820</v>
      </c>
      <c r="B123" s="77"/>
      <c r="C123" s="85" t="s">
        <v>1604</v>
      </c>
      <c r="D123" s="64" t="s">
        <v>156</v>
      </c>
      <c r="E123" s="230">
        <f>8*E$15</f>
        <v>0</v>
      </c>
      <c r="F123" s="97"/>
      <c r="G123" s="179"/>
    </row>
    <row r="124" spans="1:13" ht="11.25" customHeight="1">
      <c r="A124" s="59"/>
      <c r="B124" s="77"/>
      <c r="C124" s="85"/>
      <c r="D124" s="64"/>
      <c r="E124" s="124"/>
      <c r="F124" s="97"/>
      <c r="G124" s="179"/>
    </row>
    <row r="125" spans="1:13" ht="18" customHeight="1">
      <c r="A125" s="59" t="s">
        <v>821</v>
      </c>
      <c r="B125" s="77"/>
      <c r="C125" s="69" t="s">
        <v>822</v>
      </c>
      <c r="D125" s="64"/>
      <c r="E125" s="124"/>
      <c r="F125" s="97"/>
      <c r="G125" s="179"/>
    </row>
    <row r="126" spans="1:13" ht="18" customHeight="1">
      <c r="A126" s="59" t="s">
        <v>823</v>
      </c>
      <c r="B126" s="77"/>
      <c r="C126" s="85" t="s">
        <v>824</v>
      </c>
      <c r="D126" s="64" t="s">
        <v>156</v>
      </c>
      <c r="E126" s="230">
        <f>2*E$15</f>
        <v>0</v>
      </c>
      <c r="F126" s="97"/>
      <c r="G126" s="179"/>
    </row>
    <row r="127" spans="1:13" ht="18" customHeight="1">
      <c r="A127" s="59" t="s">
        <v>825</v>
      </c>
      <c r="B127" s="77"/>
      <c r="C127" s="85" t="s">
        <v>826</v>
      </c>
      <c r="D127" s="64" t="s">
        <v>156</v>
      </c>
      <c r="E127" s="230">
        <f t="shared" ref="E127:E132" si="67">2*E$15</f>
        <v>0</v>
      </c>
      <c r="F127" s="97"/>
      <c r="G127" s="179"/>
    </row>
    <row r="128" spans="1:13" ht="18" customHeight="1">
      <c r="A128" s="59" t="s">
        <v>827</v>
      </c>
      <c r="B128" s="77"/>
      <c r="C128" s="85" t="s">
        <v>828</v>
      </c>
      <c r="D128" s="64" t="s">
        <v>156</v>
      </c>
      <c r="E128" s="230">
        <f>16*E$15</f>
        <v>0</v>
      </c>
      <c r="F128" s="97"/>
      <c r="G128" s="179"/>
    </row>
    <row r="129" spans="1:7" ht="18" customHeight="1">
      <c r="A129" s="59" t="s">
        <v>829</v>
      </c>
      <c r="B129" s="77"/>
      <c r="C129" s="85" t="s">
        <v>1516</v>
      </c>
      <c r="D129" s="64" t="s">
        <v>156</v>
      </c>
      <c r="E129" s="230">
        <f>10*E$15</f>
        <v>0</v>
      </c>
      <c r="F129" s="97"/>
      <c r="G129" s="179"/>
    </row>
    <row r="130" spans="1:7" ht="18" customHeight="1">
      <c r="A130" s="59" t="s">
        <v>830</v>
      </c>
      <c r="B130" s="77"/>
      <c r="C130" s="85" t="s">
        <v>831</v>
      </c>
      <c r="D130" s="64" t="s">
        <v>156</v>
      </c>
      <c r="E130" s="230">
        <f>4*E$15</f>
        <v>0</v>
      </c>
      <c r="F130" s="97"/>
      <c r="G130" s="179"/>
    </row>
    <row r="131" spans="1:7" ht="18" customHeight="1">
      <c r="A131" s="59" t="s">
        <v>832</v>
      </c>
      <c r="B131" s="77"/>
      <c r="C131" s="85" t="s">
        <v>833</v>
      </c>
      <c r="D131" s="64" t="s">
        <v>156</v>
      </c>
      <c r="E131" s="230">
        <f t="shared" si="67"/>
        <v>0</v>
      </c>
      <c r="F131" s="97"/>
      <c r="G131" s="179"/>
    </row>
    <row r="132" spans="1:7" ht="18" customHeight="1">
      <c r="A132" s="59" t="s">
        <v>834</v>
      </c>
      <c r="B132" s="77"/>
      <c r="C132" s="85" t="s">
        <v>835</v>
      </c>
      <c r="D132" s="64" t="s">
        <v>156</v>
      </c>
      <c r="E132" s="230">
        <f t="shared" si="67"/>
        <v>0</v>
      </c>
      <c r="F132" s="97"/>
      <c r="G132" s="179"/>
    </row>
    <row r="133" spans="1:7" ht="18" customHeight="1">
      <c r="A133" s="59" t="s">
        <v>836</v>
      </c>
      <c r="B133" s="77"/>
      <c r="C133" s="85" t="s">
        <v>837</v>
      </c>
      <c r="D133" s="64" t="s">
        <v>156</v>
      </c>
      <c r="E133" s="230">
        <f>4*E$15</f>
        <v>0</v>
      </c>
      <c r="F133" s="97"/>
      <c r="G133" s="179"/>
    </row>
    <row r="134" spans="1:7" ht="18" customHeight="1">
      <c r="A134" s="59"/>
      <c r="B134" s="77"/>
      <c r="C134" s="85"/>
      <c r="D134" s="64"/>
      <c r="E134" s="230"/>
      <c r="F134" s="97"/>
      <c r="G134" s="179"/>
    </row>
    <row r="135" spans="1:7" ht="18" customHeight="1">
      <c r="A135" s="59" t="s">
        <v>838</v>
      </c>
      <c r="B135" s="77"/>
      <c r="C135" s="69" t="s">
        <v>839</v>
      </c>
      <c r="D135" s="105"/>
      <c r="E135" s="124"/>
      <c r="F135" s="97"/>
      <c r="G135" s="179"/>
    </row>
    <row r="136" spans="1:7" ht="18" customHeight="1">
      <c r="A136" s="59" t="s">
        <v>840</v>
      </c>
      <c r="B136" s="77"/>
      <c r="C136" s="85" t="s">
        <v>841</v>
      </c>
      <c r="D136" s="64" t="s">
        <v>156</v>
      </c>
      <c r="E136" s="230">
        <v>2</v>
      </c>
      <c r="F136" s="97"/>
      <c r="G136" s="179"/>
    </row>
    <row r="137" spans="1:7" ht="18" customHeight="1">
      <c r="A137" s="59" t="s">
        <v>842</v>
      </c>
      <c r="B137" s="77"/>
      <c r="C137" s="85" t="s">
        <v>843</v>
      </c>
      <c r="D137" s="64" t="s">
        <v>156</v>
      </c>
      <c r="E137" s="230">
        <v>2</v>
      </c>
      <c r="F137" s="97"/>
      <c r="G137" s="179"/>
    </row>
    <row r="138" spans="1:7" ht="18" customHeight="1">
      <c r="A138" s="59" t="s">
        <v>844</v>
      </c>
      <c r="B138" s="77"/>
      <c r="C138" s="85" t="s">
        <v>845</v>
      </c>
      <c r="D138" s="64" t="s">
        <v>156</v>
      </c>
      <c r="E138" s="230">
        <v>2</v>
      </c>
      <c r="F138" s="97"/>
      <c r="G138" s="179"/>
    </row>
    <row r="139" spans="1:7" ht="18" customHeight="1">
      <c r="A139" s="59" t="s">
        <v>846</v>
      </c>
      <c r="B139" s="77"/>
      <c r="C139" s="85" t="s">
        <v>847</v>
      </c>
      <c r="D139" s="64" t="s">
        <v>156</v>
      </c>
      <c r="E139" s="230">
        <v>2</v>
      </c>
      <c r="F139" s="97"/>
      <c r="G139" s="179"/>
    </row>
    <row r="140" spans="1:7" ht="18" customHeight="1">
      <c r="A140" s="59" t="s">
        <v>848</v>
      </c>
      <c r="B140" s="77"/>
      <c r="C140" s="85" t="s">
        <v>849</v>
      </c>
      <c r="D140" s="64" t="s">
        <v>156</v>
      </c>
      <c r="E140" s="230">
        <v>2</v>
      </c>
      <c r="F140" s="97"/>
      <c r="G140" s="179"/>
    </row>
    <row r="141" spans="1:7" ht="18" customHeight="1">
      <c r="A141" s="59" t="s">
        <v>850</v>
      </c>
      <c r="B141" s="77"/>
      <c r="C141" s="85" t="s">
        <v>841</v>
      </c>
      <c r="D141" s="64" t="s">
        <v>156</v>
      </c>
      <c r="E141" s="230">
        <v>2</v>
      </c>
      <c r="F141" s="97"/>
      <c r="G141" s="179"/>
    </row>
    <row r="142" spans="1:7" ht="18" customHeight="1">
      <c r="A142" s="59" t="s">
        <v>851</v>
      </c>
      <c r="B142" s="77"/>
      <c r="C142" s="85" t="s">
        <v>852</v>
      </c>
      <c r="D142" s="64" t="s">
        <v>156</v>
      </c>
      <c r="E142" s="230">
        <v>4</v>
      </c>
      <c r="F142" s="97"/>
      <c r="G142" s="179"/>
    </row>
    <row r="143" spans="1:7" ht="18" customHeight="1">
      <c r="A143" s="59" t="s">
        <v>853</v>
      </c>
      <c r="B143" s="77"/>
      <c r="C143" s="85" t="s">
        <v>854</v>
      </c>
      <c r="D143" s="64" t="s">
        <v>156</v>
      </c>
      <c r="E143" s="230">
        <v>4</v>
      </c>
      <c r="F143" s="97"/>
      <c r="G143" s="179"/>
    </row>
    <row r="144" spans="1:7" ht="18" customHeight="1">
      <c r="A144" s="59" t="s">
        <v>855</v>
      </c>
      <c r="B144" s="77"/>
      <c r="C144" s="85" t="s">
        <v>856</v>
      </c>
      <c r="D144" s="64" t="s">
        <v>156</v>
      </c>
      <c r="E144" s="230">
        <v>2</v>
      </c>
      <c r="F144" s="97"/>
      <c r="G144" s="179"/>
    </row>
    <row r="145" spans="1:7" ht="18" customHeight="1">
      <c r="A145" s="59" t="s">
        <v>857</v>
      </c>
      <c r="B145" s="77"/>
      <c r="C145" s="85" t="s">
        <v>858</v>
      </c>
      <c r="D145" s="64" t="s">
        <v>156</v>
      </c>
      <c r="E145" s="230">
        <v>4</v>
      </c>
      <c r="F145" s="97"/>
      <c r="G145" s="179"/>
    </row>
    <row r="146" spans="1:7">
      <c r="A146" s="627" t="s">
        <v>88</v>
      </c>
      <c r="B146" s="628"/>
      <c r="C146" s="628"/>
      <c r="D146" s="113"/>
      <c r="E146" s="245"/>
      <c r="F146" s="99"/>
      <c r="G146" s="176"/>
    </row>
    <row r="147" spans="1:7">
      <c r="A147" s="644" t="s">
        <v>89</v>
      </c>
      <c r="B147" s="645"/>
      <c r="C147" s="646"/>
      <c r="D147" s="115"/>
      <c r="E147" s="116"/>
      <c r="F147" s="280"/>
      <c r="G147" s="176"/>
    </row>
    <row r="148" spans="1:7" ht="18" customHeight="1">
      <c r="A148" s="59"/>
      <c r="B148" s="77"/>
      <c r="C148" s="85"/>
      <c r="D148" s="64"/>
      <c r="E148" s="230"/>
      <c r="F148" s="97"/>
      <c r="G148" s="179"/>
    </row>
    <row r="149" spans="1:7" ht="18" customHeight="1">
      <c r="A149" s="59" t="s">
        <v>859</v>
      </c>
      <c r="B149" s="77"/>
      <c r="C149" s="69" t="s">
        <v>860</v>
      </c>
      <c r="D149" s="105"/>
      <c r="E149" s="124"/>
      <c r="F149" s="97"/>
      <c r="G149" s="179"/>
    </row>
    <row r="150" spans="1:7" ht="18" customHeight="1">
      <c r="A150" s="59" t="s">
        <v>861</v>
      </c>
      <c r="B150" s="77"/>
      <c r="C150" s="85" t="s">
        <v>1832</v>
      </c>
      <c r="D150" s="64" t="s">
        <v>569</v>
      </c>
      <c r="E150" s="230">
        <v>1</v>
      </c>
      <c r="F150" s="97"/>
      <c r="G150" s="152">
        <v>560000</v>
      </c>
    </row>
    <row r="151" spans="1:7" ht="28.5" customHeight="1">
      <c r="A151" s="59" t="s">
        <v>873</v>
      </c>
      <c r="B151" s="57"/>
      <c r="C151" s="153" t="s">
        <v>874</v>
      </c>
      <c r="D151" s="154" t="s">
        <v>107</v>
      </c>
      <c r="E151" s="10"/>
      <c r="F151" s="254"/>
      <c r="G151" s="255"/>
    </row>
    <row r="152" spans="1:7">
      <c r="A152" s="59"/>
      <c r="B152" s="57"/>
      <c r="C152" s="153"/>
      <c r="D152" s="154"/>
      <c r="E152" s="155"/>
      <c r="F152" s="254"/>
      <c r="G152" s="255"/>
    </row>
    <row r="153" spans="1:7" ht="28.5" customHeight="1">
      <c r="A153" s="56" t="s">
        <v>862</v>
      </c>
      <c r="B153" s="248" t="s">
        <v>652</v>
      </c>
      <c r="C153" s="228" t="s">
        <v>653</v>
      </c>
      <c r="D153" s="82"/>
      <c r="E153" s="66"/>
      <c r="F153" s="97"/>
      <c r="G153" s="179"/>
    </row>
    <row r="154" spans="1:7" ht="69" customHeight="1">
      <c r="A154" s="80"/>
      <c r="B154" s="77"/>
      <c r="C154" s="229" t="s">
        <v>754</v>
      </c>
      <c r="D154" s="82"/>
      <c r="E154" s="66"/>
      <c r="F154" s="97"/>
      <c r="G154" s="179"/>
    </row>
    <row r="155" spans="1:7" ht="27.6">
      <c r="A155" s="64" t="s">
        <v>863</v>
      </c>
      <c r="B155" s="77"/>
      <c r="C155" s="249" t="s">
        <v>1517</v>
      </c>
      <c r="D155" s="82" t="s">
        <v>152</v>
      </c>
      <c r="E155" s="66">
        <v>4</v>
      </c>
      <c r="F155" s="97"/>
      <c r="G155" s="152"/>
    </row>
    <row r="156" spans="1:7">
      <c r="A156" s="64" t="s">
        <v>864</v>
      </c>
      <c r="B156" s="77"/>
      <c r="C156" s="249" t="s">
        <v>759</v>
      </c>
      <c r="D156" s="82" t="s">
        <v>15</v>
      </c>
      <c r="E156" s="230">
        <v>1</v>
      </c>
      <c r="F156" s="97"/>
      <c r="G156" s="152"/>
    </row>
    <row r="157" spans="1:7">
      <c r="A157" s="610" t="s">
        <v>1873</v>
      </c>
      <c r="B157" s="611"/>
      <c r="C157" s="611"/>
      <c r="D157" s="611"/>
      <c r="E157" s="611"/>
      <c r="F157" s="612"/>
      <c r="G157" s="176"/>
    </row>
    <row r="158" spans="1:7">
      <c r="F158" s="250"/>
      <c r="G158" s="251"/>
    </row>
    <row r="159" spans="1:7">
      <c r="F159" s="250"/>
      <c r="G159" s="251"/>
    </row>
    <row r="160" spans="1:7">
      <c r="F160" s="250"/>
      <c r="G160" s="251"/>
    </row>
    <row r="161" spans="6:7">
      <c r="F161" s="250"/>
      <c r="G161" s="251"/>
    </row>
    <row r="162" spans="6:7">
      <c r="F162" s="250"/>
      <c r="G162" s="251"/>
    </row>
    <row r="163" spans="6:7">
      <c r="F163" s="250"/>
      <c r="G163" s="251"/>
    </row>
    <row r="164" spans="6:7">
      <c r="F164" s="250"/>
      <c r="G164" s="251"/>
    </row>
    <row r="165" spans="6:7">
      <c r="F165" s="250"/>
      <c r="G165" s="251"/>
    </row>
  </sheetData>
  <mergeCells count="20">
    <mergeCell ref="A157:F157"/>
    <mergeCell ref="A1:G1"/>
    <mergeCell ref="A2:A3"/>
    <mergeCell ref="B2:B3"/>
    <mergeCell ref="C2:C3"/>
    <mergeCell ref="D2:D3"/>
    <mergeCell ref="E2:E3"/>
    <mergeCell ref="F2:F3"/>
    <mergeCell ref="G2:G3"/>
    <mergeCell ref="A99:C99"/>
    <mergeCell ref="A32:C32"/>
    <mergeCell ref="A33:C33"/>
    <mergeCell ref="A146:C146"/>
    <mergeCell ref="A147:C147"/>
    <mergeCell ref="H2:J2"/>
    <mergeCell ref="K2:M2"/>
    <mergeCell ref="A60:C60"/>
    <mergeCell ref="A61:C61"/>
    <mergeCell ref="A98:C98"/>
    <mergeCell ref="A4:E4"/>
  </mergeCells>
  <phoneticPr fontId="11" type="noConversion"/>
  <pageMargins left="0.70866141732283505" right="0.70866141732283505" top="1.2992125984252001" bottom="0.74803149606299202" header="0.31496062992126" footer="0.31496062992126"/>
  <pageSetup paperSize="9" scale="72" firstPageNumber="35" orientation="portrait" useFirstPageNumber="1" r:id="rId1"/>
  <headerFooter>
    <oddHeader>&amp;L&amp;G&amp;C&amp;"Arial Narrow,Bold"&amp;10Contract JW14060RRR
Northern Wastewater Treatment Works
Dewatering Building Belt Press
Replacement and Associated Ancillaries
Volume 1 - Tender and Contract
C2: Pricing Data&amp;R&amp;G</oddHeader>
    <oddFooter>&amp;CPD.&amp;P</oddFooter>
  </headerFooter>
  <rowBreaks count="4" manualBreakCount="4">
    <brk id="32" max="16383" man="1"/>
    <brk id="60" max="16383" man="1"/>
    <brk id="98" max="6" man="1"/>
    <brk id="146"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A8EADFE899C9419D36A390BC21C570" ma:contentTypeVersion="13" ma:contentTypeDescription="Create a new document." ma:contentTypeScope="" ma:versionID="5c10a9303b61e3eb741dcbb0cff1cc44">
  <xsd:schema xmlns:xsd="http://www.w3.org/2001/XMLSchema" xmlns:xs="http://www.w3.org/2001/XMLSchema" xmlns:p="http://schemas.microsoft.com/office/2006/metadata/properties" xmlns:ns2="9e436be5-44ce-425a-9dec-354e589d9331" xmlns:ns3="04c9e1fd-3f49-474c-9cb1-ca0ec47cb0d2" xmlns:ns4="75875571-3ae6-492f-92c7-43b2d5357930" targetNamespace="http://schemas.microsoft.com/office/2006/metadata/properties" ma:root="true" ma:fieldsID="ff14e4919acf92361460c3952f6add2f" ns2:_="" ns3:_="" ns4:_="">
    <xsd:import namespace="9e436be5-44ce-425a-9dec-354e589d9331"/>
    <xsd:import namespace="04c9e1fd-3f49-474c-9cb1-ca0ec47cb0d2"/>
    <xsd:import namespace="75875571-3ae6-492f-92c7-43b2d5357930"/>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36be5-44ce-425a-9dec-354e589d93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478efe9-3e83-47ab-9518-2d754b32d76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c9e1fd-3f49-474c-9cb1-ca0ec47cb0d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875571-3ae6-492f-92c7-43b2d53579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fae1a26-b192-4c18-be39-07c139783588}" ma:internalName="TaxCatchAll" ma:showField="CatchAllData" ma:web="04c9e1fd-3f49-474c-9cb1-ca0ec47cb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5875571-3ae6-492f-92c7-43b2d5357930" xsi:nil="true"/>
    <lcf76f155ced4ddcb4097134ff3c332f xmlns="9e436be5-44ce-425a-9dec-354e589d93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FAE454-DFB0-4E1D-A105-37B4B41C7EE7}">
  <ds:schemaRefs>
    <ds:schemaRef ds:uri="http://schemas.microsoft.com/sharepoint/v3/contenttype/forms"/>
  </ds:schemaRefs>
</ds:datastoreItem>
</file>

<file path=customXml/itemProps2.xml><?xml version="1.0" encoding="utf-8"?>
<ds:datastoreItem xmlns:ds="http://schemas.openxmlformats.org/officeDocument/2006/customXml" ds:itemID="{EC951050-DCE0-409F-A409-59B7A1366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436be5-44ce-425a-9dec-354e589d9331"/>
    <ds:schemaRef ds:uri="04c9e1fd-3f49-474c-9cb1-ca0ec47cb0d2"/>
    <ds:schemaRef ds:uri="75875571-3ae6-492f-92c7-43b2d5357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C6F772-698C-4E64-938D-FA1292636B58}">
  <ds:schemaRefs>
    <ds:schemaRef ds:uri="75875571-3ae6-492f-92c7-43b2d5357930"/>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http://schemas.microsoft.com/office/2006/metadata/properties"/>
    <ds:schemaRef ds:uri="http://purl.org/dc/elements/1.1/"/>
    <ds:schemaRef ds:uri="9e436be5-44ce-425a-9dec-354e589d9331"/>
    <ds:schemaRef ds:uri="04c9e1fd-3f49-474c-9cb1-ca0ec47cb0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Cover Page</vt:lpstr>
      <vt:lpstr>1 - P &amp; G's</vt:lpstr>
      <vt:lpstr>2.1 - Civil - Site Clear</vt:lpstr>
      <vt:lpstr>2.2 - Civil New MCC for 6 Belts</vt:lpstr>
      <vt:lpstr>2.3 - Civil New MCC for 4 Belts</vt:lpstr>
      <vt:lpstr>2.4 Civil Solar Battery Room</vt:lpstr>
      <vt:lpstr>2.5 - Civil General</vt:lpstr>
      <vt:lpstr>3.1 - Mech Poly, Water &amp; Sludge</vt:lpstr>
      <vt:lpstr>3.2 -  Mech. Belt Presses </vt:lpstr>
      <vt:lpstr>4 -  Electrical Dewatering Gen</vt:lpstr>
      <vt:lpstr>5 - Instr and Control</vt:lpstr>
      <vt:lpstr>6 - Testing &amp; Commissioning</vt:lpstr>
      <vt:lpstr>Schedule Summary</vt:lpstr>
      <vt:lpstr>'Cover Page'!Print_Area</vt:lpstr>
      <vt:lpstr>'Schedule Summary'!Print_Area</vt:lpstr>
      <vt:lpstr>'1 - P &amp; G''s'!Print_Titles</vt:lpstr>
      <vt:lpstr>'2.2 - Civil New MCC for 6 Belts'!Print_Titles</vt:lpstr>
      <vt:lpstr>'2.3 - Civil New MCC for 4 Belts'!Print_Titles</vt:lpstr>
      <vt:lpstr>'2.4 Civil Solar Battery Room'!Print_Titles</vt:lpstr>
      <vt:lpstr>'2.5 - Civil General'!Print_Titles</vt:lpstr>
      <vt:lpstr>'3.1 - Mech Poly, Water &amp; Sludge'!Print_Titles</vt:lpstr>
      <vt:lpstr>'3.2 -  Mech. Belt Presses '!Print_Titles</vt:lpstr>
      <vt:lpstr>'4 -  Electrical Dewatering Gen'!Print_Titles</vt:lpstr>
      <vt:lpstr>'5 - Instr and Control'!Print_Titles</vt:lpstr>
      <vt:lpstr>'6 - Testing &amp; Commissioning'!Print_Titles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Mahlangu, Mbongiseni</dc:creator>
  <cp:lastModifiedBy>Nthabiseng Matabane</cp:lastModifiedBy>
  <cp:lastPrinted>2026-03-11T08:07:37Z</cp:lastPrinted>
  <dcterms:created xsi:type="dcterms:W3CDTF">2020-04-15T06:36:38Z</dcterms:created>
  <dcterms:modified xsi:type="dcterms:W3CDTF">2026-06-02T13:30:37Z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0x01010038A8EADFE899C9419D36A390BC21C570</vt:lpwstr>
  </property>
  <property fmtid="{D5CDD505-2E9C-101B-9397-08002B2CF9AE}" pid="3" name="MediaServiceImageTags">
    <vt:lpwstr/>
  </property>
</Properties>
</file>