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namedSheetViews/namedSheetView1.xml" ContentType="application/vnd.ms-excel.namedsheetview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Z:\DEMAND TENDER ADMINISTRATOR FILES\2025 FILES\TENDER DOCUMENTS 2025\BUSHKOPPIES\"/>
    </mc:Choice>
  </mc:AlternateContent>
  <xr:revisionPtr revIDLastSave="0" documentId="8_{1B64578A-A838-44C4-B8A0-3FE30613DD69}" xr6:coauthVersionLast="47" xr6:coauthVersionMax="47" xr10:uidLastSave="{00000000-0000-0000-0000-000000000000}"/>
  <bookViews>
    <workbookView xWindow="-108" yWindow="-108" windowWidth="23256" windowHeight="13896" tabRatio="779" firstSheet="16" activeTab="16" xr2:uid="{94047EC4-A5B3-46CD-BDAA-9559F70B7E1B}"/>
  </bookViews>
  <sheets>
    <sheet name="Master Rates" sheetId="22" state="hidden" r:id="rId1"/>
    <sheet name="1 - P&amp;G" sheetId="1" r:id="rId2"/>
    <sheet name="2 - ACCESS ROADS" sheetId="4" r:id="rId3"/>
    <sheet name="3 - HoW" sheetId="3" r:id="rId4"/>
    <sheet name="4 - PST's" sheetId="41" r:id="rId5"/>
    <sheet name="5 - Fermenters" sheetId="45" r:id="rId6"/>
    <sheet name="6 - SECONDARY TREATMENT" sheetId="18" r:id="rId7"/>
    <sheet name="7 - WASH WATER" sheetId="20" r:id="rId8"/>
    <sheet name="8 - EMERGENCY DAM" sheetId="19" r:id="rId9"/>
    <sheet name="9 - MECHANICAL EQUIP" sheetId="10" state="hidden" r:id="rId10"/>
    <sheet name="10 - ELECT AND C &amp; I" sheetId="13" state="hidden" r:id="rId11"/>
    <sheet name="9 - LIME PLANT" sheetId="23" r:id="rId12"/>
    <sheet name="10 - MINOR STRUCTURES" sheetId="36" r:id="rId13"/>
    <sheet name="11 - INTERCONNECTING PIPEWORK" sheetId="30" r:id="rId14"/>
    <sheet name="12 - SECURITY UPGRADES" sheetId="34" r:id="rId15"/>
    <sheet name="13 - Mech (HoW)" sheetId="24" r:id="rId16"/>
    <sheet name="14 - Mech (PST's)" sheetId="40" r:id="rId17"/>
    <sheet name="15 - Mech (Fermenters)" sheetId="44" r:id="rId18"/>
    <sheet name="16 - Mech (Sec.Treatm.)" sheetId="25" r:id="rId19"/>
    <sheet name="17 - Mech (Washwater)" sheetId="26" r:id="rId20"/>
    <sheet name="18 - Mech (Lime Plant)" sheetId="27" r:id="rId21"/>
    <sheet name="19 - Electrical (To be Removed)" sheetId="28" state="hidden" r:id="rId22"/>
    <sheet name="19 - Electrical" sheetId="47" r:id="rId23"/>
    <sheet name="20 - C&amp;I" sheetId="29" r:id="rId24"/>
    <sheet name="SUM Certs" sheetId="48" state="hidden" r:id="rId25"/>
    <sheet name="SUM Certs (2)" sheetId="50" state="hidden" r:id="rId26"/>
    <sheet name="Sequencing" sheetId="49" state="hidden" r:id="rId27"/>
    <sheet name="SUMMARY" sheetId="12" r:id="rId28"/>
    <sheet name="CPA calc" sheetId="46" state="hidden" r:id="rId29"/>
  </sheets>
  <externalReferences>
    <externalReference r:id="rId30"/>
  </externalReferences>
  <definedNames>
    <definedName name="_Key1" localSheetId="22" hidden="1">#REF!</definedName>
    <definedName name="_Key1" localSheetId="28" hidden="1">#REF!</definedName>
    <definedName name="_Key1" hidden="1">#REF!</definedName>
    <definedName name="_Order1" hidden="1">0</definedName>
    <definedName name="_Order2" hidden="1">0</definedName>
    <definedName name="_SEC1200" localSheetId="10">#REF!</definedName>
    <definedName name="_SEC1200" localSheetId="12">#REF!</definedName>
    <definedName name="_SEC1200" localSheetId="13">#REF!</definedName>
    <definedName name="_SEC1200" localSheetId="14">#REF!</definedName>
    <definedName name="_SEC1200" localSheetId="15">#REF!</definedName>
    <definedName name="_SEC1200" localSheetId="16">#REF!</definedName>
    <definedName name="_SEC1200" localSheetId="17">#REF!</definedName>
    <definedName name="_SEC1200" localSheetId="18">#REF!</definedName>
    <definedName name="_SEC1200" localSheetId="19">#REF!</definedName>
    <definedName name="_SEC1200" localSheetId="20">#REF!</definedName>
    <definedName name="_SEC1200" localSheetId="21">#REF!</definedName>
    <definedName name="_SEC1200" localSheetId="2">#REF!</definedName>
    <definedName name="_SEC1200" localSheetId="23">#REF!</definedName>
    <definedName name="_SEC1200" localSheetId="3">#REF!</definedName>
    <definedName name="_SEC1200" localSheetId="4">#REF!</definedName>
    <definedName name="_SEC1200" localSheetId="5">#REF!</definedName>
    <definedName name="_SEC1200" localSheetId="6">#REF!</definedName>
    <definedName name="_SEC1200" localSheetId="7">#REF!</definedName>
    <definedName name="_SEC1200" localSheetId="8">#REF!</definedName>
    <definedName name="_SEC1200" localSheetId="11">#REF!</definedName>
    <definedName name="_SEC1200" localSheetId="9">#REF!</definedName>
    <definedName name="_SEC1200" localSheetId="0">#REF!</definedName>
    <definedName name="_SEC1200">#REF!</definedName>
    <definedName name="_Sort" hidden="1">#REF!</definedName>
    <definedName name="E11kV" localSheetId="22">#REF!</definedName>
    <definedName name="E11kV">'19 - Electrical (To be Removed)'!$I$6</definedName>
    <definedName name="Eclar" localSheetId="22">#REF!</definedName>
    <definedName name="Eclar">'19 - Electrical (To be Removed)'!$I$108</definedName>
    <definedName name="Eexww" localSheetId="22">#REF!</definedName>
    <definedName name="Eexww">'19 - Electrical (To be Removed)'!$I$84</definedName>
    <definedName name="Elime" localSheetId="22">#REF!</definedName>
    <definedName name="Elime">'19 - Electrical (To be Removed)'!$I$116</definedName>
    <definedName name="Emod1CS" localSheetId="22">#REF!</definedName>
    <definedName name="Emod1CS">'19 - Electrical (To be Removed)'!$I$32</definedName>
    <definedName name="Emod1FS" localSheetId="22">#REF!</definedName>
    <definedName name="Emod1FS">'19 - Electrical (To be Removed)'!$I$56</definedName>
    <definedName name="Emod1grit" localSheetId="22">#REF!</definedName>
    <definedName name="Emod1grit">'19 - Electrical (To be Removed)'!$I$44</definedName>
    <definedName name="Emod2CS" localSheetId="22">#REF!</definedName>
    <definedName name="Emod2CS">'19 - Electrical (To be Removed)'!$I$161</definedName>
    <definedName name="Emod2grit" localSheetId="22">#REF!</definedName>
    <definedName name="Emod2grit">'19 - Electrical (To be Removed)'!$I$68</definedName>
    <definedName name="Enewblow" localSheetId="22">#REF!</definedName>
    <definedName name="Enewblow">'19 - Electrical (To be Removed)'!$I$124</definedName>
    <definedName name="EnewWW" localSheetId="22">#REF!</definedName>
    <definedName name="EnewWW">'19 - Electrical (To be Removed)'!$I$140</definedName>
    <definedName name="Ereact" localSheetId="22">#REF!</definedName>
    <definedName name="Ereact">'19 - Electrical (To be Removed)'!$I$100</definedName>
    <definedName name="Etrash" localSheetId="22">#REF!</definedName>
    <definedName name="Etrash">'19 - Electrical (To be Removed)'!$I$24</definedName>
    <definedName name="Evand" localSheetId="22">#REF!</definedName>
    <definedName name="Evand">'19 - Electrical (To be Removed)'!$I$180</definedName>
    <definedName name="Expenditure">OFFSET('[1]PITS JAN 2010'!$U$17,0,0,(MATCH(1000,'[1]PITS JAN 2010'!$F$16:$F$69,1)-1+(COUNT('[1]PITS JAN 2010'!$E$17:$E$69))),1)</definedName>
    <definedName name="HEINZ" localSheetId="22">#REF!</definedName>
    <definedName name="HEINZ" localSheetId="28">#REF!</definedName>
    <definedName name="HEINZ">#REF!</definedName>
    <definedName name="Items_01" localSheetId="10">#REF!</definedName>
    <definedName name="Items_01" localSheetId="12">#REF!</definedName>
    <definedName name="Items_01" localSheetId="13">#REF!</definedName>
    <definedName name="Items_01" localSheetId="14">#REF!</definedName>
    <definedName name="Items_01" localSheetId="15">#REF!</definedName>
    <definedName name="Items_01" localSheetId="16">#REF!</definedName>
    <definedName name="Items_01" localSheetId="17">#REF!</definedName>
    <definedName name="Items_01" localSheetId="18">#REF!</definedName>
    <definedName name="Items_01" localSheetId="19">#REF!</definedName>
    <definedName name="Items_01" localSheetId="20">#REF!</definedName>
    <definedName name="Items_01" localSheetId="21">#REF!</definedName>
    <definedName name="Items_01" localSheetId="2">#REF!</definedName>
    <definedName name="Items_01" localSheetId="23">#REF!</definedName>
    <definedName name="Items_01" localSheetId="3">#REF!</definedName>
    <definedName name="Items_01" localSheetId="4">#REF!</definedName>
    <definedName name="Items_01" localSheetId="5">#REF!</definedName>
    <definedName name="Items_01" localSheetId="6">#REF!</definedName>
    <definedName name="Items_01" localSheetId="7">#REF!</definedName>
    <definedName name="Items_01" localSheetId="8">#REF!</definedName>
    <definedName name="Items_01" localSheetId="11">#REF!</definedName>
    <definedName name="Items_01" localSheetId="9">#REF!</definedName>
    <definedName name="Items_01">#REF!</definedName>
    <definedName name="LowerL">OFFSET('[1]PITS JAN 2010'!$X$17,0,0,(MATCH(100,'[1]PITS JAN 2010'!$X$17:$X$68,1)+1),1)</definedName>
    <definedName name="_xlnm.Print_Area" localSheetId="1">'1 - P&amp;G'!$A$1:$G$406</definedName>
    <definedName name="_xlnm.Print_Area" localSheetId="12">'10 - MINOR STRUCTURES'!$A$1:$H$472</definedName>
    <definedName name="_xlnm.Print_Area" localSheetId="13">'11 - INTERCONNECTING PIPEWORK'!$A$1:$H$159</definedName>
    <definedName name="_xlnm.Print_Area" localSheetId="14">'12 - SECURITY UPGRADES'!$A$1:$H$145</definedName>
    <definedName name="_xlnm.Print_Area" localSheetId="15">'13 - Mech (HoW)'!$A$1:$H$359</definedName>
    <definedName name="_xlnm.Print_Area" localSheetId="16">'14 - Mech (PST''s)'!$A$1:$H$150</definedName>
    <definedName name="_xlnm.Print_Area" localSheetId="17">'15 - Mech (Fermenters)'!$A$1:$H$143</definedName>
    <definedName name="_xlnm.Print_Area" localSheetId="18">'16 - Mech (Sec.Treatm.)'!$A$1:$H$146</definedName>
    <definedName name="_xlnm.Print_Area" localSheetId="19">'17 - Mech (Washwater)'!$A$1:$H$212</definedName>
    <definedName name="_xlnm.Print_Area" localSheetId="20">'18 - Mech (Lime Plant)'!$A$1:$H$230</definedName>
    <definedName name="_xlnm.Print_Area" localSheetId="22">'19 - Electrical'!$A$1:$H$1961</definedName>
    <definedName name="_xlnm.Print_Area" localSheetId="21">'19 - Electrical (To be Removed)'!$A$1:$G$225</definedName>
    <definedName name="_xlnm.Print_Area" localSheetId="2">'2 - ACCESS ROADS'!$A$1:$H$147</definedName>
    <definedName name="_xlnm.Print_Area" localSheetId="23">'20 - C&amp;I'!$A$1:$H$981</definedName>
    <definedName name="_xlnm.Print_Area" localSheetId="3">'3 - HoW'!$A$1:$H$709</definedName>
    <definedName name="_xlnm.Print_Area" localSheetId="4">'4 - PST''s'!$A$1:$H$79</definedName>
    <definedName name="_xlnm.Print_Area" localSheetId="5">'5 - Fermenters'!$A$1:$H$79</definedName>
    <definedName name="_xlnm.Print_Area" localSheetId="6">'6 - SECONDARY TREATMENT'!$A$1:$H$76</definedName>
    <definedName name="_xlnm.Print_Area" localSheetId="7">'7 - WASH WATER'!$A$1:$H$307</definedName>
    <definedName name="_xlnm.Print_Area" localSheetId="8">'8 - EMERGENCY DAM'!$A$1:$H$160</definedName>
    <definedName name="_xlnm.Print_Area" localSheetId="11">'9 - LIME PLANT'!$A$1:$H$239</definedName>
    <definedName name="_xlnm.Print_Area" localSheetId="9">'9 - MECHANICAL EQUIP'!$A$1:$G$129</definedName>
    <definedName name="_xlnm.Print_Area" localSheetId="28">'CPA calc'!$B$2:$L$63</definedName>
    <definedName name="_xlnm.Print_Area" localSheetId="26">Sequencing!$A$1:$AK$80</definedName>
    <definedName name="_xlnm.Print_Area" localSheetId="27">SUMMARY!$A$1:$C$38</definedName>
    <definedName name="_xlnm.Print_Titles" localSheetId="1">'1 - P&amp;G'!$1:$2</definedName>
    <definedName name="_xlnm.Print_Titles" localSheetId="10">'10 - ELECT AND C &amp; I'!$1:$2</definedName>
    <definedName name="_xlnm.Print_Titles" localSheetId="12">'10 - MINOR STRUCTURES'!$1:$2</definedName>
    <definedName name="_xlnm.Print_Titles" localSheetId="13">'11 - INTERCONNECTING PIPEWORK'!$1:$2</definedName>
    <definedName name="_xlnm.Print_Titles" localSheetId="14">'12 - SECURITY UPGRADES'!$1:$2</definedName>
    <definedName name="_xlnm.Print_Titles" localSheetId="15">'13 - Mech (HoW)'!$1:$2</definedName>
    <definedName name="_xlnm.Print_Titles" localSheetId="16">'14 - Mech (PST''s)'!$1:$2</definedName>
    <definedName name="_xlnm.Print_Titles" localSheetId="17">'15 - Mech (Fermenters)'!$1:$2</definedName>
    <definedName name="_xlnm.Print_Titles" localSheetId="18">'16 - Mech (Sec.Treatm.)'!$1:$2</definedName>
    <definedName name="_xlnm.Print_Titles" localSheetId="19">'17 - Mech (Washwater)'!$1:$2</definedName>
    <definedName name="_xlnm.Print_Titles" localSheetId="20">'18 - Mech (Lime Plant)'!$1:$2</definedName>
    <definedName name="_xlnm.Print_Titles" localSheetId="22">'19 - Electrical'!$1:$2</definedName>
    <definedName name="_xlnm.Print_Titles" localSheetId="21">'19 - Electrical (To be Removed)'!$1:$2</definedName>
    <definedName name="_xlnm.Print_Titles" localSheetId="2">'2 - ACCESS ROADS'!$2:$2</definedName>
    <definedName name="_xlnm.Print_Titles" localSheetId="23">'20 - C&amp;I'!$1:$2</definedName>
    <definedName name="_xlnm.Print_Titles" localSheetId="3">'3 - HoW'!$1:$2</definedName>
    <definedName name="_xlnm.Print_Titles" localSheetId="4">'4 - PST''s'!$1:$2</definedName>
    <definedName name="_xlnm.Print_Titles" localSheetId="5">'5 - Fermenters'!$1:$2</definedName>
    <definedName name="_xlnm.Print_Titles" localSheetId="6">'6 - SECONDARY TREATMENT'!$1:$2</definedName>
    <definedName name="_xlnm.Print_Titles" localSheetId="7">'7 - WASH WATER'!$1:$2</definedName>
    <definedName name="_xlnm.Print_Titles" localSheetId="8">'8 - EMERGENCY DAM'!$1:$2</definedName>
    <definedName name="_xlnm.Print_Titles" localSheetId="11">'9 - LIME PLANT'!$1:$2</definedName>
    <definedName name="_xlnm.Print_Titles" localSheetId="9">'9 - MECHANICAL EQUIP'!$1:$3</definedName>
    <definedName name="UpperL">OFFSET('[1]PITS JAN 2010'!$W$17,0,0,MATCH(100,'[1]PITS JAN 2010'!$W$17:$W$68,1),1)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4" i="29" l="1"/>
  <c r="H915" i="29"/>
  <c r="H916" i="29"/>
  <c r="H917" i="29"/>
  <c r="H918" i="29"/>
  <c r="H919" i="29"/>
  <c r="H920" i="29"/>
  <c r="H921" i="29"/>
  <c r="H922" i="29"/>
  <c r="H923" i="29"/>
  <c r="H924" i="29"/>
  <c r="H925" i="29"/>
  <c r="H926" i="29"/>
  <c r="H927" i="29"/>
  <c r="H928" i="29"/>
  <c r="H929" i="29"/>
  <c r="H930" i="29"/>
  <c r="H931" i="29"/>
  <c r="H932" i="29"/>
  <c r="H933" i="29"/>
  <c r="H934" i="29"/>
  <c r="H935" i="29"/>
  <c r="H936" i="29"/>
  <c r="H937" i="29"/>
  <c r="H938" i="29"/>
  <c r="H939" i="29"/>
  <c r="H940" i="29"/>
  <c r="H941" i="29"/>
  <c r="H942" i="29"/>
  <c r="H943" i="29"/>
  <c r="H944" i="29"/>
  <c r="H945" i="29"/>
  <c r="H946" i="29"/>
  <c r="H947" i="29"/>
  <c r="H948" i="29"/>
  <c r="H949" i="29"/>
  <c r="H950" i="29"/>
  <c r="H951" i="29"/>
  <c r="H952" i="29"/>
  <c r="H953" i="29"/>
  <c r="H954" i="29"/>
  <c r="H955" i="29"/>
  <c r="H956" i="29"/>
  <c r="H957" i="29"/>
  <c r="H958" i="29"/>
  <c r="H959" i="29"/>
  <c r="H960" i="29"/>
  <c r="H961" i="29"/>
  <c r="H962" i="29"/>
  <c r="H963" i="29"/>
  <c r="H964" i="29"/>
  <c r="H965" i="29"/>
  <c r="H966" i="29"/>
  <c r="H967" i="29"/>
  <c r="H968" i="29"/>
  <c r="H969" i="29"/>
  <c r="H970" i="29"/>
  <c r="H971" i="29"/>
  <c r="H972" i="29"/>
  <c r="H973" i="29"/>
  <c r="H974" i="29"/>
  <c r="H975" i="29"/>
  <c r="H976" i="29"/>
  <c r="H977" i="29"/>
  <c r="H978" i="29"/>
  <c r="H913" i="29"/>
  <c r="H834" i="29"/>
  <c r="H835" i="29"/>
  <c r="H836" i="29"/>
  <c r="H837" i="29"/>
  <c r="H838" i="29"/>
  <c r="H839" i="29"/>
  <c r="H840" i="29"/>
  <c r="H841" i="29"/>
  <c r="H842" i="29"/>
  <c r="H843" i="29"/>
  <c r="H844" i="29"/>
  <c r="H845" i="29"/>
  <c r="H846" i="29"/>
  <c r="H847" i="29"/>
  <c r="H848" i="29"/>
  <c r="H849" i="29"/>
  <c r="H850" i="29"/>
  <c r="H851" i="29"/>
  <c r="H852" i="29"/>
  <c r="H853" i="29"/>
  <c r="H854" i="29"/>
  <c r="H855" i="29"/>
  <c r="H856" i="29"/>
  <c r="H857" i="29"/>
  <c r="H858" i="29"/>
  <c r="H859" i="29"/>
  <c r="H860" i="29"/>
  <c r="H861" i="29"/>
  <c r="H862" i="29"/>
  <c r="H863" i="29"/>
  <c r="H864" i="29"/>
  <c r="H865" i="29"/>
  <c r="H866" i="29"/>
  <c r="H867" i="29"/>
  <c r="H868" i="29"/>
  <c r="H869" i="29"/>
  <c r="H870" i="29"/>
  <c r="H871" i="29"/>
  <c r="H872" i="29"/>
  <c r="H873" i="29"/>
  <c r="H874" i="29"/>
  <c r="H875" i="29"/>
  <c r="H876" i="29"/>
  <c r="H877" i="29"/>
  <c r="H878" i="29"/>
  <c r="H879" i="29"/>
  <c r="H880" i="29"/>
  <c r="H881" i="29"/>
  <c r="H882" i="29"/>
  <c r="H883" i="29"/>
  <c r="H884" i="29"/>
  <c r="H885" i="29"/>
  <c r="H886" i="29"/>
  <c r="H887" i="29"/>
  <c r="H888" i="29"/>
  <c r="H889" i="29"/>
  <c r="H890" i="29"/>
  <c r="H891" i="29"/>
  <c r="H892" i="29"/>
  <c r="H893" i="29"/>
  <c r="H894" i="29"/>
  <c r="H895" i="29"/>
  <c r="H896" i="29"/>
  <c r="H897" i="29"/>
  <c r="H898" i="29"/>
  <c r="H899" i="29"/>
  <c r="H833" i="29"/>
  <c r="H753" i="29"/>
  <c r="H754" i="29"/>
  <c r="H755" i="29"/>
  <c r="H756" i="29"/>
  <c r="H757" i="29"/>
  <c r="H758" i="29"/>
  <c r="H759" i="29"/>
  <c r="H760" i="29"/>
  <c r="H761" i="29"/>
  <c r="H762" i="29"/>
  <c r="H763" i="29"/>
  <c r="H764" i="29"/>
  <c r="H765" i="29"/>
  <c r="H766" i="29"/>
  <c r="H767" i="29"/>
  <c r="H768" i="29"/>
  <c r="H769" i="29"/>
  <c r="H770" i="29"/>
  <c r="H771" i="29"/>
  <c r="H772" i="29"/>
  <c r="H773" i="29"/>
  <c r="H774" i="29"/>
  <c r="H775" i="29"/>
  <c r="H776" i="29"/>
  <c r="H777" i="29"/>
  <c r="H778" i="29"/>
  <c r="H779" i="29"/>
  <c r="H780" i="29"/>
  <c r="H781" i="29"/>
  <c r="H782" i="29"/>
  <c r="H783" i="29"/>
  <c r="H784" i="29"/>
  <c r="H785" i="29"/>
  <c r="H786" i="29"/>
  <c r="H787" i="29"/>
  <c r="H788" i="29"/>
  <c r="H789" i="29"/>
  <c r="H790" i="29"/>
  <c r="H791" i="29"/>
  <c r="H792" i="29"/>
  <c r="H793" i="29"/>
  <c r="H794" i="29"/>
  <c r="H795" i="29"/>
  <c r="H796" i="29"/>
  <c r="H797" i="29"/>
  <c r="H798" i="29"/>
  <c r="H799" i="29"/>
  <c r="H800" i="29"/>
  <c r="H801" i="29"/>
  <c r="H802" i="29"/>
  <c r="H803" i="29"/>
  <c r="H804" i="29"/>
  <c r="H805" i="29"/>
  <c r="H806" i="29"/>
  <c r="H807" i="29"/>
  <c r="H808" i="29"/>
  <c r="H809" i="29"/>
  <c r="H810" i="29"/>
  <c r="H811" i="29"/>
  <c r="H812" i="29"/>
  <c r="H813" i="29"/>
  <c r="H814" i="29"/>
  <c r="H815" i="29"/>
  <c r="H816" i="29"/>
  <c r="H817" i="29"/>
  <c r="H818" i="29"/>
  <c r="H819" i="29"/>
  <c r="H820" i="29"/>
  <c r="H821" i="29"/>
  <c r="H822" i="29"/>
  <c r="H752" i="29"/>
  <c r="H680" i="29"/>
  <c r="H681" i="29"/>
  <c r="H682" i="29"/>
  <c r="H683" i="29"/>
  <c r="H684" i="29"/>
  <c r="H685" i="29"/>
  <c r="H686" i="29"/>
  <c r="H687" i="29"/>
  <c r="H688" i="29"/>
  <c r="H689" i="29"/>
  <c r="H690" i="29"/>
  <c r="H691" i="29"/>
  <c r="H692" i="29"/>
  <c r="H693" i="29"/>
  <c r="H694" i="29"/>
  <c r="H695" i="29"/>
  <c r="H696" i="29"/>
  <c r="H697" i="29"/>
  <c r="H698" i="29"/>
  <c r="H699" i="29"/>
  <c r="H700" i="29"/>
  <c r="H701" i="29"/>
  <c r="H702" i="29"/>
  <c r="H703" i="29"/>
  <c r="H704" i="29"/>
  <c r="H705" i="29"/>
  <c r="H706" i="29"/>
  <c r="H707" i="29"/>
  <c r="H708" i="29"/>
  <c r="H709" i="29"/>
  <c r="H710" i="29"/>
  <c r="H711" i="29"/>
  <c r="H712" i="29"/>
  <c r="H713" i="29"/>
  <c r="H714" i="29"/>
  <c r="H715" i="29"/>
  <c r="H716" i="29"/>
  <c r="H717" i="29"/>
  <c r="H718" i="29"/>
  <c r="H719" i="29"/>
  <c r="H720" i="29"/>
  <c r="H721" i="29"/>
  <c r="H722" i="29"/>
  <c r="H723" i="29"/>
  <c r="H724" i="29"/>
  <c r="H725" i="29"/>
  <c r="H726" i="29"/>
  <c r="H727" i="29"/>
  <c r="H728" i="29"/>
  <c r="H729" i="29"/>
  <c r="H730" i="29"/>
  <c r="H731" i="29"/>
  <c r="H732" i="29"/>
  <c r="H733" i="29"/>
  <c r="H734" i="29"/>
  <c r="H735" i="29"/>
  <c r="H736" i="29"/>
  <c r="H737" i="29"/>
  <c r="H738" i="29"/>
  <c r="H739" i="29"/>
  <c r="H740" i="29"/>
  <c r="H741" i="29"/>
  <c r="H742" i="29"/>
  <c r="H743" i="29"/>
  <c r="H744" i="29"/>
  <c r="H745" i="29"/>
  <c r="H746" i="29"/>
  <c r="H679" i="29"/>
  <c r="H601" i="29"/>
  <c r="H602" i="29"/>
  <c r="H603" i="29"/>
  <c r="H604" i="29"/>
  <c r="H605" i="29"/>
  <c r="H606" i="29"/>
  <c r="H607" i="29"/>
  <c r="H608" i="29"/>
  <c r="H609" i="29"/>
  <c r="H610" i="29"/>
  <c r="H611" i="29"/>
  <c r="H612" i="29"/>
  <c r="H613" i="29"/>
  <c r="H614" i="29"/>
  <c r="H615" i="29"/>
  <c r="H616" i="29"/>
  <c r="H617" i="29"/>
  <c r="H618" i="29"/>
  <c r="H619" i="29"/>
  <c r="H620" i="29"/>
  <c r="H621" i="29"/>
  <c r="H622" i="29"/>
  <c r="H623" i="29"/>
  <c r="H624" i="29"/>
  <c r="H625" i="29"/>
  <c r="H626" i="29"/>
  <c r="H627" i="29"/>
  <c r="H628" i="29"/>
  <c r="H629" i="29"/>
  <c r="H630" i="29"/>
  <c r="H631" i="29"/>
  <c r="H632" i="29"/>
  <c r="H633" i="29"/>
  <c r="H634" i="29"/>
  <c r="H635" i="29"/>
  <c r="H636" i="29"/>
  <c r="H637" i="29"/>
  <c r="H638" i="29"/>
  <c r="H639" i="29"/>
  <c r="H640" i="29"/>
  <c r="H641" i="29"/>
  <c r="H642" i="29"/>
  <c r="H643" i="29"/>
  <c r="H644" i="29"/>
  <c r="H645" i="29"/>
  <c r="H646" i="29"/>
  <c r="H647" i="29"/>
  <c r="H648" i="29"/>
  <c r="H649" i="29"/>
  <c r="H650" i="29"/>
  <c r="H651" i="29"/>
  <c r="H652" i="29"/>
  <c r="H653" i="29"/>
  <c r="H654" i="29"/>
  <c r="H655" i="29"/>
  <c r="H656" i="29"/>
  <c r="H657" i="29"/>
  <c r="H658" i="29"/>
  <c r="H659" i="29"/>
  <c r="H660" i="29"/>
  <c r="H661" i="29"/>
  <c r="H662" i="29"/>
  <c r="H663" i="29"/>
  <c r="H600" i="29"/>
  <c r="H532" i="29"/>
  <c r="H533" i="29"/>
  <c r="H534" i="29"/>
  <c r="H535" i="29"/>
  <c r="H536" i="29"/>
  <c r="H537" i="29"/>
  <c r="H538" i="29"/>
  <c r="H539" i="29"/>
  <c r="H540" i="29"/>
  <c r="H541" i="29"/>
  <c r="H542" i="29"/>
  <c r="H543" i="29"/>
  <c r="H544" i="29"/>
  <c r="H545" i="29"/>
  <c r="H546" i="29"/>
  <c r="H547" i="29"/>
  <c r="H548" i="29"/>
  <c r="H549" i="29"/>
  <c r="H550" i="29"/>
  <c r="H551" i="29"/>
  <c r="H552" i="29"/>
  <c r="H553" i="29"/>
  <c r="H554" i="29"/>
  <c r="H555" i="29"/>
  <c r="H556" i="29"/>
  <c r="H557" i="29"/>
  <c r="H558" i="29"/>
  <c r="H559" i="29"/>
  <c r="H560" i="29"/>
  <c r="H561" i="29"/>
  <c r="H562" i="29"/>
  <c r="H563" i="29"/>
  <c r="H564" i="29"/>
  <c r="H565" i="29"/>
  <c r="H566" i="29"/>
  <c r="H567" i="29"/>
  <c r="H568" i="29"/>
  <c r="H569" i="29"/>
  <c r="H570" i="29"/>
  <c r="H571" i="29"/>
  <c r="H572" i="29"/>
  <c r="H573" i="29"/>
  <c r="H574" i="29"/>
  <c r="H575" i="29"/>
  <c r="H576" i="29"/>
  <c r="H577" i="29"/>
  <c r="H578" i="29"/>
  <c r="H579" i="29"/>
  <c r="H580" i="29"/>
  <c r="H581" i="29"/>
  <c r="H582" i="29"/>
  <c r="H583" i="29"/>
  <c r="H584" i="29"/>
  <c r="H585" i="29"/>
  <c r="H586" i="29"/>
  <c r="H587" i="29"/>
  <c r="H588" i="29"/>
  <c r="H589" i="29"/>
  <c r="H590" i="29"/>
  <c r="H591" i="29"/>
  <c r="H592" i="29"/>
  <c r="H593" i="29"/>
  <c r="H531" i="29"/>
  <c r="H453" i="29"/>
  <c r="H454" i="29"/>
  <c r="H455" i="29"/>
  <c r="H456" i="29"/>
  <c r="H457" i="29"/>
  <c r="H458" i="29"/>
  <c r="H459" i="29"/>
  <c r="H460" i="29"/>
  <c r="H461" i="29"/>
  <c r="H462" i="29"/>
  <c r="H463" i="29"/>
  <c r="H464" i="29"/>
  <c r="H465" i="29"/>
  <c r="H466" i="29"/>
  <c r="H467" i="29"/>
  <c r="H468" i="29"/>
  <c r="H469" i="29"/>
  <c r="H470" i="29"/>
  <c r="H471" i="29"/>
  <c r="H472" i="29"/>
  <c r="H473" i="29"/>
  <c r="H474" i="29"/>
  <c r="H475" i="29"/>
  <c r="H476" i="29"/>
  <c r="H477" i="29"/>
  <c r="H478" i="29"/>
  <c r="H479" i="29"/>
  <c r="H480" i="29"/>
  <c r="H481" i="29"/>
  <c r="H482" i="29"/>
  <c r="H483" i="29"/>
  <c r="H484" i="29"/>
  <c r="H485" i="29"/>
  <c r="H486" i="29"/>
  <c r="H487" i="29"/>
  <c r="H488" i="29"/>
  <c r="H489" i="29"/>
  <c r="H490" i="29"/>
  <c r="H491" i="29"/>
  <c r="H492" i="29"/>
  <c r="H493" i="29"/>
  <c r="H494" i="29"/>
  <c r="H495" i="29"/>
  <c r="H496" i="29"/>
  <c r="H497" i="29"/>
  <c r="H498" i="29"/>
  <c r="H499" i="29"/>
  <c r="H500" i="29"/>
  <c r="H501" i="29"/>
  <c r="H502" i="29"/>
  <c r="H503" i="29"/>
  <c r="H504" i="29"/>
  <c r="H505" i="29"/>
  <c r="H506" i="29"/>
  <c r="H507" i="29"/>
  <c r="H508" i="29"/>
  <c r="H509" i="29"/>
  <c r="H510" i="29"/>
  <c r="H511" i="29"/>
  <c r="H512" i="29"/>
  <c r="H513" i="29"/>
  <c r="H514" i="29"/>
  <c r="H515" i="29"/>
  <c r="H516" i="29"/>
  <c r="H517" i="29"/>
  <c r="H518" i="29"/>
  <c r="H452" i="29"/>
  <c r="H377" i="29"/>
  <c r="H378" i="29"/>
  <c r="H379" i="29"/>
  <c r="H380" i="29"/>
  <c r="H381" i="29"/>
  <c r="H382" i="29"/>
  <c r="H383" i="29"/>
  <c r="H384" i="29"/>
  <c r="H385" i="29"/>
  <c r="H386" i="29"/>
  <c r="H387" i="29"/>
  <c r="H388" i="29"/>
  <c r="H389" i="29"/>
  <c r="H390" i="29"/>
  <c r="H391" i="29"/>
  <c r="H392" i="29"/>
  <c r="H393" i="29"/>
  <c r="H394" i="29"/>
  <c r="H395" i="29"/>
  <c r="H396" i="29"/>
  <c r="H397" i="29"/>
  <c r="H398" i="29"/>
  <c r="H399" i="29"/>
  <c r="H400" i="29"/>
  <c r="H401" i="29"/>
  <c r="H402" i="29"/>
  <c r="H403" i="29"/>
  <c r="H404" i="29"/>
  <c r="H405" i="29"/>
  <c r="H406" i="29"/>
  <c r="H407" i="29"/>
  <c r="H408" i="29"/>
  <c r="H409" i="29"/>
  <c r="H410" i="29"/>
  <c r="H411" i="29"/>
  <c r="H412" i="29"/>
  <c r="H413" i="29"/>
  <c r="H414" i="29"/>
  <c r="H415" i="29"/>
  <c r="H416" i="29"/>
  <c r="H417" i="29"/>
  <c r="H418" i="29"/>
  <c r="H419" i="29"/>
  <c r="H420" i="29"/>
  <c r="H421" i="29"/>
  <c r="H422" i="29"/>
  <c r="H423" i="29"/>
  <c r="H424" i="29"/>
  <c r="H425" i="29"/>
  <c r="H426" i="29"/>
  <c r="H427" i="29"/>
  <c r="H428" i="29"/>
  <c r="H429" i="29"/>
  <c r="H430" i="29"/>
  <c r="H431" i="29"/>
  <c r="H432" i="29"/>
  <c r="H433" i="29"/>
  <c r="H434" i="29"/>
  <c r="H435" i="29"/>
  <c r="H436" i="29"/>
  <c r="H437" i="29"/>
  <c r="H438" i="29"/>
  <c r="H439" i="29"/>
  <c r="H440" i="29"/>
  <c r="H441" i="29"/>
  <c r="H442" i="29"/>
  <c r="H443" i="29"/>
  <c r="H444" i="29"/>
  <c r="H445" i="29"/>
  <c r="H376" i="29"/>
  <c r="H305" i="29"/>
  <c r="H306" i="29"/>
  <c r="H307" i="29"/>
  <c r="H308" i="29"/>
  <c r="H309" i="29"/>
  <c r="H310" i="29"/>
  <c r="H311" i="29"/>
  <c r="H312" i="29"/>
  <c r="H313" i="29"/>
  <c r="H314" i="29"/>
  <c r="H315" i="29"/>
  <c r="H316" i="29"/>
  <c r="H317" i="29"/>
  <c r="H318" i="29"/>
  <c r="H319" i="29"/>
  <c r="H320" i="29"/>
  <c r="H321" i="29"/>
  <c r="H322" i="29"/>
  <c r="H323" i="29"/>
  <c r="H324" i="29"/>
  <c r="H325" i="29"/>
  <c r="H326" i="29"/>
  <c r="H327" i="29"/>
  <c r="H328" i="29"/>
  <c r="H329" i="29"/>
  <c r="H330" i="29"/>
  <c r="H331" i="29"/>
  <c r="H332" i="29"/>
  <c r="H333" i="29"/>
  <c r="H334" i="29"/>
  <c r="H335" i="29"/>
  <c r="H336" i="29"/>
  <c r="H337" i="29"/>
  <c r="H338" i="29"/>
  <c r="H339" i="29"/>
  <c r="H340" i="29"/>
  <c r="H341" i="29"/>
  <c r="H342" i="29"/>
  <c r="H343" i="29"/>
  <c r="H344" i="29"/>
  <c r="H345" i="29"/>
  <c r="H346" i="29"/>
  <c r="H347" i="29"/>
  <c r="H348" i="29"/>
  <c r="H349" i="29"/>
  <c r="H350" i="29"/>
  <c r="H351" i="29"/>
  <c r="H352" i="29"/>
  <c r="H353" i="29"/>
  <c r="H354" i="29"/>
  <c r="H355" i="29"/>
  <c r="H356" i="29"/>
  <c r="H357" i="29"/>
  <c r="H358" i="29"/>
  <c r="H359" i="29"/>
  <c r="H360" i="29"/>
  <c r="H361" i="29"/>
  <c r="H362" i="29"/>
  <c r="H363" i="29"/>
  <c r="H364" i="29"/>
  <c r="H365" i="29"/>
  <c r="H366" i="29"/>
  <c r="H367" i="29"/>
  <c r="H368" i="29"/>
  <c r="H304" i="29"/>
  <c r="H226" i="29"/>
  <c r="H227" i="29"/>
  <c r="H228" i="29"/>
  <c r="H229" i="29"/>
  <c r="H230" i="29"/>
  <c r="H231" i="29"/>
  <c r="H232" i="29"/>
  <c r="H233" i="29"/>
  <c r="H234" i="29"/>
  <c r="H235" i="29"/>
  <c r="H236" i="29"/>
  <c r="H237" i="29"/>
  <c r="H238" i="29"/>
  <c r="H239" i="29"/>
  <c r="H240" i="29"/>
  <c r="H241" i="29"/>
  <c r="H242" i="29"/>
  <c r="H243" i="29"/>
  <c r="H244" i="29"/>
  <c r="H245" i="29"/>
  <c r="H246" i="29"/>
  <c r="H247" i="29"/>
  <c r="H248" i="29"/>
  <c r="H249" i="29"/>
  <c r="H250" i="29"/>
  <c r="H251" i="29"/>
  <c r="H252" i="29"/>
  <c r="H253" i="29"/>
  <c r="H254" i="29"/>
  <c r="H255" i="29"/>
  <c r="H256" i="29"/>
  <c r="H257" i="29"/>
  <c r="H258" i="29"/>
  <c r="H259" i="29"/>
  <c r="H260" i="29"/>
  <c r="H261" i="29"/>
  <c r="H262" i="29"/>
  <c r="H263" i="29"/>
  <c r="H264" i="29"/>
  <c r="H265" i="29"/>
  <c r="H266" i="29"/>
  <c r="H267" i="29"/>
  <c r="H268" i="29"/>
  <c r="H269" i="29"/>
  <c r="H270" i="29"/>
  <c r="H271" i="29"/>
  <c r="H272" i="29"/>
  <c r="H273" i="29"/>
  <c r="H274" i="29"/>
  <c r="H275" i="29"/>
  <c r="H276" i="29"/>
  <c r="H277" i="29"/>
  <c r="H278" i="29"/>
  <c r="H279" i="29"/>
  <c r="H280" i="29"/>
  <c r="H281" i="29"/>
  <c r="H282" i="29"/>
  <c r="H283" i="29"/>
  <c r="H284" i="29"/>
  <c r="H285" i="29"/>
  <c r="H286" i="29"/>
  <c r="H287" i="29"/>
  <c r="H288" i="29"/>
  <c r="H289" i="29"/>
  <c r="H290" i="29"/>
  <c r="H291" i="29"/>
  <c r="H292" i="29"/>
  <c r="H293" i="29"/>
  <c r="H294" i="29"/>
  <c r="H295" i="29"/>
  <c r="H296" i="29"/>
  <c r="H297" i="29"/>
  <c r="H298" i="29"/>
  <c r="H225" i="29"/>
  <c r="H152" i="29"/>
  <c r="H153" i="29"/>
  <c r="H154" i="29"/>
  <c r="H155" i="29"/>
  <c r="H156" i="29"/>
  <c r="H157" i="29"/>
  <c r="H158" i="29"/>
  <c r="H159" i="29"/>
  <c r="H160" i="29"/>
  <c r="H161" i="29"/>
  <c r="H162" i="29"/>
  <c r="H163" i="29"/>
  <c r="H164" i="29"/>
  <c r="H165" i="29"/>
  <c r="H166" i="29"/>
  <c r="H167" i="29"/>
  <c r="H168" i="29"/>
  <c r="H169" i="29"/>
  <c r="H170" i="29"/>
  <c r="H171" i="29"/>
  <c r="H172" i="29"/>
  <c r="H173" i="29"/>
  <c r="H174" i="29"/>
  <c r="H175" i="29"/>
  <c r="H176" i="29"/>
  <c r="H177" i="29"/>
  <c r="H178" i="29"/>
  <c r="H179" i="29"/>
  <c r="H180" i="29"/>
  <c r="H181" i="29"/>
  <c r="H182" i="29"/>
  <c r="H183" i="29"/>
  <c r="H184" i="29"/>
  <c r="H185" i="29"/>
  <c r="H186" i="29"/>
  <c r="H187" i="29"/>
  <c r="H188" i="29"/>
  <c r="H189" i="29"/>
  <c r="H190" i="29"/>
  <c r="H191" i="29"/>
  <c r="H192" i="29"/>
  <c r="H193" i="29"/>
  <c r="H194" i="29"/>
  <c r="H195" i="29"/>
  <c r="H196" i="29"/>
  <c r="H197" i="29"/>
  <c r="H198" i="29"/>
  <c r="H199" i="29"/>
  <c r="H200" i="29"/>
  <c r="H201" i="29"/>
  <c r="H202" i="29"/>
  <c r="H203" i="29"/>
  <c r="H204" i="29"/>
  <c r="H205" i="29"/>
  <c r="H206" i="29"/>
  <c r="H207" i="29"/>
  <c r="H208" i="29"/>
  <c r="H209" i="29"/>
  <c r="H210" i="29"/>
  <c r="H211" i="29"/>
  <c r="H212" i="29"/>
  <c r="H213" i="29"/>
  <c r="H214" i="29"/>
  <c r="H215" i="29"/>
  <c r="H216" i="29"/>
  <c r="H217" i="29"/>
  <c r="H218" i="29"/>
  <c r="H219" i="29"/>
  <c r="H151" i="29"/>
  <c r="H76" i="29"/>
  <c r="H77" i="29"/>
  <c r="H78" i="29"/>
  <c r="H79" i="29"/>
  <c r="H80" i="29"/>
  <c r="H81" i="29"/>
  <c r="H82" i="29"/>
  <c r="H83" i="29"/>
  <c r="H84" i="29"/>
  <c r="H85" i="29"/>
  <c r="H86" i="29"/>
  <c r="H87" i="29"/>
  <c r="H88" i="29"/>
  <c r="H89" i="29"/>
  <c r="H90" i="29"/>
  <c r="H91" i="29"/>
  <c r="H92" i="29"/>
  <c r="H93" i="29"/>
  <c r="H94" i="29"/>
  <c r="H95" i="29"/>
  <c r="H96" i="29"/>
  <c r="H97" i="29"/>
  <c r="H98" i="29"/>
  <c r="H99" i="29"/>
  <c r="H100" i="29"/>
  <c r="H101" i="29"/>
  <c r="H102" i="29"/>
  <c r="H103" i="29"/>
  <c r="H104" i="29"/>
  <c r="H105" i="29"/>
  <c r="H106" i="29"/>
  <c r="H107" i="29"/>
  <c r="H108" i="29"/>
  <c r="H109" i="29"/>
  <c r="H110" i="29"/>
  <c r="H111" i="29"/>
  <c r="H112" i="29"/>
  <c r="H113" i="29"/>
  <c r="H114" i="29"/>
  <c r="H115" i="29"/>
  <c r="H116" i="29"/>
  <c r="H117" i="29"/>
  <c r="H118" i="29"/>
  <c r="H119" i="29"/>
  <c r="H120" i="29"/>
  <c r="H121" i="29"/>
  <c r="H122" i="29"/>
  <c r="H123" i="29"/>
  <c r="H124" i="29"/>
  <c r="H125" i="29"/>
  <c r="H126" i="29"/>
  <c r="H127" i="29"/>
  <c r="H128" i="29"/>
  <c r="H129" i="29"/>
  <c r="H130" i="29"/>
  <c r="H131" i="29"/>
  <c r="H132" i="29"/>
  <c r="H133" i="29"/>
  <c r="H134" i="29"/>
  <c r="H135" i="29"/>
  <c r="H136" i="29"/>
  <c r="H137" i="29"/>
  <c r="H138" i="29"/>
  <c r="H139" i="29"/>
  <c r="H140" i="29"/>
  <c r="H141" i="29"/>
  <c r="H142" i="29"/>
  <c r="H143" i="29"/>
  <c r="H144" i="29"/>
  <c r="H75" i="29"/>
  <c r="H11" i="29"/>
  <c r="H12" i="29"/>
  <c r="H13" i="29"/>
  <c r="H14" i="29"/>
  <c r="H15" i="29"/>
  <c r="H16" i="29"/>
  <c r="H17" i="29"/>
  <c r="H18" i="29"/>
  <c r="H19" i="29"/>
  <c r="H20" i="29"/>
  <c r="H21" i="29"/>
  <c r="H22" i="29"/>
  <c r="H23" i="29"/>
  <c r="H24" i="29"/>
  <c r="H25" i="29"/>
  <c r="H26" i="29"/>
  <c r="H27" i="29"/>
  <c r="H28" i="29"/>
  <c r="H29" i="29"/>
  <c r="H30" i="29"/>
  <c r="H31" i="29"/>
  <c r="H32" i="29"/>
  <c r="H33" i="29"/>
  <c r="H34" i="29"/>
  <c r="H35" i="29"/>
  <c r="H36" i="29"/>
  <c r="H37" i="29"/>
  <c r="H38" i="29"/>
  <c r="H39" i="29"/>
  <c r="H40" i="29"/>
  <c r="H41" i="29"/>
  <c r="H42" i="29"/>
  <c r="H43" i="29"/>
  <c r="H44" i="29"/>
  <c r="H45" i="29"/>
  <c r="H46" i="29"/>
  <c r="H47" i="29"/>
  <c r="H48" i="29"/>
  <c r="H49" i="29"/>
  <c r="H50" i="29"/>
  <c r="H51" i="29"/>
  <c r="H52" i="29"/>
  <c r="H53" i="29"/>
  <c r="H54" i="29"/>
  <c r="H55" i="29"/>
  <c r="H56" i="29"/>
  <c r="H57" i="29"/>
  <c r="H58" i="29"/>
  <c r="H59" i="29"/>
  <c r="H60" i="29"/>
  <c r="H61" i="29"/>
  <c r="H62" i="29"/>
  <c r="H63" i="29"/>
  <c r="H64" i="29"/>
  <c r="H65" i="29"/>
  <c r="H66" i="29"/>
  <c r="H67" i="29"/>
  <c r="H10" i="29"/>
  <c r="H1891" i="47"/>
  <c r="H1892" i="47"/>
  <c r="H1893" i="47"/>
  <c r="H1894" i="47"/>
  <c r="H1895" i="47"/>
  <c r="H1896" i="47"/>
  <c r="H1897" i="47"/>
  <c r="H1898" i="47"/>
  <c r="H1899" i="47"/>
  <c r="H1900" i="47"/>
  <c r="H1901" i="47"/>
  <c r="H1902" i="47"/>
  <c r="H1903" i="47"/>
  <c r="H1904" i="47"/>
  <c r="H1905" i="47"/>
  <c r="H1906" i="47"/>
  <c r="H1907" i="47"/>
  <c r="H1908" i="47"/>
  <c r="H1909" i="47"/>
  <c r="H1910" i="47"/>
  <c r="H1911" i="47"/>
  <c r="H1912" i="47"/>
  <c r="H1913" i="47"/>
  <c r="H1914" i="47"/>
  <c r="H1915" i="47"/>
  <c r="H1916" i="47"/>
  <c r="H1917" i="47"/>
  <c r="H1918" i="47"/>
  <c r="H1919" i="47"/>
  <c r="H1920" i="47"/>
  <c r="H1921" i="47"/>
  <c r="H1922" i="47"/>
  <c r="H1923" i="47"/>
  <c r="H1924" i="47"/>
  <c r="H1925" i="47"/>
  <c r="H1926" i="47"/>
  <c r="H1927" i="47"/>
  <c r="H1928" i="47"/>
  <c r="H1929" i="47"/>
  <c r="H1930" i="47"/>
  <c r="H1931" i="47"/>
  <c r="H1932" i="47"/>
  <c r="H1933" i="47"/>
  <c r="H1934" i="47"/>
  <c r="H1935" i="47"/>
  <c r="H1936" i="47"/>
  <c r="H1937" i="47"/>
  <c r="H1938" i="47"/>
  <c r="H1939" i="47"/>
  <c r="H1940" i="47"/>
  <c r="H1941" i="47"/>
  <c r="H1942" i="47"/>
  <c r="H1943" i="47"/>
  <c r="H1944" i="47"/>
  <c r="H1945" i="47"/>
  <c r="H1890" i="47"/>
  <c r="H1823" i="47"/>
  <c r="H1824" i="47"/>
  <c r="H1825" i="47"/>
  <c r="H1826" i="47"/>
  <c r="H1827" i="47"/>
  <c r="H1828" i="47"/>
  <c r="H1829" i="47"/>
  <c r="H1830" i="47"/>
  <c r="H1831" i="47"/>
  <c r="H1832" i="47"/>
  <c r="H1833" i="47"/>
  <c r="H1834" i="47"/>
  <c r="H1835" i="47"/>
  <c r="H1836" i="47"/>
  <c r="H1837" i="47"/>
  <c r="H1838" i="47"/>
  <c r="H1839" i="47"/>
  <c r="H1840" i="47"/>
  <c r="H1841" i="47"/>
  <c r="H1842" i="47"/>
  <c r="H1843" i="47"/>
  <c r="H1844" i="47"/>
  <c r="H1845" i="47"/>
  <c r="H1846" i="47"/>
  <c r="H1847" i="47"/>
  <c r="H1848" i="47"/>
  <c r="H1849" i="47"/>
  <c r="H1850" i="47"/>
  <c r="H1851" i="47"/>
  <c r="H1852" i="47"/>
  <c r="H1853" i="47"/>
  <c r="H1854" i="47"/>
  <c r="H1855" i="47"/>
  <c r="H1856" i="47"/>
  <c r="H1857" i="47"/>
  <c r="H1858" i="47"/>
  <c r="H1859" i="47"/>
  <c r="H1860" i="47"/>
  <c r="H1861" i="47"/>
  <c r="H1862" i="47"/>
  <c r="H1863" i="47"/>
  <c r="H1864" i="47"/>
  <c r="H1865" i="47"/>
  <c r="H1866" i="47"/>
  <c r="H1867" i="47"/>
  <c r="H1868" i="47"/>
  <c r="H1869" i="47"/>
  <c r="H1870" i="47"/>
  <c r="H1871" i="47"/>
  <c r="H1872" i="47"/>
  <c r="H1873" i="47"/>
  <c r="H1874" i="47"/>
  <c r="H1875" i="47"/>
  <c r="H1876" i="47"/>
  <c r="H1877" i="47"/>
  <c r="H1878" i="47"/>
  <c r="H1879" i="47"/>
  <c r="H1880" i="47"/>
  <c r="H1881" i="47"/>
  <c r="H1882" i="47"/>
  <c r="H1822" i="47"/>
  <c r="H1753" i="47"/>
  <c r="H1754" i="47"/>
  <c r="H1755" i="47"/>
  <c r="H1756" i="47"/>
  <c r="H1757" i="47"/>
  <c r="H1758" i="47"/>
  <c r="H1759" i="47"/>
  <c r="H1760" i="47"/>
  <c r="H1761" i="47"/>
  <c r="H1762" i="47"/>
  <c r="H1763" i="47"/>
  <c r="H1764" i="47"/>
  <c r="H1765" i="47"/>
  <c r="H1766" i="47"/>
  <c r="H1767" i="47"/>
  <c r="H1768" i="47"/>
  <c r="H1769" i="47"/>
  <c r="H1770" i="47"/>
  <c r="H1771" i="47"/>
  <c r="H1772" i="47"/>
  <c r="H1773" i="47"/>
  <c r="H1774" i="47"/>
  <c r="H1775" i="47"/>
  <c r="H1776" i="47"/>
  <c r="H1777" i="47"/>
  <c r="H1778" i="47"/>
  <c r="H1779" i="47"/>
  <c r="H1780" i="47"/>
  <c r="H1781" i="47"/>
  <c r="H1782" i="47"/>
  <c r="H1783" i="47"/>
  <c r="H1784" i="47"/>
  <c r="H1785" i="47"/>
  <c r="H1786" i="47"/>
  <c r="H1787" i="47"/>
  <c r="H1788" i="47"/>
  <c r="H1789" i="47"/>
  <c r="H1790" i="47"/>
  <c r="H1791" i="47"/>
  <c r="H1792" i="47"/>
  <c r="H1793" i="47"/>
  <c r="H1794" i="47"/>
  <c r="H1795" i="47"/>
  <c r="H1796" i="47"/>
  <c r="H1797" i="47"/>
  <c r="H1798" i="47"/>
  <c r="H1799" i="47"/>
  <c r="H1800" i="47"/>
  <c r="H1801" i="47"/>
  <c r="H1802" i="47"/>
  <c r="H1803" i="47"/>
  <c r="H1804" i="47"/>
  <c r="H1805" i="47"/>
  <c r="H1806" i="47"/>
  <c r="H1807" i="47"/>
  <c r="H1808" i="47"/>
  <c r="H1809" i="47"/>
  <c r="H1810" i="47"/>
  <c r="H1811" i="47"/>
  <c r="H1812" i="47"/>
  <c r="H1813" i="47"/>
  <c r="H1814" i="47"/>
  <c r="H1752" i="47"/>
  <c r="H1678" i="47"/>
  <c r="H1679" i="47"/>
  <c r="H1680" i="47"/>
  <c r="H1681" i="47"/>
  <c r="H1682" i="47"/>
  <c r="H1683" i="47"/>
  <c r="H1684" i="47"/>
  <c r="H1685" i="47"/>
  <c r="H1686" i="47"/>
  <c r="H1687" i="47"/>
  <c r="H1688" i="47"/>
  <c r="H1689" i="47"/>
  <c r="H1690" i="47"/>
  <c r="H1691" i="47"/>
  <c r="H1692" i="47"/>
  <c r="H1693" i="47"/>
  <c r="H1694" i="47"/>
  <c r="H1695" i="47"/>
  <c r="H1696" i="47"/>
  <c r="H1697" i="47"/>
  <c r="H1698" i="47"/>
  <c r="H1699" i="47"/>
  <c r="H1700" i="47"/>
  <c r="H1701" i="47"/>
  <c r="H1702" i="47"/>
  <c r="H1703" i="47"/>
  <c r="H1704" i="47"/>
  <c r="H1705" i="47"/>
  <c r="H1706" i="47"/>
  <c r="H1707" i="47"/>
  <c r="H1708" i="47"/>
  <c r="H1709" i="47"/>
  <c r="H1710" i="47"/>
  <c r="H1711" i="47"/>
  <c r="H1712" i="47"/>
  <c r="H1713" i="47"/>
  <c r="H1714" i="47"/>
  <c r="H1715" i="47"/>
  <c r="H1716" i="47"/>
  <c r="H1717" i="47"/>
  <c r="H1718" i="47"/>
  <c r="H1719" i="47"/>
  <c r="H1720" i="47"/>
  <c r="H1721" i="47"/>
  <c r="H1722" i="47"/>
  <c r="H1723" i="47"/>
  <c r="H1724" i="47"/>
  <c r="H1725" i="47"/>
  <c r="H1726" i="47"/>
  <c r="H1727" i="47"/>
  <c r="H1728" i="47"/>
  <c r="H1729" i="47"/>
  <c r="H1730" i="47"/>
  <c r="H1731" i="47"/>
  <c r="H1732" i="47"/>
  <c r="H1733" i="47"/>
  <c r="H1734" i="47"/>
  <c r="H1735" i="47"/>
  <c r="H1736" i="47"/>
  <c r="H1737" i="47"/>
  <c r="H1738" i="47"/>
  <c r="H1739" i="47"/>
  <c r="H1740" i="47"/>
  <c r="H1677" i="47"/>
  <c r="H1601" i="47"/>
  <c r="H1602" i="47"/>
  <c r="H1603" i="47"/>
  <c r="H1604" i="47"/>
  <c r="H1605" i="47"/>
  <c r="H1606" i="47"/>
  <c r="H1607" i="47"/>
  <c r="H1608" i="47"/>
  <c r="H1609" i="47"/>
  <c r="H1610" i="47"/>
  <c r="H1611" i="47"/>
  <c r="H1612" i="47"/>
  <c r="H1613" i="47"/>
  <c r="H1614" i="47"/>
  <c r="H1615" i="47"/>
  <c r="H1616" i="47"/>
  <c r="H1617" i="47"/>
  <c r="H1618" i="47"/>
  <c r="H1619" i="47"/>
  <c r="H1620" i="47"/>
  <c r="H1621" i="47"/>
  <c r="H1622" i="47"/>
  <c r="H1623" i="47"/>
  <c r="H1624" i="47"/>
  <c r="H1625" i="47"/>
  <c r="H1626" i="47"/>
  <c r="H1627" i="47"/>
  <c r="H1628" i="47"/>
  <c r="H1629" i="47"/>
  <c r="H1630" i="47"/>
  <c r="H1631" i="47"/>
  <c r="H1632" i="47"/>
  <c r="H1633" i="47"/>
  <c r="H1634" i="47"/>
  <c r="H1635" i="47"/>
  <c r="H1636" i="47"/>
  <c r="H1637" i="47"/>
  <c r="H1638" i="47"/>
  <c r="H1639" i="47"/>
  <c r="H1640" i="47"/>
  <c r="H1641" i="47"/>
  <c r="H1642" i="47"/>
  <c r="H1643" i="47"/>
  <c r="H1644" i="47"/>
  <c r="H1645" i="47"/>
  <c r="H1646" i="47"/>
  <c r="H1647" i="47"/>
  <c r="H1648" i="47"/>
  <c r="H1649" i="47"/>
  <c r="H1650" i="47"/>
  <c r="H1651" i="47"/>
  <c r="H1652" i="47"/>
  <c r="H1653" i="47"/>
  <c r="H1654" i="47"/>
  <c r="H1655" i="47"/>
  <c r="H1656" i="47"/>
  <c r="H1657" i="47"/>
  <c r="H1658" i="47"/>
  <c r="H1659" i="47"/>
  <c r="H1660" i="47"/>
  <c r="H1661" i="47"/>
  <c r="H1662" i="47"/>
  <c r="H1663" i="47"/>
  <c r="H1664" i="47"/>
  <c r="H1665" i="47"/>
  <c r="H1666" i="47"/>
  <c r="H1667" i="47"/>
  <c r="H1668" i="47"/>
  <c r="H1669" i="47"/>
  <c r="H1600" i="47"/>
  <c r="H1523" i="47"/>
  <c r="H1524" i="47"/>
  <c r="H1525" i="47"/>
  <c r="H1526" i="47"/>
  <c r="H1527" i="47"/>
  <c r="H1528" i="47"/>
  <c r="H1529" i="47"/>
  <c r="H1530" i="47"/>
  <c r="H1531" i="47"/>
  <c r="H1532" i="47"/>
  <c r="H1533" i="47"/>
  <c r="H1534" i="47"/>
  <c r="H1535" i="47"/>
  <c r="H1536" i="47"/>
  <c r="H1537" i="47"/>
  <c r="H1538" i="47"/>
  <c r="H1539" i="47"/>
  <c r="H1540" i="47"/>
  <c r="H1541" i="47"/>
  <c r="H1542" i="47"/>
  <c r="H1543" i="47"/>
  <c r="H1544" i="47"/>
  <c r="H1545" i="47"/>
  <c r="H1546" i="47"/>
  <c r="H1547" i="47"/>
  <c r="H1548" i="47"/>
  <c r="H1549" i="47"/>
  <c r="H1550" i="47"/>
  <c r="H1551" i="47"/>
  <c r="H1552" i="47"/>
  <c r="H1553" i="47"/>
  <c r="H1554" i="47"/>
  <c r="H1555" i="47"/>
  <c r="H1556" i="47"/>
  <c r="H1557" i="47"/>
  <c r="H1558" i="47"/>
  <c r="H1559" i="47"/>
  <c r="H1560" i="47"/>
  <c r="H1561" i="47"/>
  <c r="H1562" i="47"/>
  <c r="H1563" i="47"/>
  <c r="H1564" i="47"/>
  <c r="H1565" i="47"/>
  <c r="H1566" i="47"/>
  <c r="H1567" i="47"/>
  <c r="H1568" i="47"/>
  <c r="H1569" i="47"/>
  <c r="H1570" i="47"/>
  <c r="H1571" i="47"/>
  <c r="H1572" i="47"/>
  <c r="H1573" i="47"/>
  <c r="H1574" i="47"/>
  <c r="H1575" i="47"/>
  <c r="H1576" i="47"/>
  <c r="H1577" i="47"/>
  <c r="H1578" i="47"/>
  <c r="H1579" i="47"/>
  <c r="H1580" i="47"/>
  <c r="H1581" i="47"/>
  <c r="H1582" i="47"/>
  <c r="H1583" i="47"/>
  <c r="H1584" i="47"/>
  <c r="H1585" i="47"/>
  <c r="H1586" i="47"/>
  <c r="H1587" i="47"/>
  <c r="H1588" i="47"/>
  <c r="H1589" i="47"/>
  <c r="H1590" i="47"/>
  <c r="H1522" i="47"/>
  <c r="H1463" i="47"/>
  <c r="H1464" i="47"/>
  <c r="H1465" i="47"/>
  <c r="H1466" i="47"/>
  <c r="H1467" i="47"/>
  <c r="H1468" i="47"/>
  <c r="H1469" i="47"/>
  <c r="H1470" i="47"/>
  <c r="H1471" i="47"/>
  <c r="H1472" i="47"/>
  <c r="H1473" i="47"/>
  <c r="H1474" i="47"/>
  <c r="H1475" i="47"/>
  <c r="H1476" i="47"/>
  <c r="H1477" i="47"/>
  <c r="H1478" i="47"/>
  <c r="H1479" i="47"/>
  <c r="H1480" i="47"/>
  <c r="H1481" i="47"/>
  <c r="H1482" i="47"/>
  <c r="H1483" i="47"/>
  <c r="H1484" i="47"/>
  <c r="H1485" i="47"/>
  <c r="H1486" i="47"/>
  <c r="H1487" i="47"/>
  <c r="H1488" i="47"/>
  <c r="H1489" i="47"/>
  <c r="H1490" i="47"/>
  <c r="H1491" i="47"/>
  <c r="H1492" i="47"/>
  <c r="H1493" i="47"/>
  <c r="H1494" i="47"/>
  <c r="H1495" i="47"/>
  <c r="H1496" i="47"/>
  <c r="H1497" i="47"/>
  <c r="H1498" i="47"/>
  <c r="H1499" i="47"/>
  <c r="H1500" i="47"/>
  <c r="H1501" i="47"/>
  <c r="H1502" i="47"/>
  <c r="H1503" i="47"/>
  <c r="H1504" i="47"/>
  <c r="H1505" i="47"/>
  <c r="H1506" i="47"/>
  <c r="H1507" i="47"/>
  <c r="H1508" i="47"/>
  <c r="H1509" i="47"/>
  <c r="H1510" i="47"/>
  <c r="H1511" i="47"/>
  <c r="H1512" i="47"/>
  <c r="H1513" i="47"/>
  <c r="H1514" i="47"/>
  <c r="H1515" i="47"/>
  <c r="H1462" i="47"/>
  <c r="H1387" i="47"/>
  <c r="H1388" i="47"/>
  <c r="H1389" i="47"/>
  <c r="H1390" i="47"/>
  <c r="H1391" i="47"/>
  <c r="H1392" i="47"/>
  <c r="H1393" i="47"/>
  <c r="H1394" i="47"/>
  <c r="H1395" i="47"/>
  <c r="H1396" i="47"/>
  <c r="H1397" i="47"/>
  <c r="H1398" i="47"/>
  <c r="H1399" i="47"/>
  <c r="H1400" i="47"/>
  <c r="H1401" i="47"/>
  <c r="H1402" i="47"/>
  <c r="H1403" i="47"/>
  <c r="H1404" i="47"/>
  <c r="H1405" i="47"/>
  <c r="H1406" i="47"/>
  <c r="H1407" i="47"/>
  <c r="H1408" i="47"/>
  <c r="H1409" i="47"/>
  <c r="H1410" i="47"/>
  <c r="H1411" i="47"/>
  <c r="H1412" i="47"/>
  <c r="H1413" i="47"/>
  <c r="H1414" i="47"/>
  <c r="H1415" i="47"/>
  <c r="H1416" i="47"/>
  <c r="H1417" i="47"/>
  <c r="H1418" i="47"/>
  <c r="H1419" i="47"/>
  <c r="H1420" i="47"/>
  <c r="H1421" i="47"/>
  <c r="H1422" i="47"/>
  <c r="H1423" i="47"/>
  <c r="H1424" i="47"/>
  <c r="H1425" i="47"/>
  <c r="H1426" i="47"/>
  <c r="H1427" i="47"/>
  <c r="H1428" i="47"/>
  <c r="H1429" i="47"/>
  <c r="H1430" i="47"/>
  <c r="H1431" i="47"/>
  <c r="H1432" i="47"/>
  <c r="H1433" i="47"/>
  <c r="H1434" i="47"/>
  <c r="H1435" i="47"/>
  <c r="H1436" i="47"/>
  <c r="H1437" i="47"/>
  <c r="H1438" i="47"/>
  <c r="H1439" i="47"/>
  <c r="H1440" i="47"/>
  <c r="H1441" i="47"/>
  <c r="H1442" i="47"/>
  <c r="H1443" i="47"/>
  <c r="H1444" i="47"/>
  <c r="H1445" i="47"/>
  <c r="H1446" i="47"/>
  <c r="H1447" i="47"/>
  <c r="H1448" i="47"/>
  <c r="H1449" i="47"/>
  <c r="H1450" i="47"/>
  <c r="H1451" i="47"/>
  <c r="H1386" i="47"/>
  <c r="H1317" i="47"/>
  <c r="H1318" i="47"/>
  <c r="H1319" i="47"/>
  <c r="H1320" i="47"/>
  <c r="H1321" i="47"/>
  <c r="H1322" i="47"/>
  <c r="H1323" i="47"/>
  <c r="H1324" i="47"/>
  <c r="H1325" i="47"/>
  <c r="H1326" i="47"/>
  <c r="H1327" i="47"/>
  <c r="H1328" i="47"/>
  <c r="H1329" i="47"/>
  <c r="H1330" i="47"/>
  <c r="H1331" i="47"/>
  <c r="H1332" i="47"/>
  <c r="H1333" i="47"/>
  <c r="H1334" i="47"/>
  <c r="H1335" i="47"/>
  <c r="H1336" i="47"/>
  <c r="H1337" i="47"/>
  <c r="H1338" i="47"/>
  <c r="H1339" i="47"/>
  <c r="H1340" i="47"/>
  <c r="H1341" i="47"/>
  <c r="H1342" i="47"/>
  <c r="H1343" i="47"/>
  <c r="H1344" i="47"/>
  <c r="H1345" i="47"/>
  <c r="H1346" i="47"/>
  <c r="H1347" i="47"/>
  <c r="H1348" i="47"/>
  <c r="H1349" i="47"/>
  <c r="H1350" i="47"/>
  <c r="H1351" i="47"/>
  <c r="H1352" i="47"/>
  <c r="H1353" i="47"/>
  <c r="H1354" i="47"/>
  <c r="H1355" i="47"/>
  <c r="H1356" i="47"/>
  <c r="H1357" i="47"/>
  <c r="H1358" i="47"/>
  <c r="H1359" i="47"/>
  <c r="H1360" i="47"/>
  <c r="H1361" i="47"/>
  <c r="H1362" i="47"/>
  <c r="H1363" i="47"/>
  <c r="H1364" i="47"/>
  <c r="H1365" i="47"/>
  <c r="H1366" i="47"/>
  <c r="H1367" i="47"/>
  <c r="H1368" i="47"/>
  <c r="H1369" i="47"/>
  <c r="H1370" i="47"/>
  <c r="H1371" i="47"/>
  <c r="H1372" i="47"/>
  <c r="H1373" i="47"/>
  <c r="H1374" i="47"/>
  <c r="H1375" i="47"/>
  <c r="H1376" i="47"/>
  <c r="H1377" i="47"/>
  <c r="H1316" i="47"/>
  <c r="H1242" i="47"/>
  <c r="H1243" i="47"/>
  <c r="H1244" i="47"/>
  <c r="H1245" i="47"/>
  <c r="H1246" i="47"/>
  <c r="H1247" i="47"/>
  <c r="H1248" i="47"/>
  <c r="H1249" i="47"/>
  <c r="H1250" i="47"/>
  <c r="H1251" i="47"/>
  <c r="H1252" i="47"/>
  <c r="H1253" i="47"/>
  <c r="H1254" i="47"/>
  <c r="H1255" i="47"/>
  <c r="H1256" i="47"/>
  <c r="H1257" i="47"/>
  <c r="H1258" i="47"/>
  <c r="H1259" i="47"/>
  <c r="H1260" i="47"/>
  <c r="H1261" i="47"/>
  <c r="H1262" i="47"/>
  <c r="H1263" i="47"/>
  <c r="H1264" i="47"/>
  <c r="H1265" i="47"/>
  <c r="H1266" i="47"/>
  <c r="H1267" i="47"/>
  <c r="H1268" i="47"/>
  <c r="H1269" i="47"/>
  <c r="H1270" i="47"/>
  <c r="H1271" i="47"/>
  <c r="H1272" i="47"/>
  <c r="H1273" i="47"/>
  <c r="H1274" i="47"/>
  <c r="H1275" i="47"/>
  <c r="H1276" i="47"/>
  <c r="H1277" i="47"/>
  <c r="H1278" i="47"/>
  <c r="H1279" i="47"/>
  <c r="H1280" i="47"/>
  <c r="H1281" i="47"/>
  <c r="H1282" i="47"/>
  <c r="H1283" i="47"/>
  <c r="H1284" i="47"/>
  <c r="H1285" i="47"/>
  <c r="H1286" i="47"/>
  <c r="H1287" i="47"/>
  <c r="H1288" i="47"/>
  <c r="H1289" i="47"/>
  <c r="H1290" i="47"/>
  <c r="H1291" i="47"/>
  <c r="H1292" i="47"/>
  <c r="H1293" i="47"/>
  <c r="H1294" i="47"/>
  <c r="H1295" i="47"/>
  <c r="H1296" i="47"/>
  <c r="H1297" i="47"/>
  <c r="H1298" i="47"/>
  <c r="H1299" i="47"/>
  <c r="H1300" i="47"/>
  <c r="H1301" i="47"/>
  <c r="H1302" i="47"/>
  <c r="H1303" i="47"/>
  <c r="H1304" i="47"/>
  <c r="H1305" i="47"/>
  <c r="H1306" i="47"/>
  <c r="H1307" i="47"/>
  <c r="H1308" i="47"/>
  <c r="H1309" i="47"/>
  <c r="H1241" i="47"/>
  <c r="H1164" i="47"/>
  <c r="H1165" i="47"/>
  <c r="H1166" i="47"/>
  <c r="H1167" i="47"/>
  <c r="H1168" i="47"/>
  <c r="H1169" i="47"/>
  <c r="H1170" i="47"/>
  <c r="H1171" i="47"/>
  <c r="H1172" i="47"/>
  <c r="H1173" i="47"/>
  <c r="H1174" i="47"/>
  <c r="H1175" i="47"/>
  <c r="H1176" i="47"/>
  <c r="H1177" i="47"/>
  <c r="H1178" i="47"/>
  <c r="H1179" i="47"/>
  <c r="H1180" i="47"/>
  <c r="H1181" i="47"/>
  <c r="H1182" i="47"/>
  <c r="H1183" i="47"/>
  <c r="H1184" i="47"/>
  <c r="H1185" i="47"/>
  <c r="H1186" i="47"/>
  <c r="H1187" i="47"/>
  <c r="H1188" i="47"/>
  <c r="H1189" i="47"/>
  <c r="H1190" i="47"/>
  <c r="H1191" i="47"/>
  <c r="H1192" i="47"/>
  <c r="H1193" i="47"/>
  <c r="H1194" i="47"/>
  <c r="H1195" i="47"/>
  <c r="H1196" i="47"/>
  <c r="H1197" i="47"/>
  <c r="H1198" i="47"/>
  <c r="H1199" i="47"/>
  <c r="H1200" i="47"/>
  <c r="H1201" i="47"/>
  <c r="H1202" i="47"/>
  <c r="H1203" i="47"/>
  <c r="H1204" i="47"/>
  <c r="H1205" i="47"/>
  <c r="H1206" i="47"/>
  <c r="H1207" i="47"/>
  <c r="H1208" i="47"/>
  <c r="H1209" i="47"/>
  <c r="H1210" i="47"/>
  <c r="H1211" i="47"/>
  <c r="H1212" i="47"/>
  <c r="H1213" i="47"/>
  <c r="H1214" i="47"/>
  <c r="H1215" i="47"/>
  <c r="H1216" i="47"/>
  <c r="H1217" i="47"/>
  <c r="H1218" i="47"/>
  <c r="H1219" i="47"/>
  <c r="H1220" i="47"/>
  <c r="H1221" i="47"/>
  <c r="H1222" i="47"/>
  <c r="H1223" i="47"/>
  <c r="H1224" i="47"/>
  <c r="H1225" i="47"/>
  <c r="H1226" i="47"/>
  <c r="H1227" i="47"/>
  <c r="H1228" i="47"/>
  <c r="H1229" i="47"/>
  <c r="H1230" i="47"/>
  <c r="H1231" i="47"/>
  <c r="H1232" i="47"/>
  <c r="H1163" i="47"/>
  <c r="H1094" i="47"/>
  <c r="H1095" i="47"/>
  <c r="H1096" i="47"/>
  <c r="H1097" i="47"/>
  <c r="H1098" i="47"/>
  <c r="H1099" i="47"/>
  <c r="H1100" i="47"/>
  <c r="H1101" i="47"/>
  <c r="H1102" i="47"/>
  <c r="H1103" i="47"/>
  <c r="H1104" i="47"/>
  <c r="H1105" i="47"/>
  <c r="H1106" i="47"/>
  <c r="H1107" i="47"/>
  <c r="H1108" i="47"/>
  <c r="H1109" i="47"/>
  <c r="H1110" i="47"/>
  <c r="H1111" i="47"/>
  <c r="H1112" i="47"/>
  <c r="H1113" i="47"/>
  <c r="H1114" i="47"/>
  <c r="H1115" i="47"/>
  <c r="H1116" i="47"/>
  <c r="H1117" i="47"/>
  <c r="H1118" i="47"/>
  <c r="H1119" i="47"/>
  <c r="H1120" i="47"/>
  <c r="H1121" i="47"/>
  <c r="H1122" i="47"/>
  <c r="H1123" i="47"/>
  <c r="H1124" i="47"/>
  <c r="H1125" i="47"/>
  <c r="H1126" i="47"/>
  <c r="H1127" i="47"/>
  <c r="H1128" i="47"/>
  <c r="H1129" i="47"/>
  <c r="H1130" i="47"/>
  <c r="H1131" i="47"/>
  <c r="H1132" i="47"/>
  <c r="H1133" i="47"/>
  <c r="H1134" i="47"/>
  <c r="H1135" i="47"/>
  <c r="H1136" i="47"/>
  <c r="H1137" i="47"/>
  <c r="H1138" i="47"/>
  <c r="H1139" i="47"/>
  <c r="H1140" i="47"/>
  <c r="H1141" i="47"/>
  <c r="H1142" i="47"/>
  <c r="H1143" i="47"/>
  <c r="H1144" i="47"/>
  <c r="H1145" i="47"/>
  <c r="H1146" i="47"/>
  <c r="H1147" i="47"/>
  <c r="H1148" i="47"/>
  <c r="H1149" i="47"/>
  <c r="H1150" i="47"/>
  <c r="H1151" i="47"/>
  <c r="H1152" i="47"/>
  <c r="H1153" i="47"/>
  <c r="H1154" i="47"/>
  <c r="H1093" i="47"/>
  <c r="H1024" i="47"/>
  <c r="H1025" i="47"/>
  <c r="H1026" i="47"/>
  <c r="H1027" i="47"/>
  <c r="H1028" i="47"/>
  <c r="H1029" i="47"/>
  <c r="H1030" i="47"/>
  <c r="H1031" i="47"/>
  <c r="H1032" i="47"/>
  <c r="H1033" i="47"/>
  <c r="H1034" i="47"/>
  <c r="H1035" i="47"/>
  <c r="H1036" i="47"/>
  <c r="H1037" i="47"/>
  <c r="H1038" i="47"/>
  <c r="H1039" i="47"/>
  <c r="H1040" i="47"/>
  <c r="H1041" i="47"/>
  <c r="H1042" i="47"/>
  <c r="H1043" i="47"/>
  <c r="H1044" i="47"/>
  <c r="H1045" i="47"/>
  <c r="H1046" i="47"/>
  <c r="H1047" i="47"/>
  <c r="H1048" i="47"/>
  <c r="H1049" i="47"/>
  <c r="H1050" i="47"/>
  <c r="H1051" i="47"/>
  <c r="H1052" i="47"/>
  <c r="H1053" i="47"/>
  <c r="H1054" i="47"/>
  <c r="H1055" i="47"/>
  <c r="H1056" i="47"/>
  <c r="H1057" i="47"/>
  <c r="H1058" i="47"/>
  <c r="H1059" i="47"/>
  <c r="H1060" i="47"/>
  <c r="H1061" i="47"/>
  <c r="H1062" i="47"/>
  <c r="H1063" i="47"/>
  <c r="H1064" i="47"/>
  <c r="H1065" i="47"/>
  <c r="H1066" i="47"/>
  <c r="H1067" i="47"/>
  <c r="H1068" i="47"/>
  <c r="H1069" i="47"/>
  <c r="H1070" i="47"/>
  <c r="H1071" i="47"/>
  <c r="H1072" i="47"/>
  <c r="H1073" i="47"/>
  <c r="H1074" i="47"/>
  <c r="H1075" i="47"/>
  <c r="H1076" i="47"/>
  <c r="H1023" i="47"/>
  <c r="H948" i="47"/>
  <c r="H949" i="47"/>
  <c r="H950" i="47"/>
  <c r="H951" i="47"/>
  <c r="H952" i="47"/>
  <c r="H953" i="47"/>
  <c r="H954" i="47"/>
  <c r="H955" i="47"/>
  <c r="H956" i="47"/>
  <c r="H957" i="47"/>
  <c r="H958" i="47"/>
  <c r="H959" i="47"/>
  <c r="H960" i="47"/>
  <c r="H961" i="47"/>
  <c r="H962" i="47"/>
  <c r="H963" i="47"/>
  <c r="H964" i="47"/>
  <c r="H965" i="47"/>
  <c r="H966" i="47"/>
  <c r="H967" i="47"/>
  <c r="H968" i="47"/>
  <c r="H969" i="47"/>
  <c r="H970" i="47"/>
  <c r="H971" i="47"/>
  <c r="H972" i="47"/>
  <c r="H973" i="47"/>
  <c r="H974" i="47"/>
  <c r="H975" i="47"/>
  <c r="H976" i="47"/>
  <c r="H977" i="47"/>
  <c r="H978" i="47"/>
  <c r="H979" i="47"/>
  <c r="H980" i="47"/>
  <c r="H981" i="47"/>
  <c r="H982" i="47"/>
  <c r="H983" i="47"/>
  <c r="H984" i="47"/>
  <c r="H985" i="47"/>
  <c r="H986" i="47"/>
  <c r="H987" i="47"/>
  <c r="H988" i="47"/>
  <c r="H989" i="47"/>
  <c r="H990" i="47"/>
  <c r="H991" i="47"/>
  <c r="H992" i="47"/>
  <c r="H993" i="47"/>
  <c r="H994" i="47"/>
  <c r="H995" i="47"/>
  <c r="H996" i="47"/>
  <c r="H997" i="47"/>
  <c r="H998" i="47"/>
  <c r="H999" i="47"/>
  <c r="H1000" i="47"/>
  <c r="H1001" i="47"/>
  <c r="H1002" i="47"/>
  <c r="H1003" i="47"/>
  <c r="H1004" i="47"/>
  <c r="H1005" i="47"/>
  <c r="H1006" i="47"/>
  <c r="H1007" i="47"/>
  <c r="H1008" i="47"/>
  <c r="H1009" i="47"/>
  <c r="H1010" i="47"/>
  <c r="H1011" i="47"/>
  <c r="H1012" i="47"/>
  <c r="H947" i="47"/>
  <c r="H902" i="47"/>
  <c r="H903" i="47"/>
  <c r="H904" i="47"/>
  <c r="H905" i="47"/>
  <c r="H906" i="47"/>
  <c r="H907" i="47"/>
  <c r="H908" i="47"/>
  <c r="H909" i="47"/>
  <c r="H910" i="47"/>
  <c r="H911" i="47"/>
  <c r="H912" i="47"/>
  <c r="H913" i="47"/>
  <c r="H914" i="47"/>
  <c r="H915" i="47"/>
  <c r="H916" i="47"/>
  <c r="H917" i="47"/>
  <c r="H918" i="47"/>
  <c r="H919" i="47"/>
  <c r="H920" i="47"/>
  <c r="H921" i="47"/>
  <c r="H922" i="47"/>
  <c r="H923" i="47"/>
  <c r="H924" i="47"/>
  <c r="H925" i="47"/>
  <c r="H926" i="47"/>
  <c r="H927" i="47"/>
  <c r="H928" i="47"/>
  <c r="H929" i="47"/>
  <c r="H930" i="47"/>
  <c r="H931" i="47"/>
  <c r="H932" i="47"/>
  <c r="H933" i="47"/>
  <c r="H934" i="47"/>
  <c r="H935" i="47"/>
  <c r="H936" i="47"/>
  <c r="H937" i="47"/>
  <c r="H938" i="47"/>
  <c r="H939" i="47"/>
  <c r="H901" i="47"/>
  <c r="H820" i="47"/>
  <c r="H821" i="47"/>
  <c r="H822" i="47"/>
  <c r="H823" i="47"/>
  <c r="H824" i="47"/>
  <c r="H825" i="47"/>
  <c r="H826" i="47"/>
  <c r="H827" i="47"/>
  <c r="H828" i="47"/>
  <c r="H829" i="47"/>
  <c r="H830" i="47"/>
  <c r="H831" i="47"/>
  <c r="H832" i="47"/>
  <c r="H833" i="47"/>
  <c r="H834" i="47"/>
  <c r="H835" i="47"/>
  <c r="H836" i="47"/>
  <c r="H837" i="47"/>
  <c r="H838" i="47"/>
  <c r="H839" i="47"/>
  <c r="H840" i="47"/>
  <c r="H841" i="47"/>
  <c r="H842" i="47"/>
  <c r="H843" i="47"/>
  <c r="H844" i="47"/>
  <c r="H845" i="47"/>
  <c r="H846" i="47"/>
  <c r="H847" i="47"/>
  <c r="H848" i="47"/>
  <c r="H849" i="47"/>
  <c r="H850" i="47"/>
  <c r="H851" i="47"/>
  <c r="H852" i="47"/>
  <c r="H853" i="47"/>
  <c r="H854" i="47"/>
  <c r="H855" i="47"/>
  <c r="H856" i="47"/>
  <c r="H857" i="47"/>
  <c r="H858" i="47"/>
  <c r="H859" i="47"/>
  <c r="H860" i="47"/>
  <c r="H861" i="47"/>
  <c r="H862" i="47"/>
  <c r="H863" i="47"/>
  <c r="H864" i="47"/>
  <c r="H865" i="47"/>
  <c r="H866" i="47"/>
  <c r="H867" i="47"/>
  <c r="H868" i="47"/>
  <c r="H869" i="47"/>
  <c r="H870" i="47"/>
  <c r="H871" i="47"/>
  <c r="H872" i="47"/>
  <c r="H873" i="47"/>
  <c r="H874" i="47"/>
  <c r="H875" i="47"/>
  <c r="H876" i="47"/>
  <c r="H877" i="47"/>
  <c r="H878" i="47"/>
  <c r="H879" i="47"/>
  <c r="H880" i="47"/>
  <c r="H881" i="47"/>
  <c r="H882" i="47"/>
  <c r="H883" i="47"/>
  <c r="H884" i="47"/>
  <c r="H885" i="47"/>
  <c r="H819" i="47"/>
  <c r="H752" i="47"/>
  <c r="H753" i="47"/>
  <c r="H754" i="47"/>
  <c r="H755" i="47"/>
  <c r="H756" i="47"/>
  <c r="H757" i="47"/>
  <c r="H758" i="47"/>
  <c r="H759" i="47"/>
  <c r="H760" i="47"/>
  <c r="H761" i="47"/>
  <c r="H762" i="47"/>
  <c r="H763" i="47"/>
  <c r="H764" i="47"/>
  <c r="H765" i="47"/>
  <c r="H766" i="47"/>
  <c r="H767" i="47"/>
  <c r="H768" i="47"/>
  <c r="H769" i="47"/>
  <c r="H770" i="47"/>
  <c r="H771" i="47"/>
  <c r="H772" i="47"/>
  <c r="H773" i="47"/>
  <c r="H774" i="47"/>
  <c r="H775" i="47"/>
  <c r="H776" i="47"/>
  <c r="H777" i="47"/>
  <c r="H778" i="47"/>
  <c r="H779" i="47"/>
  <c r="H780" i="47"/>
  <c r="H781" i="47"/>
  <c r="H782" i="47"/>
  <c r="H783" i="47"/>
  <c r="H784" i="47"/>
  <c r="H785" i="47"/>
  <c r="H786" i="47"/>
  <c r="H787" i="47"/>
  <c r="H788" i="47"/>
  <c r="H789" i="47"/>
  <c r="H790" i="47"/>
  <c r="H791" i="47"/>
  <c r="H792" i="47"/>
  <c r="H793" i="47"/>
  <c r="H794" i="47"/>
  <c r="H795" i="47"/>
  <c r="H796" i="47"/>
  <c r="H797" i="47"/>
  <c r="H798" i="47"/>
  <c r="H799" i="47"/>
  <c r="H800" i="47"/>
  <c r="H801" i="47"/>
  <c r="H802" i="47"/>
  <c r="H803" i="47"/>
  <c r="H804" i="47"/>
  <c r="H805" i="47"/>
  <c r="H806" i="47"/>
  <c r="H807" i="47"/>
  <c r="H808" i="47"/>
  <c r="H809" i="47"/>
  <c r="H810" i="47"/>
  <c r="H811" i="47"/>
  <c r="H812" i="47"/>
  <c r="H813" i="47"/>
  <c r="H751" i="47"/>
  <c r="H683" i="47"/>
  <c r="H684" i="47"/>
  <c r="H685" i="47"/>
  <c r="H686" i="47"/>
  <c r="H687" i="47"/>
  <c r="H688" i="47"/>
  <c r="H689" i="47"/>
  <c r="H690" i="47"/>
  <c r="H691" i="47"/>
  <c r="H692" i="47"/>
  <c r="H693" i="47"/>
  <c r="H694" i="47"/>
  <c r="H695" i="47"/>
  <c r="H696" i="47"/>
  <c r="H697" i="47"/>
  <c r="H698" i="47"/>
  <c r="H699" i="47"/>
  <c r="H700" i="47"/>
  <c r="H701" i="47"/>
  <c r="H702" i="47"/>
  <c r="H703" i="47"/>
  <c r="H704" i="47"/>
  <c r="H705" i="47"/>
  <c r="H706" i="47"/>
  <c r="H707" i="47"/>
  <c r="H708" i="47"/>
  <c r="H709" i="47"/>
  <c r="H710" i="47"/>
  <c r="H711" i="47"/>
  <c r="H712" i="47"/>
  <c r="H713" i="47"/>
  <c r="H714" i="47"/>
  <c r="H715" i="47"/>
  <c r="H716" i="47"/>
  <c r="H717" i="47"/>
  <c r="H718" i="47"/>
  <c r="H719" i="47"/>
  <c r="H720" i="47"/>
  <c r="H721" i="47"/>
  <c r="H722" i="47"/>
  <c r="H723" i="47"/>
  <c r="H724" i="47"/>
  <c r="H725" i="47"/>
  <c r="H726" i="47"/>
  <c r="H727" i="47"/>
  <c r="H728" i="47"/>
  <c r="H729" i="47"/>
  <c r="H730" i="47"/>
  <c r="H731" i="47"/>
  <c r="H732" i="47"/>
  <c r="H733" i="47"/>
  <c r="H734" i="47"/>
  <c r="H735" i="47"/>
  <c r="H736" i="47"/>
  <c r="H737" i="47"/>
  <c r="H738" i="47"/>
  <c r="H739" i="47"/>
  <c r="H740" i="47"/>
  <c r="H741" i="47"/>
  <c r="H742" i="47"/>
  <c r="H743" i="47"/>
  <c r="H744" i="47"/>
  <c r="H682" i="47"/>
  <c r="H612" i="47"/>
  <c r="H613" i="47"/>
  <c r="H614" i="47"/>
  <c r="H615" i="47"/>
  <c r="H616" i="47"/>
  <c r="H617" i="47"/>
  <c r="H618" i="47"/>
  <c r="H619" i="47"/>
  <c r="H620" i="47"/>
  <c r="H621" i="47"/>
  <c r="H622" i="47"/>
  <c r="H623" i="47"/>
  <c r="H624" i="47"/>
  <c r="H625" i="47"/>
  <c r="H626" i="47"/>
  <c r="H627" i="47"/>
  <c r="H628" i="47"/>
  <c r="H629" i="47"/>
  <c r="H630" i="47"/>
  <c r="H631" i="47"/>
  <c r="H632" i="47"/>
  <c r="H633" i="47"/>
  <c r="H634" i="47"/>
  <c r="H635" i="47"/>
  <c r="H636" i="47"/>
  <c r="H637" i="47"/>
  <c r="H638" i="47"/>
  <c r="H639" i="47"/>
  <c r="H640" i="47"/>
  <c r="H641" i="47"/>
  <c r="H642" i="47"/>
  <c r="H643" i="47"/>
  <c r="H644" i="47"/>
  <c r="H645" i="47"/>
  <c r="H646" i="47"/>
  <c r="H647" i="47"/>
  <c r="H648" i="47"/>
  <c r="H649" i="47"/>
  <c r="H650" i="47"/>
  <c r="H651" i="47"/>
  <c r="H652" i="47"/>
  <c r="H653" i="47"/>
  <c r="H654" i="47"/>
  <c r="H655" i="47"/>
  <c r="H656" i="47"/>
  <c r="H657" i="47"/>
  <c r="H658" i="47"/>
  <c r="H659" i="47"/>
  <c r="H660" i="47"/>
  <c r="H661" i="47"/>
  <c r="H662" i="47"/>
  <c r="H663" i="47"/>
  <c r="H611" i="47"/>
  <c r="H534" i="47"/>
  <c r="H535" i="47"/>
  <c r="H536" i="47"/>
  <c r="H537" i="47"/>
  <c r="H538" i="47"/>
  <c r="H539" i="47"/>
  <c r="H540" i="47"/>
  <c r="H541" i="47"/>
  <c r="H542" i="47"/>
  <c r="H543" i="47"/>
  <c r="H544" i="47"/>
  <c r="H545" i="47"/>
  <c r="H546" i="47"/>
  <c r="H547" i="47"/>
  <c r="H548" i="47"/>
  <c r="H549" i="47"/>
  <c r="H550" i="47"/>
  <c r="H551" i="47"/>
  <c r="H552" i="47"/>
  <c r="H553" i="47"/>
  <c r="H554" i="47"/>
  <c r="H555" i="47"/>
  <c r="H556" i="47"/>
  <c r="H557" i="47"/>
  <c r="H558" i="47"/>
  <c r="H559" i="47"/>
  <c r="H560" i="47"/>
  <c r="H561" i="47"/>
  <c r="H562" i="47"/>
  <c r="H563" i="47"/>
  <c r="H564" i="47"/>
  <c r="H565" i="47"/>
  <c r="H566" i="47"/>
  <c r="H567" i="47"/>
  <c r="H568" i="47"/>
  <c r="H569" i="47"/>
  <c r="H570" i="47"/>
  <c r="H571" i="47"/>
  <c r="H572" i="47"/>
  <c r="H573" i="47"/>
  <c r="H574" i="47"/>
  <c r="H575" i="47"/>
  <c r="H576" i="47"/>
  <c r="H577" i="47"/>
  <c r="H578" i="47"/>
  <c r="H579" i="47"/>
  <c r="H580" i="47"/>
  <c r="H581" i="47"/>
  <c r="H582" i="47"/>
  <c r="H583" i="47"/>
  <c r="H584" i="47"/>
  <c r="H585" i="47"/>
  <c r="H586" i="47"/>
  <c r="H587" i="47"/>
  <c r="H588" i="47"/>
  <c r="H589" i="47"/>
  <c r="H590" i="47"/>
  <c r="H591" i="47"/>
  <c r="H592" i="47"/>
  <c r="H593" i="47"/>
  <c r="H594" i="47"/>
  <c r="H595" i="47"/>
  <c r="H596" i="47"/>
  <c r="H597" i="47"/>
  <c r="H598" i="47"/>
  <c r="H599" i="47"/>
  <c r="H600" i="47"/>
  <c r="H601" i="47"/>
  <c r="H533" i="47"/>
  <c r="H466" i="47"/>
  <c r="H467" i="47"/>
  <c r="H468" i="47"/>
  <c r="H469" i="47"/>
  <c r="H470" i="47"/>
  <c r="H471" i="47"/>
  <c r="H472" i="47"/>
  <c r="H473" i="47"/>
  <c r="H474" i="47"/>
  <c r="H475" i="47"/>
  <c r="H476" i="47"/>
  <c r="H477" i="47"/>
  <c r="H478" i="47"/>
  <c r="H479" i="47"/>
  <c r="H480" i="47"/>
  <c r="H481" i="47"/>
  <c r="H482" i="47"/>
  <c r="H483" i="47"/>
  <c r="H484" i="47"/>
  <c r="H485" i="47"/>
  <c r="H486" i="47"/>
  <c r="H487" i="47"/>
  <c r="H488" i="47"/>
  <c r="H489" i="47"/>
  <c r="H490" i="47"/>
  <c r="H491" i="47"/>
  <c r="H492" i="47"/>
  <c r="H493" i="47"/>
  <c r="H494" i="47"/>
  <c r="H495" i="47"/>
  <c r="H496" i="47"/>
  <c r="H497" i="47"/>
  <c r="H498" i="47"/>
  <c r="H499" i="47"/>
  <c r="H500" i="47"/>
  <c r="H501" i="47"/>
  <c r="H502" i="47"/>
  <c r="H503" i="47"/>
  <c r="H504" i="47"/>
  <c r="H505" i="47"/>
  <c r="H506" i="47"/>
  <c r="H507" i="47"/>
  <c r="H508" i="47"/>
  <c r="H509" i="47"/>
  <c r="H510" i="47"/>
  <c r="H511" i="47"/>
  <c r="H512" i="47"/>
  <c r="H513" i="47"/>
  <c r="H514" i="47"/>
  <c r="H515" i="47"/>
  <c r="H516" i="47"/>
  <c r="H517" i="47"/>
  <c r="H518" i="47"/>
  <c r="H519" i="47"/>
  <c r="H520" i="47"/>
  <c r="H521" i="47"/>
  <c r="H522" i="47"/>
  <c r="H523" i="47"/>
  <c r="H524" i="47"/>
  <c r="H525" i="47"/>
  <c r="H465" i="47"/>
  <c r="H396" i="47"/>
  <c r="H397" i="47"/>
  <c r="H398" i="47"/>
  <c r="H399" i="47"/>
  <c r="H400" i="47"/>
  <c r="H401" i="47"/>
  <c r="H402" i="47"/>
  <c r="H403" i="47"/>
  <c r="H404" i="47"/>
  <c r="H405" i="47"/>
  <c r="H406" i="47"/>
  <c r="H407" i="47"/>
  <c r="H408" i="47"/>
  <c r="H409" i="47"/>
  <c r="H410" i="47"/>
  <c r="H411" i="47"/>
  <c r="H412" i="47"/>
  <c r="H413" i="47"/>
  <c r="H414" i="47"/>
  <c r="H415" i="47"/>
  <c r="H416" i="47"/>
  <c r="H417" i="47"/>
  <c r="H418" i="47"/>
  <c r="H419" i="47"/>
  <c r="H420" i="47"/>
  <c r="H421" i="47"/>
  <c r="H422" i="47"/>
  <c r="H423" i="47"/>
  <c r="H424" i="47"/>
  <c r="H425" i="47"/>
  <c r="H426" i="47"/>
  <c r="H427" i="47"/>
  <c r="H428" i="47"/>
  <c r="H429" i="47"/>
  <c r="H430" i="47"/>
  <c r="H431" i="47"/>
  <c r="H432" i="47"/>
  <c r="H433" i="47"/>
  <c r="H434" i="47"/>
  <c r="H435" i="47"/>
  <c r="H436" i="47"/>
  <c r="H437" i="47"/>
  <c r="H438" i="47"/>
  <c r="H439" i="47"/>
  <c r="H440" i="47"/>
  <c r="H441" i="47"/>
  <c r="H442" i="47"/>
  <c r="H443" i="47"/>
  <c r="H444" i="47"/>
  <c r="H445" i="47"/>
  <c r="H446" i="47"/>
  <c r="H447" i="47"/>
  <c r="H448" i="47"/>
  <c r="H449" i="47"/>
  <c r="H450" i="47"/>
  <c r="H451" i="47"/>
  <c r="H452" i="47"/>
  <c r="H453" i="47"/>
  <c r="H454" i="47"/>
  <c r="H455" i="47"/>
  <c r="H456" i="47"/>
  <c r="H395" i="47"/>
  <c r="H322" i="47"/>
  <c r="H323" i="47"/>
  <c r="H324" i="47"/>
  <c r="H325" i="47"/>
  <c r="H326" i="47"/>
  <c r="H327" i="47"/>
  <c r="H328" i="47"/>
  <c r="H329" i="47"/>
  <c r="H330" i="47"/>
  <c r="H331" i="47"/>
  <c r="H332" i="47"/>
  <c r="H333" i="47"/>
  <c r="H334" i="47"/>
  <c r="H335" i="47"/>
  <c r="H336" i="47"/>
  <c r="H337" i="47"/>
  <c r="H338" i="47"/>
  <c r="H339" i="47"/>
  <c r="H340" i="47"/>
  <c r="H341" i="47"/>
  <c r="H342" i="47"/>
  <c r="H343" i="47"/>
  <c r="H344" i="47"/>
  <c r="H345" i="47"/>
  <c r="H346" i="47"/>
  <c r="H347" i="47"/>
  <c r="H348" i="47"/>
  <c r="H349" i="47"/>
  <c r="H350" i="47"/>
  <c r="H351" i="47"/>
  <c r="H352" i="47"/>
  <c r="H353" i="47"/>
  <c r="H354" i="47"/>
  <c r="H355" i="47"/>
  <c r="H356" i="47"/>
  <c r="H357" i="47"/>
  <c r="H358" i="47"/>
  <c r="H359" i="47"/>
  <c r="H360" i="47"/>
  <c r="H361" i="47"/>
  <c r="H362" i="47"/>
  <c r="H363" i="47"/>
  <c r="H364" i="47"/>
  <c r="H365" i="47"/>
  <c r="H366" i="47"/>
  <c r="H367" i="47"/>
  <c r="H368" i="47"/>
  <c r="H369" i="47"/>
  <c r="H370" i="47"/>
  <c r="H371" i="47"/>
  <c r="H372" i="47"/>
  <c r="H373" i="47"/>
  <c r="H374" i="47"/>
  <c r="H375" i="47"/>
  <c r="H376" i="47"/>
  <c r="H377" i="47"/>
  <c r="H378" i="47"/>
  <c r="H379" i="47"/>
  <c r="H380" i="47"/>
  <c r="H381" i="47"/>
  <c r="H382" i="47"/>
  <c r="H383" i="47"/>
  <c r="H384" i="47"/>
  <c r="H385" i="47"/>
  <c r="H386" i="47"/>
  <c r="H387" i="47"/>
  <c r="H388" i="47"/>
  <c r="H389" i="47"/>
  <c r="H321" i="47"/>
  <c r="H250" i="47"/>
  <c r="H251" i="47"/>
  <c r="H252" i="47"/>
  <c r="H253" i="47"/>
  <c r="H254" i="47"/>
  <c r="H255" i="47"/>
  <c r="H256" i="47"/>
  <c r="H257" i="47"/>
  <c r="H258" i="47"/>
  <c r="H259" i="47"/>
  <c r="H260" i="47"/>
  <c r="H261" i="47"/>
  <c r="H262" i="47"/>
  <c r="H263" i="47"/>
  <c r="H264" i="47"/>
  <c r="H265" i="47"/>
  <c r="H266" i="47"/>
  <c r="H267" i="47"/>
  <c r="H268" i="47"/>
  <c r="H269" i="47"/>
  <c r="H270" i="47"/>
  <c r="H271" i="47"/>
  <c r="H272" i="47"/>
  <c r="H273" i="47"/>
  <c r="H274" i="47"/>
  <c r="H275" i="47"/>
  <c r="H276" i="47"/>
  <c r="H277" i="47"/>
  <c r="H278" i="47"/>
  <c r="H279" i="47"/>
  <c r="H280" i="47"/>
  <c r="H281" i="47"/>
  <c r="H282" i="47"/>
  <c r="H283" i="47"/>
  <c r="H284" i="47"/>
  <c r="H285" i="47"/>
  <c r="H286" i="47"/>
  <c r="H287" i="47"/>
  <c r="H288" i="47"/>
  <c r="H289" i="47"/>
  <c r="H290" i="47"/>
  <c r="H291" i="47"/>
  <c r="H292" i="47"/>
  <c r="H293" i="47"/>
  <c r="H294" i="47"/>
  <c r="H295" i="47"/>
  <c r="H296" i="47"/>
  <c r="H297" i="47"/>
  <c r="H298" i="47"/>
  <c r="H299" i="47"/>
  <c r="H300" i="47"/>
  <c r="H301" i="47"/>
  <c r="H302" i="47"/>
  <c r="H303" i="47"/>
  <c r="H304" i="47"/>
  <c r="H305" i="47"/>
  <c r="H306" i="47"/>
  <c r="H307" i="47"/>
  <c r="H308" i="47"/>
  <c r="H309" i="47"/>
  <c r="H310" i="47"/>
  <c r="H311" i="47"/>
  <c r="H312" i="47"/>
  <c r="H313" i="47"/>
  <c r="H314" i="47"/>
  <c r="H315" i="47"/>
  <c r="H249" i="47"/>
  <c r="H191" i="47"/>
  <c r="H192" i="47"/>
  <c r="H193" i="47"/>
  <c r="H194" i="47"/>
  <c r="H195" i="47"/>
  <c r="H196" i="47"/>
  <c r="H197" i="47"/>
  <c r="H198" i="47"/>
  <c r="H199" i="47"/>
  <c r="H200" i="47"/>
  <c r="H201" i="47"/>
  <c r="H202" i="47"/>
  <c r="H203" i="47"/>
  <c r="H204" i="47"/>
  <c r="H205" i="47"/>
  <c r="H206" i="47"/>
  <c r="H207" i="47"/>
  <c r="H208" i="47"/>
  <c r="H209" i="47"/>
  <c r="H210" i="47"/>
  <c r="H211" i="47"/>
  <c r="H212" i="47"/>
  <c r="H213" i="47"/>
  <c r="H214" i="47"/>
  <c r="H215" i="47"/>
  <c r="H216" i="47"/>
  <c r="H217" i="47"/>
  <c r="H218" i="47"/>
  <c r="H219" i="47"/>
  <c r="H220" i="47"/>
  <c r="H221" i="47"/>
  <c r="H222" i="47"/>
  <c r="H223" i="47"/>
  <c r="H224" i="47"/>
  <c r="H225" i="47"/>
  <c r="H226" i="47"/>
  <c r="H227" i="47"/>
  <c r="H228" i="47"/>
  <c r="H229" i="47"/>
  <c r="H230" i="47"/>
  <c r="H231" i="47"/>
  <c r="H232" i="47"/>
  <c r="H233" i="47"/>
  <c r="H234" i="47"/>
  <c r="H235" i="47"/>
  <c r="H236" i="47"/>
  <c r="H237" i="47"/>
  <c r="H190" i="47"/>
  <c r="H131" i="47"/>
  <c r="H132" i="47"/>
  <c r="H133" i="47"/>
  <c r="H134" i="47"/>
  <c r="H135" i="47"/>
  <c r="H136" i="47"/>
  <c r="H137" i="47"/>
  <c r="H138" i="47"/>
  <c r="H139" i="47"/>
  <c r="H140" i="47"/>
  <c r="H141" i="47"/>
  <c r="H142" i="47"/>
  <c r="H143" i="47"/>
  <c r="H144" i="47"/>
  <c r="H145" i="47"/>
  <c r="H146" i="47"/>
  <c r="H147" i="47"/>
  <c r="H148" i="47"/>
  <c r="H149" i="47"/>
  <c r="H150" i="47"/>
  <c r="H151" i="47"/>
  <c r="H152" i="47"/>
  <c r="H153" i="47"/>
  <c r="H154" i="47"/>
  <c r="H155" i="47"/>
  <c r="H156" i="47"/>
  <c r="H157" i="47"/>
  <c r="H158" i="47"/>
  <c r="H159" i="47"/>
  <c r="H160" i="47"/>
  <c r="H161" i="47"/>
  <c r="H162" i="47"/>
  <c r="H163" i="47"/>
  <c r="H164" i="47"/>
  <c r="H165" i="47"/>
  <c r="H166" i="47"/>
  <c r="H167" i="47"/>
  <c r="H168" i="47"/>
  <c r="H169" i="47"/>
  <c r="H170" i="47"/>
  <c r="H171" i="47"/>
  <c r="H172" i="47"/>
  <c r="H173" i="47"/>
  <c r="H174" i="47"/>
  <c r="H175" i="47"/>
  <c r="H176" i="47"/>
  <c r="H177" i="47"/>
  <c r="H178" i="47"/>
  <c r="H179" i="47"/>
  <c r="H180" i="47"/>
  <c r="H181" i="47"/>
  <c r="H182" i="47"/>
  <c r="H183" i="47"/>
  <c r="H184" i="47"/>
  <c r="H130" i="47"/>
  <c r="H67" i="47"/>
  <c r="H68" i="47"/>
  <c r="H69" i="47"/>
  <c r="H70" i="47"/>
  <c r="H71" i="47"/>
  <c r="H72" i="47"/>
  <c r="H73" i="47"/>
  <c r="H74" i="47"/>
  <c r="H75" i="47"/>
  <c r="H76" i="47"/>
  <c r="H77" i="47"/>
  <c r="H78" i="47"/>
  <c r="H79" i="47"/>
  <c r="H80" i="47"/>
  <c r="H81" i="47"/>
  <c r="H82" i="47"/>
  <c r="H83" i="47"/>
  <c r="H84" i="47"/>
  <c r="H85" i="47"/>
  <c r="H86" i="47"/>
  <c r="H87" i="47"/>
  <c r="H88" i="47"/>
  <c r="H89" i="47"/>
  <c r="H90" i="47"/>
  <c r="H91" i="47"/>
  <c r="H92" i="47"/>
  <c r="H93" i="47"/>
  <c r="H94" i="47"/>
  <c r="H95" i="47"/>
  <c r="H96" i="47"/>
  <c r="H97" i="47"/>
  <c r="H98" i="47"/>
  <c r="H99" i="47"/>
  <c r="H100" i="47"/>
  <c r="H101" i="47"/>
  <c r="H102" i="47"/>
  <c r="H103" i="47"/>
  <c r="H104" i="47"/>
  <c r="H105" i="47"/>
  <c r="H106" i="47"/>
  <c r="H107" i="47"/>
  <c r="H108" i="47"/>
  <c r="H109" i="47"/>
  <c r="H110" i="47"/>
  <c r="H111" i="47"/>
  <c r="H112" i="47"/>
  <c r="H113" i="47"/>
  <c r="H114" i="47"/>
  <c r="H115" i="47"/>
  <c r="H116" i="47"/>
  <c r="H117" i="47"/>
  <c r="H118" i="47"/>
  <c r="H119" i="47"/>
  <c r="H120" i="47"/>
  <c r="H121" i="47"/>
  <c r="H122" i="47"/>
  <c r="H66" i="47"/>
  <c r="H13" i="47"/>
  <c r="H14" i="47"/>
  <c r="H15" i="47"/>
  <c r="H16" i="47"/>
  <c r="H17" i="47"/>
  <c r="H18" i="47"/>
  <c r="H19" i="47"/>
  <c r="H20" i="47"/>
  <c r="H21" i="47"/>
  <c r="H22" i="47"/>
  <c r="H23" i="47"/>
  <c r="H24" i="47"/>
  <c r="H25" i="47"/>
  <c r="H26" i="47"/>
  <c r="H27" i="47"/>
  <c r="H28" i="47"/>
  <c r="H29" i="47"/>
  <c r="H30" i="47"/>
  <c r="H31" i="47"/>
  <c r="H32" i="47"/>
  <c r="H33" i="47"/>
  <c r="H34" i="47"/>
  <c r="H35" i="47"/>
  <c r="H36" i="47"/>
  <c r="H37" i="47"/>
  <c r="H38" i="47"/>
  <c r="H39" i="47"/>
  <c r="H40" i="47"/>
  <c r="H41" i="47"/>
  <c r="H42" i="47"/>
  <c r="H43" i="47"/>
  <c r="H44" i="47"/>
  <c r="H45" i="47"/>
  <c r="H46" i="47"/>
  <c r="H47" i="47"/>
  <c r="H48" i="47"/>
  <c r="H49" i="47"/>
  <c r="H50" i="47"/>
  <c r="H51" i="47"/>
  <c r="H52" i="47"/>
  <c r="H53" i="47"/>
  <c r="H54" i="47"/>
  <c r="H55" i="47"/>
  <c r="H56" i="47"/>
  <c r="H57" i="47"/>
  <c r="H58" i="47"/>
  <c r="H59" i="47"/>
  <c r="H12" i="47"/>
  <c r="H150" i="27"/>
  <c r="H151" i="27"/>
  <c r="H149" i="27"/>
  <c r="H90" i="27"/>
  <c r="H91" i="27"/>
  <c r="H92" i="27"/>
  <c r="H93" i="27"/>
  <c r="H94" i="27"/>
  <c r="H95" i="27"/>
  <c r="H96" i="27"/>
  <c r="H97" i="27"/>
  <c r="H98" i="27"/>
  <c r="H99" i="27"/>
  <c r="H100" i="27"/>
  <c r="H101" i="27"/>
  <c r="H102" i="27"/>
  <c r="H103" i="27"/>
  <c r="H104" i="27"/>
  <c r="H105" i="27"/>
  <c r="H106" i="27"/>
  <c r="H107" i="27"/>
  <c r="H108" i="27"/>
  <c r="H109" i="27"/>
  <c r="H110" i="27"/>
  <c r="H111" i="27"/>
  <c r="H112" i="27"/>
  <c r="H113" i="27"/>
  <c r="H114" i="27"/>
  <c r="H115" i="27"/>
  <c r="H116" i="27"/>
  <c r="H117" i="27"/>
  <c r="H118" i="27"/>
  <c r="H119" i="27"/>
  <c r="H120" i="27"/>
  <c r="H121" i="27"/>
  <c r="H122" i="27"/>
  <c r="H123" i="27"/>
  <c r="H124" i="27"/>
  <c r="H125" i="27"/>
  <c r="H126" i="27"/>
  <c r="H127" i="27"/>
  <c r="H128" i="27"/>
  <c r="H129" i="27"/>
  <c r="H130" i="27"/>
  <c r="H131" i="27"/>
  <c r="H132" i="27"/>
  <c r="H133" i="27"/>
  <c r="H134" i="27"/>
  <c r="H135" i="27"/>
  <c r="H136" i="27"/>
  <c r="H137" i="27"/>
  <c r="H138" i="27"/>
  <c r="H139" i="27"/>
  <c r="H140" i="27"/>
  <c r="H141" i="27"/>
  <c r="H89" i="27"/>
  <c r="H11" i="27"/>
  <c r="H12" i="27"/>
  <c r="H13" i="27"/>
  <c r="H14" i="27"/>
  <c r="H15" i="27"/>
  <c r="H16" i="27"/>
  <c r="H17" i="27"/>
  <c r="H18" i="27"/>
  <c r="H19" i="27"/>
  <c r="H20" i="27"/>
  <c r="H21" i="27"/>
  <c r="H22" i="27"/>
  <c r="H23" i="27"/>
  <c r="H24" i="27"/>
  <c r="H25" i="27"/>
  <c r="H26" i="27"/>
  <c r="H27" i="27"/>
  <c r="H28" i="27"/>
  <c r="H29" i="27"/>
  <c r="H30" i="27"/>
  <c r="H31" i="27"/>
  <c r="H32" i="27"/>
  <c r="H33" i="27"/>
  <c r="H34" i="27"/>
  <c r="H35" i="27"/>
  <c r="H36" i="27"/>
  <c r="H37" i="27"/>
  <c r="H38" i="27"/>
  <c r="H39" i="27"/>
  <c r="H40" i="27"/>
  <c r="H41" i="27"/>
  <c r="H42" i="27"/>
  <c r="H43" i="27"/>
  <c r="H44" i="27"/>
  <c r="H45" i="27"/>
  <c r="H46" i="27"/>
  <c r="H47" i="27"/>
  <c r="H48" i="27"/>
  <c r="H49" i="27"/>
  <c r="H50" i="27"/>
  <c r="H51" i="27"/>
  <c r="H52" i="27"/>
  <c r="H53" i="27"/>
  <c r="H54" i="27"/>
  <c r="H55" i="27"/>
  <c r="H56" i="27"/>
  <c r="H57" i="27"/>
  <c r="H58" i="27"/>
  <c r="H59" i="27"/>
  <c r="H60" i="27"/>
  <c r="H61" i="27"/>
  <c r="H62" i="27"/>
  <c r="H63" i="27"/>
  <c r="H64" i="27"/>
  <c r="H65" i="27"/>
  <c r="H66" i="27"/>
  <c r="H67" i="27"/>
  <c r="H68" i="27"/>
  <c r="H69" i="27"/>
  <c r="H70" i="27"/>
  <c r="H71" i="27"/>
  <c r="H72" i="27"/>
  <c r="H73" i="27"/>
  <c r="H74" i="27"/>
  <c r="H75" i="27"/>
  <c r="H76" i="27"/>
  <c r="H10" i="27"/>
  <c r="H80" i="27" s="1"/>
  <c r="H138" i="26"/>
  <c r="H136" i="26"/>
  <c r="H68" i="26"/>
  <c r="H69" i="26"/>
  <c r="H70" i="26"/>
  <c r="H71" i="26"/>
  <c r="H72" i="26"/>
  <c r="H73" i="26"/>
  <c r="H74" i="26"/>
  <c r="H75" i="26"/>
  <c r="H76" i="26"/>
  <c r="H77" i="26"/>
  <c r="H78" i="26"/>
  <c r="H79" i="26"/>
  <c r="H80" i="26"/>
  <c r="H81" i="26"/>
  <c r="H82" i="26"/>
  <c r="H83" i="26"/>
  <c r="H84" i="26"/>
  <c r="H85" i="26"/>
  <c r="H86" i="26"/>
  <c r="H87" i="26"/>
  <c r="H88" i="26"/>
  <c r="H89" i="26"/>
  <c r="H90" i="26"/>
  <c r="H91" i="26"/>
  <c r="H92" i="26"/>
  <c r="H93" i="26"/>
  <c r="H94" i="26"/>
  <c r="H95" i="26"/>
  <c r="H96" i="26"/>
  <c r="H97" i="26"/>
  <c r="H98" i="26"/>
  <c r="H99" i="26"/>
  <c r="H100" i="26"/>
  <c r="H101" i="26"/>
  <c r="H102" i="26"/>
  <c r="H103" i="26"/>
  <c r="H104" i="26"/>
  <c r="H105" i="26"/>
  <c r="H106" i="26"/>
  <c r="H107" i="26"/>
  <c r="H108" i="26"/>
  <c r="H109" i="26"/>
  <c r="H110" i="26"/>
  <c r="H111" i="26"/>
  <c r="H112" i="26"/>
  <c r="H113" i="26"/>
  <c r="H114" i="26"/>
  <c r="H115" i="26"/>
  <c r="H116" i="26"/>
  <c r="H117" i="26"/>
  <c r="H118" i="26"/>
  <c r="H119" i="26"/>
  <c r="H120" i="26"/>
  <c r="H121" i="26"/>
  <c r="H122" i="26"/>
  <c r="H123" i="26"/>
  <c r="H124" i="26"/>
  <c r="H125" i="26"/>
  <c r="H67" i="26"/>
  <c r="H13" i="26"/>
  <c r="H14" i="26"/>
  <c r="H15" i="26"/>
  <c r="H16" i="26"/>
  <c r="H17" i="26"/>
  <c r="H18" i="26"/>
  <c r="H19" i="26"/>
  <c r="H20" i="26"/>
  <c r="H21" i="26"/>
  <c r="H22" i="26"/>
  <c r="H23" i="26"/>
  <c r="H24" i="26"/>
  <c r="H25" i="26"/>
  <c r="H26" i="26"/>
  <c r="H27" i="26"/>
  <c r="H28" i="26"/>
  <c r="H29" i="26"/>
  <c r="H30" i="26"/>
  <c r="H31" i="26"/>
  <c r="H32" i="26"/>
  <c r="H33" i="26"/>
  <c r="H34" i="26"/>
  <c r="H35" i="26"/>
  <c r="H36" i="26"/>
  <c r="H37" i="26"/>
  <c r="H38" i="26"/>
  <c r="H39" i="26"/>
  <c r="H40" i="26"/>
  <c r="H41" i="26"/>
  <c r="H42" i="26"/>
  <c r="H43" i="26"/>
  <c r="H44" i="26"/>
  <c r="H45" i="26"/>
  <c r="H46" i="26"/>
  <c r="H47" i="26"/>
  <c r="H48" i="26"/>
  <c r="H49" i="26"/>
  <c r="H50" i="26"/>
  <c r="H51" i="26"/>
  <c r="H52" i="26"/>
  <c r="H53" i="26"/>
  <c r="H54" i="26"/>
  <c r="H55" i="26"/>
  <c r="H56" i="26"/>
  <c r="H57" i="26"/>
  <c r="H58" i="26"/>
  <c r="H59" i="26"/>
  <c r="H60" i="26"/>
  <c r="H61" i="26"/>
  <c r="H12" i="26"/>
  <c r="H74" i="25"/>
  <c r="H75" i="25"/>
  <c r="H76" i="25"/>
  <c r="H77" i="25"/>
  <c r="H78" i="25"/>
  <c r="H79" i="25"/>
  <c r="H80" i="25"/>
  <c r="H81" i="25"/>
  <c r="H82" i="25"/>
  <c r="H83" i="25"/>
  <c r="H84" i="25"/>
  <c r="H85" i="25"/>
  <c r="H86" i="25"/>
  <c r="H87" i="25"/>
  <c r="H88" i="25"/>
  <c r="H89" i="25"/>
  <c r="H90" i="25"/>
  <c r="H91" i="25"/>
  <c r="H92" i="25"/>
  <c r="H93" i="25"/>
  <c r="H94" i="25"/>
  <c r="H95" i="25"/>
  <c r="H96" i="25"/>
  <c r="H97" i="25"/>
  <c r="H98" i="25"/>
  <c r="H73" i="25"/>
  <c r="H11" i="25"/>
  <c r="H12" i="25"/>
  <c r="H13" i="25"/>
  <c r="H14" i="25"/>
  <c r="H15" i="25"/>
  <c r="H16" i="25"/>
  <c r="H17" i="25"/>
  <c r="H18" i="25"/>
  <c r="H19" i="25"/>
  <c r="H20" i="25"/>
  <c r="H21" i="25"/>
  <c r="H22" i="25"/>
  <c r="H23" i="25"/>
  <c r="H24" i="25"/>
  <c r="H25" i="25"/>
  <c r="H26" i="25"/>
  <c r="H27" i="25"/>
  <c r="H28" i="25"/>
  <c r="H29" i="25"/>
  <c r="H30" i="25"/>
  <c r="H31" i="25"/>
  <c r="H32" i="25"/>
  <c r="H33" i="25"/>
  <c r="H34" i="25"/>
  <c r="H35" i="25"/>
  <c r="H36" i="25"/>
  <c r="H37" i="25"/>
  <c r="H38" i="25"/>
  <c r="H39" i="25"/>
  <c r="H40" i="25"/>
  <c r="H41" i="25"/>
  <c r="H42" i="25"/>
  <c r="H43" i="25"/>
  <c r="H44" i="25"/>
  <c r="H45" i="25"/>
  <c r="H46" i="25"/>
  <c r="H47" i="25"/>
  <c r="H48" i="25"/>
  <c r="H49" i="25"/>
  <c r="H50" i="25"/>
  <c r="H51" i="25"/>
  <c r="H52" i="25"/>
  <c r="H53" i="25"/>
  <c r="H54" i="25"/>
  <c r="H55" i="25"/>
  <c r="H56" i="25"/>
  <c r="H57" i="25"/>
  <c r="H58" i="25"/>
  <c r="H59" i="25"/>
  <c r="H60" i="25"/>
  <c r="H61" i="25"/>
  <c r="H62" i="25"/>
  <c r="H63" i="25"/>
  <c r="H10" i="25"/>
  <c r="H73" i="44"/>
  <c r="H74" i="44"/>
  <c r="H75" i="44"/>
  <c r="H76" i="44"/>
  <c r="H77" i="44"/>
  <c r="H78" i="44"/>
  <c r="H79" i="44"/>
  <c r="H80" i="44"/>
  <c r="H81" i="44"/>
  <c r="H82" i="44"/>
  <c r="H83" i="44"/>
  <c r="H84" i="44"/>
  <c r="H85" i="44"/>
  <c r="H86" i="44"/>
  <c r="H87" i="44"/>
  <c r="H88" i="44"/>
  <c r="H89" i="44"/>
  <c r="H90" i="44"/>
  <c r="H91" i="44"/>
  <c r="H92" i="44"/>
  <c r="H93" i="44"/>
  <c r="H94" i="44"/>
  <c r="H95" i="44"/>
  <c r="H96" i="44"/>
  <c r="H97" i="44"/>
  <c r="H98" i="44"/>
  <c r="H99" i="44"/>
  <c r="H100" i="44"/>
  <c r="H101" i="44"/>
  <c r="H102" i="44"/>
  <c r="H103" i="44"/>
  <c r="H104" i="44"/>
  <c r="H105" i="44"/>
  <c r="H106" i="44"/>
  <c r="H107" i="44"/>
  <c r="H72" i="44"/>
  <c r="H11" i="44"/>
  <c r="H12" i="44"/>
  <c r="H13" i="44"/>
  <c r="H14" i="44"/>
  <c r="H15" i="44"/>
  <c r="H16" i="44"/>
  <c r="H17" i="44"/>
  <c r="H18" i="44"/>
  <c r="H19" i="44"/>
  <c r="H20" i="44"/>
  <c r="H21" i="44"/>
  <c r="H22" i="44"/>
  <c r="H23" i="44"/>
  <c r="H24" i="44"/>
  <c r="H25" i="44"/>
  <c r="H26" i="44"/>
  <c r="H27" i="44"/>
  <c r="H28" i="44"/>
  <c r="H29" i="44"/>
  <c r="H30" i="44"/>
  <c r="H31" i="44"/>
  <c r="H32" i="44"/>
  <c r="H33" i="44"/>
  <c r="H34" i="44"/>
  <c r="H35" i="44"/>
  <c r="H36" i="44"/>
  <c r="H37" i="44"/>
  <c r="H38" i="44"/>
  <c r="H39" i="44"/>
  <c r="H40" i="44"/>
  <c r="H41" i="44"/>
  <c r="H42" i="44"/>
  <c r="H43" i="44"/>
  <c r="H44" i="44"/>
  <c r="H45" i="44"/>
  <c r="H46" i="44"/>
  <c r="H47" i="44"/>
  <c r="H48" i="44"/>
  <c r="H49" i="44"/>
  <c r="H50" i="44"/>
  <c r="H51" i="44"/>
  <c r="H52" i="44"/>
  <c r="H53" i="44"/>
  <c r="H54" i="44"/>
  <c r="H55" i="44"/>
  <c r="H56" i="44"/>
  <c r="H57" i="44"/>
  <c r="H58" i="44"/>
  <c r="H59" i="44"/>
  <c r="H60" i="44"/>
  <c r="H61" i="44"/>
  <c r="H62" i="44"/>
  <c r="H63" i="44"/>
  <c r="H64" i="44"/>
  <c r="H65" i="44"/>
  <c r="H66" i="44"/>
  <c r="H10" i="44"/>
  <c r="H77" i="40"/>
  <c r="H78" i="40"/>
  <c r="H79" i="40"/>
  <c r="H80" i="40"/>
  <c r="H81" i="40"/>
  <c r="H82" i="40"/>
  <c r="H83" i="40"/>
  <c r="H84" i="40"/>
  <c r="H85" i="40"/>
  <c r="H86" i="40"/>
  <c r="H87" i="40"/>
  <c r="H88" i="40"/>
  <c r="H89" i="40"/>
  <c r="H90" i="40"/>
  <c r="H91" i="40"/>
  <c r="H92" i="40"/>
  <c r="H93" i="40"/>
  <c r="H94" i="40"/>
  <c r="H95" i="40"/>
  <c r="H96" i="40"/>
  <c r="H97" i="40"/>
  <c r="H98" i="40"/>
  <c r="H99" i="40"/>
  <c r="H100" i="40"/>
  <c r="H101" i="40"/>
  <c r="H102" i="40"/>
  <c r="H103" i="40"/>
  <c r="H104" i="40"/>
  <c r="H105" i="40"/>
  <c r="H106" i="40"/>
  <c r="H107" i="40"/>
  <c r="H108" i="40"/>
  <c r="H109" i="40"/>
  <c r="H110" i="40"/>
  <c r="H111" i="40"/>
  <c r="H112" i="40"/>
  <c r="H113" i="40"/>
  <c r="H114" i="40"/>
  <c r="H115" i="40"/>
  <c r="H116" i="40"/>
  <c r="H117" i="40"/>
  <c r="H118" i="40"/>
  <c r="H119" i="40"/>
  <c r="H120" i="40"/>
  <c r="H121" i="40"/>
  <c r="H122" i="40"/>
  <c r="H123" i="40"/>
  <c r="H124" i="40"/>
  <c r="H125" i="40"/>
  <c r="H126" i="40"/>
  <c r="H127" i="40"/>
  <c r="H76" i="40"/>
  <c r="H11" i="40"/>
  <c r="H12" i="40"/>
  <c r="H13" i="40"/>
  <c r="H14" i="40"/>
  <c r="H15" i="40"/>
  <c r="H16" i="40"/>
  <c r="H17" i="40"/>
  <c r="H18" i="40"/>
  <c r="H19" i="40"/>
  <c r="H20" i="40"/>
  <c r="H21" i="40"/>
  <c r="H22" i="40"/>
  <c r="H23" i="40"/>
  <c r="H24" i="40"/>
  <c r="H25" i="40"/>
  <c r="H26" i="40"/>
  <c r="H27" i="40"/>
  <c r="H28" i="40"/>
  <c r="H29" i="40"/>
  <c r="H30" i="40"/>
  <c r="H31" i="40"/>
  <c r="H32" i="40"/>
  <c r="H33" i="40"/>
  <c r="H34" i="40"/>
  <c r="H35" i="40"/>
  <c r="H36" i="40"/>
  <c r="H37" i="40"/>
  <c r="H38" i="40"/>
  <c r="H39" i="40"/>
  <c r="H40" i="40"/>
  <c r="H41" i="40"/>
  <c r="H42" i="40"/>
  <c r="H43" i="40"/>
  <c r="H44" i="40"/>
  <c r="H45" i="40"/>
  <c r="H46" i="40"/>
  <c r="H47" i="40"/>
  <c r="H48" i="40"/>
  <c r="H49" i="40"/>
  <c r="H50" i="40"/>
  <c r="H51" i="40"/>
  <c r="H52" i="40"/>
  <c r="H53" i="40"/>
  <c r="H54" i="40"/>
  <c r="H55" i="40"/>
  <c r="H56" i="40"/>
  <c r="H57" i="40"/>
  <c r="H58" i="40"/>
  <c r="H59" i="40"/>
  <c r="H60" i="40"/>
  <c r="H61" i="40"/>
  <c r="H62" i="40"/>
  <c r="H63" i="40"/>
  <c r="H64" i="40"/>
  <c r="H65" i="40"/>
  <c r="H66" i="40"/>
  <c r="H67" i="40"/>
  <c r="H10" i="40"/>
  <c r="H279" i="24"/>
  <c r="H280" i="24"/>
  <c r="H281" i="24"/>
  <c r="H282" i="24"/>
  <c r="H283" i="24"/>
  <c r="H284" i="24"/>
  <c r="H285" i="24"/>
  <c r="H286" i="24"/>
  <c r="H287" i="24"/>
  <c r="H288" i="24"/>
  <c r="H289" i="24"/>
  <c r="H290" i="24"/>
  <c r="H291" i="24"/>
  <c r="H292" i="24"/>
  <c r="H293" i="24"/>
  <c r="H278" i="24"/>
  <c r="H196" i="24"/>
  <c r="H197" i="24"/>
  <c r="H198" i="24"/>
  <c r="H199" i="24"/>
  <c r="H200" i="24"/>
  <c r="H201" i="24"/>
  <c r="H202" i="24"/>
  <c r="H203" i="24"/>
  <c r="H204" i="24"/>
  <c r="H205" i="24"/>
  <c r="H206" i="24"/>
  <c r="H207" i="24"/>
  <c r="H208" i="24"/>
  <c r="H209" i="24"/>
  <c r="H210" i="24"/>
  <c r="H211" i="24"/>
  <c r="H212" i="24"/>
  <c r="H213" i="24"/>
  <c r="H214" i="24"/>
  <c r="H215" i="24"/>
  <c r="H216" i="24"/>
  <c r="H217" i="24"/>
  <c r="H218" i="24"/>
  <c r="H219" i="24"/>
  <c r="H220" i="24"/>
  <c r="H221" i="24"/>
  <c r="H222" i="24"/>
  <c r="H223" i="24"/>
  <c r="H224" i="24"/>
  <c r="H225" i="24"/>
  <c r="H226" i="24"/>
  <c r="H227" i="24"/>
  <c r="H228" i="24"/>
  <c r="H229" i="24"/>
  <c r="H230" i="24"/>
  <c r="H231" i="24"/>
  <c r="H232" i="24"/>
  <c r="H233" i="24"/>
  <c r="H234" i="24"/>
  <c r="H235" i="24"/>
  <c r="H236" i="24"/>
  <c r="H237" i="24"/>
  <c r="H238" i="24"/>
  <c r="H239" i="24"/>
  <c r="H240" i="24"/>
  <c r="H241" i="24"/>
  <c r="H242" i="24"/>
  <c r="H243" i="24"/>
  <c r="H244" i="24"/>
  <c r="H245" i="24"/>
  <c r="H246" i="24"/>
  <c r="H247" i="24"/>
  <c r="H248" i="24"/>
  <c r="H249" i="24"/>
  <c r="H250" i="24"/>
  <c r="H251" i="24"/>
  <c r="H252" i="24"/>
  <c r="H253" i="24"/>
  <c r="H254" i="24"/>
  <c r="H255" i="24"/>
  <c r="H256" i="24"/>
  <c r="H257" i="24"/>
  <c r="H258" i="24"/>
  <c r="H259" i="24"/>
  <c r="H260" i="24"/>
  <c r="H261" i="24"/>
  <c r="H262" i="24"/>
  <c r="H263" i="24"/>
  <c r="H264" i="24"/>
  <c r="H265" i="24"/>
  <c r="H266" i="24"/>
  <c r="H267" i="24"/>
  <c r="H268" i="24"/>
  <c r="H269" i="24"/>
  <c r="H270" i="24"/>
  <c r="H195" i="24"/>
  <c r="H131" i="24"/>
  <c r="H132" i="24"/>
  <c r="H133" i="24"/>
  <c r="H134" i="24"/>
  <c r="H135" i="24"/>
  <c r="H136" i="24"/>
  <c r="H137" i="24"/>
  <c r="H138" i="24"/>
  <c r="H139" i="24"/>
  <c r="H140" i="24"/>
  <c r="H141" i="24"/>
  <c r="H142" i="24"/>
  <c r="H143" i="24"/>
  <c r="H144" i="24"/>
  <c r="H145" i="24"/>
  <c r="H146" i="24"/>
  <c r="H147" i="24"/>
  <c r="H148" i="24"/>
  <c r="H149" i="24"/>
  <c r="H150" i="24"/>
  <c r="H151" i="24"/>
  <c r="H152" i="24"/>
  <c r="H153" i="24"/>
  <c r="H154" i="24"/>
  <c r="H155" i="24"/>
  <c r="H156" i="24"/>
  <c r="H157" i="24"/>
  <c r="H158" i="24"/>
  <c r="H159" i="24"/>
  <c r="H160" i="24"/>
  <c r="H161" i="24"/>
  <c r="H162" i="24"/>
  <c r="H163" i="24"/>
  <c r="H164" i="24"/>
  <c r="H165" i="24"/>
  <c r="H166" i="24"/>
  <c r="H167" i="24"/>
  <c r="H168" i="24"/>
  <c r="H169" i="24"/>
  <c r="H170" i="24"/>
  <c r="H171" i="24"/>
  <c r="H172" i="24"/>
  <c r="H173" i="24"/>
  <c r="H174" i="24"/>
  <c r="H175" i="24"/>
  <c r="H176" i="24"/>
  <c r="H177" i="24"/>
  <c r="H178" i="24"/>
  <c r="H179" i="24"/>
  <c r="H180" i="24"/>
  <c r="H181" i="24"/>
  <c r="H182" i="24"/>
  <c r="H183" i="24"/>
  <c r="H184" i="24"/>
  <c r="H185" i="24"/>
  <c r="H186" i="24"/>
  <c r="H130" i="24"/>
  <c r="H87" i="24"/>
  <c r="H88" i="24"/>
  <c r="H89" i="24"/>
  <c r="H90" i="24"/>
  <c r="H91" i="24"/>
  <c r="H92" i="24"/>
  <c r="H93" i="24"/>
  <c r="H94" i="24"/>
  <c r="H95" i="24"/>
  <c r="H96" i="24"/>
  <c r="H97" i="24"/>
  <c r="H98" i="24"/>
  <c r="H99" i="24"/>
  <c r="H100" i="24"/>
  <c r="H101" i="24"/>
  <c r="H102" i="24"/>
  <c r="H103" i="24"/>
  <c r="H104" i="24"/>
  <c r="H105" i="24"/>
  <c r="H106" i="24"/>
  <c r="H107" i="24"/>
  <c r="H108" i="24"/>
  <c r="H109" i="24"/>
  <c r="H110" i="24"/>
  <c r="H111" i="24"/>
  <c r="H112" i="24"/>
  <c r="H113" i="24"/>
  <c r="H114" i="24"/>
  <c r="H115" i="24"/>
  <c r="H116" i="24"/>
  <c r="H117" i="24"/>
  <c r="H118" i="24"/>
  <c r="H119" i="24"/>
  <c r="H120" i="24"/>
  <c r="H121" i="24"/>
  <c r="H122" i="24"/>
  <c r="H86" i="24"/>
  <c r="H11" i="24"/>
  <c r="H12" i="24"/>
  <c r="H13" i="24"/>
  <c r="H14" i="24"/>
  <c r="H15" i="24"/>
  <c r="H16" i="24"/>
  <c r="H17" i="24"/>
  <c r="H18" i="24"/>
  <c r="H19" i="24"/>
  <c r="H20" i="24"/>
  <c r="H21" i="24"/>
  <c r="H22" i="24"/>
  <c r="H23" i="24"/>
  <c r="H24" i="24"/>
  <c r="H25" i="24"/>
  <c r="H26" i="24"/>
  <c r="H27" i="24"/>
  <c r="H28" i="24"/>
  <c r="H29" i="24"/>
  <c r="H30" i="24"/>
  <c r="H31" i="24"/>
  <c r="H32" i="24"/>
  <c r="H33" i="24"/>
  <c r="H34" i="24"/>
  <c r="H35" i="24"/>
  <c r="H36" i="24"/>
  <c r="H37" i="24"/>
  <c r="H38" i="24"/>
  <c r="H39" i="24"/>
  <c r="H40" i="24"/>
  <c r="H41" i="24"/>
  <c r="H42" i="24"/>
  <c r="H43" i="24"/>
  <c r="H44" i="24"/>
  <c r="H45" i="24"/>
  <c r="H46" i="24"/>
  <c r="H47" i="24"/>
  <c r="H48" i="24"/>
  <c r="H49" i="24"/>
  <c r="H50" i="24"/>
  <c r="H51" i="24"/>
  <c r="H52" i="24"/>
  <c r="H53" i="24"/>
  <c r="H54" i="24"/>
  <c r="H55" i="24"/>
  <c r="H56" i="24"/>
  <c r="H57" i="24"/>
  <c r="H58" i="24"/>
  <c r="H59" i="24"/>
  <c r="H60" i="24"/>
  <c r="H61" i="24"/>
  <c r="H62" i="24"/>
  <c r="H63" i="24"/>
  <c r="H64" i="24"/>
  <c r="H65" i="24"/>
  <c r="H66" i="24"/>
  <c r="H67" i="24"/>
  <c r="H68" i="24"/>
  <c r="H10" i="24"/>
  <c r="H75" i="34"/>
  <c r="H76" i="34"/>
  <c r="H77" i="34"/>
  <c r="H78" i="34"/>
  <c r="H79" i="34"/>
  <c r="H80" i="34"/>
  <c r="H81" i="34"/>
  <c r="H82" i="34"/>
  <c r="H74" i="34"/>
  <c r="H9" i="34"/>
  <c r="H10" i="34"/>
  <c r="H11" i="34"/>
  <c r="H12" i="34"/>
  <c r="H13" i="34"/>
  <c r="H14" i="34"/>
  <c r="H15" i="34"/>
  <c r="H16" i="34"/>
  <c r="H17" i="34"/>
  <c r="H18" i="34"/>
  <c r="H19" i="34"/>
  <c r="H20" i="34"/>
  <c r="H21" i="34"/>
  <c r="H22" i="34"/>
  <c r="H23" i="34"/>
  <c r="H24" i="34"/>
  <c r="H25" i="34"/>
  <c r="H26" i="34"/>
  <c r="H27" i="34"/>
  <c r="H28" i="34"/>
  <c r="H29" i="34"/>
  <c r="H30" i="34"/>
  <c r="H31" i="34"/>
  <c r="H32" i="34"/>
  <c r="H33" i="34"/>
  <c r="H34" i="34"/>
  <c r="H35" i="34"/>
  <c r="H36" i="34"/>
  <c r="H37" i="34"/>
  <c r="H38" i="34"/>
  <c r="H39" i="34"/>
  <c r="H40" i="34"/>
  <c r="H41" i="34"/>
  <c r="H42" i="34"/>
  <c r="H43" i="34"/>
  <c r="H44" i="34"/>
  <c r="H45" i="34"/>
  <c r="H46" i="34"/>
  <c r="H47" i="34"/>
  <c r="H48" i="34"/>
  <c r="H49" i="34"/>
  <c r="H50" i="34"/>
  <c r="H51" i="34"/>
  <c r="H52" i="34"/>
  <c r="H53" i="34"/>
  <c r="H54" i="34"/>
  <c r="H55" i="34"/>
  <c r="H56" i="34"/>
  <c r="H57" i="34"/>
  <c r="H58" i="34"/>
  <c r="H59" i="34"/>
  <c r="H60" i="34"/>
  <c r="H61" i="34"/>
  <c r="H8" i="34"/>
  <c r="H91" i="30"/>
  <c r="H92" i="30"/>
  <c r="H93" i="30"/>
  <c r="H94" i="30"/>
  <c r="H95" i="30"/>
  <c r="H96" i="30"/>
  <c r="H97" i="30"/>
  <c r="H98" i="30"/>
  <c r="H99" i="30"/>
  <c r="H100" i="30"/>
  <c r="H101" i="30"/>
  <c r="H102" i="30"/>
  <c r="H103" i="30"/>
  <c r="H104" i="30"/>
  <c r="H105" i="30"/>
  <c r="H106" i="30"/>
  <c r="H107" i="30"/>
  <c r="H108" i="30"/>
  <c r="H109" i="30"/>
  <c r="H110" i="30"/>
  <c r="H111" i="30"/>
  <c r="H112" i="30"/>
  <c r="H113" i="30"/>
  <c r="H114" i="30"/>
  <c r="H115" i="30"/>
  <c r="H116" i="30"/>
  <c r="H117" i="30"/>
  <c r="H118" i="30"/>
  <c r="H119" i="30"/>
  <c r="H120" i="30"/>
  <c r="H121" i="30"/>
  <c r="H122" i="30"/>
  <c r="H123" i="30"/>
  <c r="H124" i="30"/>
  <c r="H125" i="30"/>
  <c r="H126" i="30"/>
  <c r="H127" i="30"/>
  <c r="H128" i="30"/>
  <c r="H129" i="30"/>
  <c r="H130" i="30"/>
  <c r="H131" i="30"/>
  <c r="H132" i="30"/>
  <c r="H133" i="30"/>
  <c r="H134" i="30"/>
  <c r="H135" i="30"/>
  <c r="H136" i="30"/>
  <c r="H137" i="30"/>
  <c r="H138" i="30"/>
  <c r="H90" i="30"/>
  <c r="H13" i="30"/>
  <c r="H14" i="30"/>
  <c r="H15" i="30"/>
  <c r="H16" i="30"/>
  <c r="H17" i="30"/>
  <c r="H18" i="30"/>
  <c r="H19" i="30"/>
  <c r="H20" i="30"/>
  <c r="H21" i="30"/>
  <c r="H22" i="30"/>
  <c r="H23" i="30"/>
  <c r="H24" i="30"/>
  <c r="H25" i="30"/>
  <c r="H26" i="30"/>
  <c r="H27" i="30"/>
  <c r="H28" i="30"/>
  <c r="H29" i="30"/>
  <c r="H30" i="30"/>
  <c r="H31" i="30"/>
  <c r="H32" i="30"/>
  <c r="H33" i="30"/>
  <c r="H34" i="30"/>
  <c r="H35" i="30"/>
  <c r="H36" i="30"/>
  <c r="H37" i="30"/>
  <c r="H38" i="30"/>
  <c r="H39" i="30"/>
  <c r="H40" i="30"/>
  <c r="H41" i="30"/>
  <c r="H42" i="30"/>
  <c r="H43" i="30"/>
  <c r="H44" i="30"/>
  <c r="H45" i="30"/>
  <c r="H46" i="30"/>
  <c r="H47" i="30"/>
  <c r="H48" i="30"/>
  <c r="H49" i="30"/>
  <c r="H50" i="30"/>
  <c r="H51" i="30"/>
  <c r="H52" i="30"/>
  <c r="H53" i="30"/>
  <c r="H54" i="30"/>
  <c r="H55" i="30"/>
  <c r="H56" i="30"/>
  <c r="H57" i="30"/>
  <c r="H58" i="30"/>
  <c r="H59" i="30"/>
  <c r="H60" i="30"/>
  <c r="H61" i="30"/>
  <c r="H62" i="30"/>
  <c r="H63" i="30"/>
  <c r="H64" i="30"/>
  <c r="H65" i="30"/>
  <c r="H66" i="30"/>
  <c r="H67" i="30"/>
  <c r="H68" i="30"/>
  <c r="H69" i="30"/>
  <c r="H70" i="30"/>
  <c r="H71" i="30"/>
  <c r="H72" i="30"/>
  <c r="H73" i="30"/>
  <c r="H74" i="30"/>
  <c r="H12" i="30"/>
  <c r="H394" i="36"/>
  <c r="H395" i="36"/>
  <c r="H393" i="36"/>
  <c r="H316" i="36"/>
  <c r="H317" i="36"/>
  <c r="H318" i="36"/>
  <c r="H319" i="36"/>
  <c r="H320" i="36"/>
  <c r="H321" i="36"/>
  <c r="H322" i="36"/>
  <c r="H323" i="36"/>
  <c r="H324" i="36"/>
  <c r="H325" i="36"/>
  <c r="H326" i="36"/>
  <c r="H327" i="36"/>
  <c r="H328" i="36"/>
  <c r="H329" i="36"/>
  <c r="H330" i="36"/>
  <c r="H331" i="36"/>
  <c r="H332" i="36"/>
  <c r="H333" i="36"/>
  <c r="H334" i="36"/>
  <c r="H335" i="36"/>
  <c r="H336" i="36"/>
  <c r="H337" i="36"/>
  <c r="H338" i="36"/>
  <c r="H339" i="36"/>
  <c r="H340" i="36"/>
  <c r="H341" i="36"/>
  <c r="H342" i="36"/>
  <c r="H343" i="36"/>
  <c r="H344" i="36"/>
  <c r="H345" i="36"/>
  <c r="H346" i="36"/>
  <c r="H347" i="36"/>
  <c r="H348" i="36"/>
  <c r="H349" i="36"/>
  <c r="H350" i="36"/>
  <c r="H351" i="36"/>
  <c r="H352" i="36"/>
  <c r="H353" i="36"/>
  <c r="H354" i="36"/>
  <c r="H355" i="36"/>
  <c r="H356" i="36"/>
  <c r="H357" i="36"/>
  <c r="H358" i="36"/>
  <c r="H359" i="36"/>
  <c r="H360" i="36"/>
  <c r="H361" i="36"/>
  <c r="H362" i="36"/>
  <c r="H363" i="36"/>
  <c r="H364" i="36"/>
  <c r="H365" i="36"/>
  <c r="H366" i="36"/>
  <c r="H367" i="36"/>
  <c r="H368" i="36"/>
  <c r="H369" i="36"/>
  <c r="H370" i="36"/>
  <c r="H371" i="36"/>
  <c r="H372" i="36"/>
  <c r="H373" i="36"/>
  <c r="H374" i="36"/>
  <c r="H375" i="36"/>
  <c r="H376" i="36"/>
  <c r="H377" i="36"/>
  <c r="H378" i="36"/>
  <c r="H379" i="36"/>
  <c r="H380" i="36"/>
  <c r="H381" i="36"/>
  <c r="H382" i="36"/>
  <c r="H383" i="36"/>
  <c r="H384" i="36"/>
  <c r="H315" i="36"/>
  <c r="H247" i="36"/>
  <c r="H248" i="36"/>
  <c r="H249" i="36"/>
  <c r="H250" i="36"/>
  <c r="H251" i="36"/>
  <c r="H252" i="36"/>
  <c r="H253" i="36"/>
  <c r="H254" i="36"/>
  <c r="H255" i="36"/>
  <c r="H256" i="36"/>
  <c r="H257" i="36"/>
  <c r="H258" i="36"/>
  <c r="H259" i="36"/>
  <c r="H260" i="36"/>
  <c r="H261" i="36"/>
  <c r="H262" i="36"/>
  <c r="H263" i="36"/>
  <c r="H264" i="36"/>
  <c r="H265" i="36"/>
  <c r="H266" i="36"/>
  <c r="H267" i="36"/>
  <c r="H268" i="36"/>
  <c r="H269" i="36"/>
  <c r="H270" i="36"/>
  <c r="H271" i="36"/>
  <c r="H272" i="36"/>
  <c r="H273" i="36"/>
  <c r="H274" i="36"/>
  <c r="H275" i="36"/>
  <c r="H276" i="36"/>
  <c r="H277" i="36"/>
  <c r="H278" i="36"/>
  <c r="H279" i="36"/>
  <c r="H280" i="36"/>
  <c r="H281" i="36"/>
  <c r="H282" i="36"/>
  <c r="H283" i="36"/>
  <c r="H284" i="36"/>
  <c r="H285" i="36"/>
  <c r="H286" i="36"/>
  <c r="H287" i="36"/>
  <c r="H288" i="36"/>
  <c r="H289" i="36"/>
  <c r="H290" i="36"/>
  <c r="H291" i="36"/>
  <c r="H292" i="36"/>
  <c r="H293" i="36"/>
  <c r="H294" i="36"/>
  <c r="H295" i="36"/>
  <c r="H296" i="36"/>
  <c r="H297" i="36"/>
  <c r="H298" i="36"/>
  <c r="H299" i="36"/>
  <c r="H300" i="36"/>
  <c r="H301" i="36"/>
  <c r="H302" i="36"/>
  <c r="H303" i="36"/>
  <c r="H304" i="36"/>
  <c r="H305" i="36"/>
  <c r="H306" i="36"/>
  <c r="H307" i="36"/>
  <c r="H246" i="36"/>
  <c r="H161" i="36"/>
  <c r="H162" i="36"/>
  <c r="H163" i="36"/>
  <c r="H164" i="36"/>
  <c r="H165" i="36"/>
  <c r="H166" i="36"/>
  <c r="H167" i="36"/>
  <c r="H168" i="36"/>
  <c r="H169" i="36"/>
  <c r="H170" i="36"/>
  <c r="H171" i="36"/>
  <c r="H172" i="36"/>
  <c r="H173" i="36"/>
  <c r="H174" i="36"/>
  <c r="H175" i="36"/>
  <c r="H176" i="36"/>
  <c r="H177" i="36"/>
  <c r="H178" i="36"/>
  <c r="H179" i="36"/>
  <c r="H180" i="36"/>
  <c r="H181" i="36"/>
  <c r="H182" i="36"/>
  <c r="H183" i="36"/>
  <c r="H184" i="36"/>
  <c r="H185" i="36"/>
  <c r="H186" i="36"/>
  <c r="H187" i="36"/>
  <c r="H188" i="36"/>
  <c r="H189" i="36"/>
  <c r="H190" i="36"/>
  <c r="H191" i="36"/>
  <c r="H192" i="36"/>
  <c r="H193" i="36"/>
  <c r="H194" i="36"/>
  <c r="H195" i="36"/>
  <c r="H196" i="36"/>
  <c r="H197" i="36"/>
  <c r="H198" i="36"/>
  <c r="H199" i="36"/>
  <c r="H200" i="36"/>
  <c r="H201" i="36"/>
  <c r="H202" i="36"/>
  <c r="H203" i="36"/>
  <c r="H204" i="36"/>
  <c r="H205" i="36"/>
  <c r="H206" i="36"/>
  <c r="H207" i="36"/>
  <c r="H208" i="36"/>
  <c r="H209" i="36"/>
  <c r="H210" i="36"/>
  <c r="H211" i="36"/>
  <c r="H212" i="36"/>
  <c r="H213" i="36"/>
  <c r="H214" i="36"/>
  <c r="H215" i="36"/>
  <c r="H216" i="36"/>
  <c r="H217" i="36"/>
  <c r="H218" i="36"/>
  <c r="H219" i="36"/>
  <c r="H220" i="36"/>
  <c r="H221" i="36"/>
  <c r="H222" i="36"/>
  <c r="H223" i="36"/>
  <c r="H224" i="36"/>
  <c r="H225" i="36"/>
  <c r="H226" i="36"/>
  <c r="H227" i="36"/>
  <c r="H160" i="36"/>
  <c r="H86" i="36"/>
  <c r="H87" i="36"/>
  <c r="H88" i="36"/>
  <c r="H89" i="36"/>
  <c r="H90" i="36"/>
  <c r="H91" i="36"/>
  <c r="H92" i="36"/>
  <c r="H93" i="36"/>
  <c r="H94" i="36"/>
  <c r="H95" i="36"/>
  <c r="H96" i="36"/>
  <c r="H97" i="36"/>
  <c r="H98" i="36"/>
  <c r="H99" i="36"/>
  <c r="H100" i="36"/>
  <c r="H101" i="36"/>
  <c r="H102" i="36"/>
  <c r="H103" i="36"/>
  <c r="H104" i="36"/>
  <c r="H105" i="36"/>
  <c r="H106" i="36"/>
  <c r="H107" i="36"/>
  <c r="H108" i="36"/>
  <c r="H109" i="36"/>
  <c r="H110" i="36"/>
  <c r="H111" i="36"/>
  <c r="H112" i="36"/>
  <c r="H113" i="36"/>
  <c r="H114" i="36"/>
  <c r="H115" i="36"/>
  <c r="H116" i="36"/>
  <c r="H117" i="36"/>
  <c r="H118" i="36"/>
  <c r="H119" i="36"/>
  <c r="H120" i="36"/>
  <c r="H121" i="36"/>
  <c r="H122" i="36"/>
  <c r="H123" i="36"/>
  <c r="H124" i="36"/>
  <c r="H125" i="36"/>
  <c r="H126" i="36"/>
  <c r="H127" i="36"/>
  <c r="H128" i="36"/>
  <c r="H129" i="36"/>
  <c r="H130" i="36"/>
  <c r="H131" i="36"/>
  <c r="H132" i="36"/>
  <c r="H133" i="36"/>
  <c r="H134" i="36"/>
  <c r="H135" i="36"/>
  <c r="H136" i="36"/>
  <c r="H137" i="36"/>
  <c r="H138" i="36"/>
  <c r="H139" i="36"/>
  <c r="H140" i="36"/>
  <c r="H141" i="36"/>
  <c r="H142" i="36"/>
  <c r="H143" i="36"/>
  <c r="H144" i="36"/>
  <c r="H145" i="36"/>
  <c r="H146" i="36"/>
  <c r="H147" i="36"/>
  <c r="H148" i="36"/>
  <c r="H149" i="36"/>
  <c r="H150" i="36"/>
  <c r="H85" i="36"/>
  <c r="H9" i="36"/>
  <c r="H10" i="36"/>
  <c r="H11" i="36"/>
  <c r="H12" i="36"/>
  <c r="H13" i="36"/>
  <c r="H14" i="36"/>
  <c r="H15" i="36"/>
  <c r="H16" i="36"/>
  <c r="H17" i="36"/>
  <c r="H18" i="36"/>
  <c r="H19" i="36"/>
  <c r="H20" i="36"/>
  <c r="H21" i="36"/>
  <c r="H22" i="36"/>
  <c r="H23" i="36"/>
  <c r="H24" i="36"/>
  <c r="H25" i="36"/>
  <c r="H26" i="36"/>
  <c r="H27" i="36"/>
  <c r="H28" i="36"/>
  <c r="H29" i="36"/>
  <c r="H30" i="36"/>
  <c r="H31" i="36"/>
  <c r="H32" i="36"/>
  <c r="H33" i="36"/>
  <c r="H34" i="36"/>
  <c r="H35" i="36"/>
  <c r="H36" i="36"/>
  <c r="H37" i="36"/>
  <c r="H38" i="36"/>
  <c r="H39" i="36"/>
  <c r="H40" i="36"/>
  <c r="H41" i="36"/>
  <c r="H42" i="36"/>
  <c r="H43" i="36"/>
  <c r="H44" i="36"/>
  <c r="H45" i="36"/>
  <c r="H46" i="36"/>
  <c r="H47" i="36"/>
  <c r="H48" i="36"/>
  <c r="H49" i="36"/>
  <c r="H50" i="36"/>
  <c r="H51" i="36"/>
  <c r="H52" i="36"/>
  <c r="H53" i="36"/>
  <c r="H54" i="36"/>
  <c r="H55" i="36"/>
  <c r="H56" i="36"/>
  <c r="H57" i="36"/>
  <c r="H58" i="36"/>
  <c r="H59" i="36"/>
  <c r="H60" i="36"/>
  <c r="H61" i="36"/>
  <c r="H62" i="36"/>
  <c r="H63" i="36"/>
  <c r="H64" i="36"/>
  <c r="H65" i="36"/>
  <c r="H66" i="36"/>
  <c r="H67" i="36"/>
  <c r="H68" i="36"/>
  <c r="H69" i="36"/>
  <c r="H70" i="36"/>
  <c r="H71" i="36"/>
  <c r="H72" i="36"/>
  <c r="H73" i="36"/>
  <c r="H74" i="36"/>
  <c r="H8" i="36"/>
  <c r="H159" i="23"/>
  <c r="H160" i="23"/>
  <c r="H161" i="23"/>
  <c r="H162" i="23"/>
  <c r="H163" i="23"/>
  <c r="H165" i="23"/>
  <c r="H166" i="23"/>
  <c r="H167" i="23"/>
  <c r="H168" i="23"/>
  <c r="H169" i="23"/>
  <c r="H171" i="23"/>
  <c r="H173" i="23"/>
  <c r="H175" i="23"/>
  <c r="H176" i="23"/>
  <c r="H177" i="23"/>
  <c r="H179" i="23"/>
  <c r="H180" i="23"/>
  <c r="H181" i="23"/>
  <c r="H182" i="23"/>
  <c r="H183" i="23"/>
  <c r="H184" i="23"/>
  <c r="H185" i="23"/>
  <c r="H186" i="23"/>
  <c r="H187" i="23"/>
  <c r="H188" i="23"/>
  <c r="H189" i="23"/>
  <c r="H190" i="23"/>
  <c r="H191" i="23"/>
  <c r="H192" i="23"/>
  <c r="H193" i="23"/>
  <c r="H194" i="23"/>
  <c r="H195" i="23"/>
  <c r="H196" i="23"/>
  <c r="H158" i="23"/>
  <c r="H77" i="23"/>
  <c r="H79" i="23"/>
  <c r="H81" i="23"/>
  <c r="H82" i="23"/>
  <c r="H83" i="23"/>
  <c r="H84" i="23"/>
  <c r="H85" i="23"/>
  <c r="H86" i="23"/>
  <c r="H87" i="23"/>
  <c r="H88" i="23"/>
  <c r="H89" i="23"/>
  <c r="H90" i="23"/>
  <c r="H91" i="23"/>
  <c r="H93" i="23"/>
  <c r="H95" i="23"/>
  <c r="H97" i="23"/>
  <c r="H99" i="23"/>
  <c r="H100" i="23"/>
  <c r="H101" i="23"/>
  <c r="H102" i="23"/>
  <c r="H103" i="23"/>
  <c r="H105" i="23"/>
  <c r="H106" i="23"/>
  <c r="H107" i="23"/>
  <c r="H109" i="23"/>
  <c r="H110" i="23"/>
  <c r="H111" i="23"/>
  <c r="H112" i="23"/>
  <c r="H113" i="23"/>
  <c r="H114" i="23"/>
  <c r="H115" i="23"/>
  <c r="H116" i="23"/>
  <c r="H117" i="23"/>
  <c r="H118" i="23"/>
  <c r="H119" i="23"/>
  <c r="H120" i="23"/>
  <c r="H121" i="23"/>
  <c r="H123" i="23"/>
  <c r="H124" i="23"/>
  <c r="H125" i="23"/>
  <c r="H126" i="23"/>
  <c r="H127" i="23"/>
  <c r="H128" i="23"/>
  <c r="H129" i="23"/>
  <c r="H131" i="23"/>
  <c r="H132" i="23"/>
  <c r="H133" i="23"/>
  <c r="H134" i="23"/>
  <c r="H135" i="23"/>
  <c r="H136" i="23"/>
  <c r="H137" i="23"/>
  <c r="H138" i="23"/>
  <c r="H139" i="23"/>
  <c r="H141" i="23"/>
  <c r="H143" i="23"/>
  <c r="H144" i="23"/>
  <c r="H145" i="23"/>
  <c r="H9" i="23"/>
  <c r="H10" i="23"/>
  <c r="H11" i="23"/>
  <c r="H12" i="23"/>
  <c r="H13" i="23"/>
  <c r="H14" i="23"/>
  <c r="H15" i="23"/>
  <c r="H16" i="23"/>
  <c r="H17" i="23"/>
  <c r="H19" i="23"/>
  <c r="H20" i="23"/>
  <c r="H21" i="23"/>
  <c r="H23" i="23"/>
  <c r="H25" i="23"/>
  <c r="H26" i="23"/>
  <c r="H27" i="23"/>
  <c r="H28" i="23"/>
  <c r="H29" i="23"/>
  <c r="H30" i="23"/>
  <c r="H31" i="23"/>
  <c r="H32" i="23"/>
  <c r="H33" i="23"/>
  <c r="H34" i="23"/>
  <c r="H35" i="23"/>
  <c r="H36" i="23"/>
  <c r="H37" i="23"/>
  <c r="H38" i="23"/>
  <c r="H39" i="23"/>
  <c r="H41" i="23"/>
  <c r="H42" i="23"/>
  <c r="H43" i="23"/>
  <c r="H44" i="23"/>
  <c r="H45" i="23"/>
  <c r="H47" i="23"/>
  <c r="H48" i="23"/>
  <c r="H49" i="23"/>
  <c r="H50" i="23"/>
  <c r="H51" i="23"/>
  <c r="H52" i="23"/>
  <c r="H53" i="23"/>
  <c r="H54" i="23"/>
  <c r="H55" i="23"/>
  <c r="H57" i="23"/>
  <c r="H58" i="23"/>
  <c r="H59" i="23"/>
  <c r="H61" i="23"/>
  <c r="H62" i="23"/>
  <c r="H63" i="23"/>
  <c r="H8" i="23"/>
  <c r="H84" i="19"/>
  <c r="H85" i="19"/>
  <c r="H86" i="19"/>
  <c r="H87" i="19"/>
  <c r="H88" i="19"/>
  <c r="H89" i="19"/>
  <c r="H90" i="19"/>
  <c r="H91" i="19"/>
  <c r="H92" i="19"/>
  <c r="H93" i="19"/>
  <c r="H94" i="19"/>
  <c r="H95" i="19"/>
  <c r="H96" i="19"/>
  <c r="H97" i="19"/>
  <c r="H98" i="19"/>
  <c r="H99" i="19"/>
  <c r="H100" i="19"/>
  <c r="H101" i="19"/>
  <c r="H102" i="19"/>
  <c r="H103" i="19"/>
  <c r="H104" i="19"/>
  <c r="H105" i="19"/>
  <c r="H106" i="19"/>
  <c r="H107" i="19"/>
  <c r="H83" i="19"/>
  <c r="H13" i="19"/>
  <c r="H14" i="19"/>
  <c r="H15" i="19"/>
  <c r="H16" i="19"/>
  <c r="H17" i="19"/>
  <c r="H18" i="19"/>
  <c r="H19" i="19"/>
  <c r="H20" i="19"/>
  <c r="H21" i="19"/>
  <c r="H22" i="19"/>
  <c r="H23" i="19"/>
  <c r="H24" i="19"/>
  <c r="H25" i="19"/>
  <c r="H26" i="19"/>
  <c r="H27" i="19"/>
  <c r="H28" i="19"/>
  <c r="H29" i="19"/>
  <c r="H30" i="19"/>
  <c r="H31" i="19"/>
  <c r="H32" i="19"/>
  <c r="H33" i="19"/>
  <c r="H34" i="19"/>
  <c r="H35" i="19"/>
  <c r="H36" i="19"/>
  <c r="H37" i="19"/>
  <c r="H38" i="19"/>
  <c r="H39" i="19"/>
  <c r="H40" i="19"/>
  <c r="H41" i="19"/>
  <c r="H42" i="19"/>
  <c r="H43" i="19"/>
  <c r="H44" i="19"/>
  <c r="H45" i="19"/>
  <c r="H46" i="19"/>
  <c r="H47" i="19"/>
  <c r="H48" i="19"/>
  <c r="H49" i="19"/>
  <c r="H50" i="19"/>
  <c r="H51" i="19"/>
  <c r="H52" i="19"/>
  <c r="H53" i="19"/>
  <c r="H54" i="19"/>
  <c r="H55" i="19"/>
  <c r="H56" i="19"/>
  <c r="H57" i="19"/>
  <c r="H58" i="19"/>
  <c r="H59" i="19"/>
  <c r="H60" i="19"/>
  <c r="H61" i="19"/>
  <c r="H62" i="19"/>
  <c r="H63" i="19"/>
  <c r="H64" i="19"/>
  <c r="H65" i="19"/>
  <c r="H66" i="19"/>
  <c r="H67" i="19"/>
  <c r="H68" i="19"/>
  <c r="H69" i="19"/>
  <c r="H70" i="19"/>
  <c r="H71" i="19"/>
  <c r="H72" i="19"/>
  <c r="H73" i="19"/>
  <c r="H74" i="19"/>
  <c r="H75" i="19"/>
  <c r="H76" i="19"/>
  <c r="H77" i="19"/>
  <c r="H12" i="19"/>
  <c r="H237" i="20"/>
  <c r="H238" i="20"/>
  <c r="H239" i="20"/>
  <c r="H240" i="20"/>
  <c r="H241" i="20"/>
  <c r="H242" i="20"/>
  <c r="H243" i="20"/>
  <c r="H244" i="20"/>
  <c r="H245" i="20"/>
  <c r="H247" i="20"/>
  <c r="H248" i="20"/>
  <c r="H249" i="20"/>
  <c r="H250" i="20"/>
  <c r="H251" i="20"/>
  <c r="H253" i="20"/>
  <c r="H254" i="20"/>
  <c r="H255" i="20"/>
  <c r="H256" i="20"/>
  <c r="H257" i="20"/>
  <c r="H259" i="20"/>
  <c r="H261" i="20"/>
  <c r="H262" i="20"/>
  <c r="H263" i="20"/>
  <c r="H264" i="20"/>
  <c r="H265" i="20"/>
  <c r="H266" i="20"/>
  <c r="H267" i="20"/>
  <c r="H268" i="20"/>
  <c r="H269" i="20"/>
  <c r="H270" i="20"/>
  <c r="H271" i="20"/>
  <c r="H272" i="20"/>
  <c r="H273" i="20"/>
  <c r="H274" i="20"/>
  <c r="H275" i="20"/>
  <c r="H276" i="20"/>
  <c r="H277" i="20"/>
  <c r="H278" i="20"/>
  <c r="H279" i="20"/>
  <c r="H280" i="20"/>
  <c r="H281" i="20"/>
  <c r="H282" i="20"/>
  <c r="H283" i="20"/>
  <c r="H284" i="20"/>
  <c r="H285" i="20"/>
  <c r="H286" i="20"/>
  <c r="H287" i="20"/>
  <c r="H288" i="20"/>
  <c r="H289" i="20"/>
  <c r="H290" i="20"/>
  <c r="H291" i="20"/>
  <c r="H292" i="20"/>
  <c r="H293" i="20"/>
  <c r="H294" i="20"/>
  <c r="H295" i="20"/>
  <c r="H296" i="20"/>
  <c r="H297" i="20"/>
  <c r="H298" i="20"/>
  <c r="H167" i="20"/>
  <c r="H168" i="20"/>
  <c r="H169" i="20"/>
  <c r="H170" i="20"/>
  <c r="H171" i="20"/>
  <c r="H172" i="20"/>
  <c r="H173" i="20"/>
  <c r="H174" i="20"/>
  <c r="H175" i="20"/>
  <c r="H176" i="20"/>
  <c r="H177" i="20"/>
  <c r="H178" i="20"/>
  <c r="H179" i="20"/>
  <c r="H180" i="20"/>
  <c r="H181" i="20"/>
  <c r="H182" i="20"/>
  <c r="H183" i="20"/>
  <c r="H184" i="20"/>
  <c r="H185" i="20"/>
  <c r="H186" i="20"/>
  <c r="H187" i="20"/>
  <c r="H188" i="20"/>
  <c r="H189" i="20"/>
  <c r="H191" i="20"/>
  <c r="H192" i="20"/>
  <c r="H193" i="20"/>
  <c r="H194" i="20"/>
  <c r="H195" i="20"/>
  <c r="H196" i="20"/>
  <c r="H197" i="20"/>
  <c r="H198" i="20"/>
  <c r="H199" i="20"/>
  <c r="H200" i="20"/>
  <c r="H201" i="20"/>
  <c r="H202" i="20"/>
  <c r="H203" i="20"/>
  <c r="H204" i="20"/>
  <c r="H205" i="20"/>
  <c r="H206" i="20"/>
  <c r="H207" i="20"/>
  <c r="H208" i="20"/>
  <c r="H209" i="20"/>
  <c r="H210" i="20"/>
  <c r="H211" i="20"/>
  <c r="H212" i="20"/>
  <c r="H213" i="20"/>
  <c r="H214" i="20"/>
  <c r="H215" i="20"/>
  <c r="H217" i="20"/>
  <c r="H218" i="20"/>
  <c r="H219" i="20"/>
  <c r="H220" i="20"/>
  <c r="H221" i="20"/>
  <c r="H222" i="20"/>
  <c r="H223" i="20"/>
  <c r="H224" i="20"/>
  <c r="H225" i="20"/>
  <c r="H227" i="20"/>
  <c r="H166" i="20"/>
  <c r="H228" i="20"/>
  <c r="H90" i="20"/>
  <c r="H91" i="20"/>
  <c r="H92" i="20"/>
  <c r="H94" i="20"/>
  <c r="H96" i="20"/>
  <c r="H98" i="20"/>
  <c r="H100" i="20"/>
  <c r="H101" i="20"/>
  <c r="H102" i="20"/>
  <c r="H103" i="20"/>
  <c r="H104" i="20"/>
  <c r="H105" i="20"/>
  <c r="H106" i="20"/>
  <c r="H107" i="20"/>
  <c r="H108" i="20"/>
  <c r="H109" i="20"/>
  <c r="H110" i="20"/>
  <c r="H111" i="20"/>
  <c r="H112" i="20"/>
  <c r="H113" i="20"/>
  <c r="H114" i="20"/>
  <c r="H115" i="20"/>
  <c r="H116" i="20"/>
  <c r="H117" i="20"/>
  <c r="H119" i="20"/>
  <c r="H121" i="20"/>
  <c r="H122" i="20"/>
  <c r="H123" i="20"/>
  <c r="H124" i="20"/>
  <c r="H125" i="20"/>
  <c r="H126" i="20"/>
  <c r="H127" i="20"/>
  <c r="H129" i="20"/>
  <c r="H130" i="20"/>
  <c r="H131" i="20"/>
  <c r="H132" i="20"/>
  <c r="H133" i="20"/>
  <c r="H134" i="20"/>
  <c r="H135" i="20"/>
  <c r="H137" i="20"/>
  <c r="H139" i="20"/>
  <c r="H140" i="20"/>
  <c r="H141" i="20"/>
  <c r="H142" i="20"/>
  <c r="H143" i="20"/>
  <c r="H144" i="20"/>
  <c r="H145" i="20"/>
  <c r="H146" i="20"/>
  <c r="H147" i="20"/>
  <c r="H148" i="20"/>
  <c r="H149" i="20"/>
  <c r="H150" i="20"/>
  <c r="H151" i="20"/>
  <c r="H152" i="20"/>
  <c r="H153" i="20"/>
  <c r="H9" i="20"/>
  <c r="H10" i="20"/>
  <c r="H11" i="20"/>
  <c r="H12" i="20"/>
  <c r="H13" i="20"/>
  <c r="H14" i="20"/>
  <c r="H15" i="20"/>
  <c r="H17" i="20"/>
  <c r="H18" i="20"/>
  <c r="H19" i="20"/>
  <c r="H21" i="20"/>
  <c r="H23" i="20"/>
  <c r="H24" i="20"/>
  <c r="H25" i="20"/>
  <c r="H26" i="20"/>
  <c r="H27" i="20"/>
  <c r="H28" i="20"/>
  <c r="H29" i="20"/>
  <c r="H30" i="20"/>
  <c r="H31" i="20"/>
  <c r="H32" i="20"/>
  <c r="H33" i="20"/>
  <c r="H35" i="20"/>
  <c r="H37" i="20"/>
  <c r="H38" i="20"/>
  <c r="H39" i="20"/>
  <c r="H40" i="20"/>
  <c r="H41" i="20"/>
  <c r="H43" i="20"/>
  <c r="H45" i="20"/>
  <c r="H46" i="20"/>
  <c r="H47" i="20"/>
  <c r="H48" i="20"/>
  <c r="H49" i="20"/>
  <c r="H50" i="20"/>
  <c r="H51" i="20"/>
  <c r="H52" i="20"/>
  <c r="H53" i="20"/>
  <c r="H54" i="20"/>
  <c r="H55" i="20"/>
  <c r="H56" i="20"/>
  <c r="H57" i="20"/>
  <c r="H58" i="20"/>
  <c r="H59" i="20"/>
  <c r="H60" i="20"/>
  <c r="H61" i="20"/>
  <c r="H63" i="20"/>
  <c r="H64" i="20"/>
  <c r="H65" i="20"/>
  <c r="H66" i="20"/>
  <c r="H67" i="20"/>
  <c r="H69" i="20"/>
  <c r="H70" i="20"/>
  <c r="H71" i="20"/>
  <c r="H72" i="20"/>
  <c r="H73" i="20"/>
  <c r="H74" i="20"/>
  <c r="H75" i="20"/>
  <c r="H76" i="20"/>
  <c r="H77" i="20"/>
  <c r="H9" i="18"/>
  <c r="H10" i="18"/>
  <c r="H11" i="18"/>
  <c r="H12" i="18"/>
  <c r="H13" i="18"/>
  <c r="H14" i="18"/>
  <c r="H15" i="18"/>
  <c r="H16" i="18"/>
  <c r="H17" i="18"/>
  <c r="H18" i="18"/>
  <c r="H19" i="18"/>
  <c r="H20" i="18"/>
  <c r="H21" i="18"/>
  <c r="H22" i="18"/>
  <c r="H23" i="18"/>
  <c r="H24" i="18"/>
  <c r="H25" i="18"/>
  <c r="H26" i="18"/>
  <c r="H27" i="18"/>
  <c r="H28" i="18"/>
  <c r="H29" i="18"/>
  <c r="H30" i="18"/>
  <c r="H31" i="18"/>
  <c r="H32" i="18"/>
  <c r="H33" i="18"/>
  <c r="H34" i="18"/>
  <c r="H35" i="18"/>
  <c r="H36" i="18"/>
  <c r="H37" i="18"/>
  <c r="H38" i="18"/>
  <c r="H39" i="18"/>
  <c r="H40" i="18"/>
  <c r="H41" i="18"/>
  <c r="H42" i="18"/>
  <c r="H43" i="18"/>
  <c r="H44" i="18"/>
  <c r="H45" i="18"/>
  <c r="H46" i="18"/>
  <c r="H47" i="18"/>
  <c r="H48" i="18"/>
  <c r="H49" i="18"/>
  <c r="H50" i="18"/>
  <c r="H51" i="18"/>
  <c r="H52" i="18"/>
  <c r="H53" i="18"/>
  <c r="H54" i="18"/>
  <c r="H55" i="18"/>
  <c r="H56" i="18"/>
  <c r="H57" i="18"/>
  <c r="H58" i="18"/>
  <c r="H59" i="18"/>
  <c r="H60" i="18"/>
  <c r="H61" i="18"/>
  <c r="H62" i="18"/>
  <c r="H8" i="18"/>
  <c r="H9" i="45"/>
  <c r="H10" i="45"/>
  <c r="H11" i="45"/>
  <c r="H12" i="45"/>
  <c r="H13" i="45"/>
  <c r="H14" i="45"/>
  <c r="H15" i="45"/>
  <c r="H16" i="45"/>
  <c r="H17" i="45"/>
  <c r="H18" i="45"/>
  <c r="H19" i="45"/>
  <c r="H20" i="45"/>
  <c r="H21" i="45"/>
  <c r="H22" i="45"/>
  <c r="H23" i="45"/>
  <c r="H24" i="45"/>
  <c r="H25" i="45"/>
  <c r="H26" i="45"/>
  <c r="H27" i="45"/>
  <c r="H28" i="45"/>
  <c r="H29" i="45"/>
  <c r="H30" i="45"/>
  <c r="H31" i="45"/>
  <c r="H32" i="45"/>
  <c r="H33" i="45"/>
  <c r="H34" i="45"/>
  <c r="H35" i="45"/>
  <c r="H36" i="45"/>
  <c r="H37" i="45"/>
  <c r="H38" i="45"/>
  <c r="H39" i="45"/>
  <c r="H40" i="45"/>
  <c r="H41" i="45"/>
  <c r="H42" i="45"/>
  <c r="H43" i="45"/>
  <c r="H44" i="45"/>
  <c r="H45" i="45"/>
  <c r="H46" i="45"/>
  <c r="H8" i="45"/>
  <c r="H9" i="41"/>
  <c r="H10" i="41"/>
  <c r="H11" i="41"/>
  <c r="H12" i="41"/>
  <c r="H13" i="41"/>
  <c r="H14" i="41"/>
  <c r="H15" i="41"/>
  <c r="H16" i="41"/>
  <c r="H17" i="41"/>
  <c r="H18" i="41"/>
  <c r="H19" i="41"/>
  <c r="H20" i="41"/>
  <c r="H21" i="41"/>
  <c r="H22" i="41"/>
  <c r="H23" i="41"/>
  <c r="H24" i="41"/>
  <c r="H25" i="41"/>
  <c r="H26" i="41"/>
  <c r="H27" i="41"/>
  <c r="H28" i="41"/>
  <c r="H29" i="41"/>
  <c r="H30" i="41"/>
  <c r="H31" i="41"/>
  <c r="H32" i="41"/>
  <c r="H33" i="41"/>
  <c r="H34" i="41"/>
  <c r="H35" i="41"/>
  <c r="H36" i="41"/>
  <c r="H37" i="41"/>
  <c r="H38" i="41"/>
  <c r="H39" i="41"/>
  <c r="H40" i="41"/>
  <c r="H41" i="41"/>
  <c r="H42" i="41"/>
  <c r="H43" i="41"/>
  <c r="H44" i="41"/>
  <c r="H45" i="41"/>
  <c r="H46" i="41"/>
  <c r="H47" i="41"/>
  <c r="H48" i="41"/>
  <c r="H49" i="41"/>
  <c r="H50" i="41"/>
  <c r="H51" i="41"/>
  <c r="H8" i="41"/>
  <c r="H644" i="3"/>
  <c r="H645" i="3"/>
  <c r="H646" i="3"/>
  <c r="H647" i="3"/>
  <c r="H648" i="3"/>
  <c r="H650" i="3"/>
  <c r="H651" i="3"/>
  <c r="H652" i="3"/>
  <c r="H653" i="3"/>
  <c r="H654" i="3"/>
  <c r="H655" i="3"/>
  <c r="H656" i="3"/>
  <c r="H657" i="3"/>
  <c r="H658" i="3"/>
  <c r="H660" i="3"/>
  <c r="H661" i="3"/>
  <c r="H662" i="3"/>
  <c r="H664" i="3"/>
  <c r="H666" i="3"/>
  <c r="H667" i="3"/>
  <c r="H668" i="3"/>
  <c r="H669" i="3"/>
  <c r="H670" i="3"/>
  <c r="H671" i="3"/>
  <c r="H672" i="3"/>
  <c r="H673" i="3"/>
  <c r="H674" i="3"/>
  <c r="H675" i="3"/>
  <c r="H676" i="3"/>
  <c r="H677" i="3"/>
  <c r="H678" i="3"/>
  <c r="H679" i="3"/>
  <c r="H680" i="3"/>
  <c r="H681" i="3"/>
  <c r="H682" i="3"/>
  <c r="H684" i="3"/>
  <c r="H685" i="3"/>
  <c r="H686" i="3"/>
  <c r="H687" i="3"/>
  <c r="H688" i="3"/>
  <c r="H689" i="3"/>
  <c r="H690" i="3"/>
  <c r="H691" i="3"/>
  <c r="H692" i="3"/>
  <c r="H693" i="3"/>
  <c r="H694" i="3"/>
  <c r="H695" i="3"/>
  <c r="H696" i="3"/>
  <c r="H697" i="3"/>
  <c r="H698" i="3"/>
  <c r="H699" i="3"/>
  <c r="H700" i="3"/>
  <c r="H580" i="3"/>
  <c r="H581" i="3"/>
  <c r="H582" i="3"/>
  <c r="H583" i="3"/>
  <c r="H584" i="3"/>
  <c r="H585" i="3"/>
  <c r="H586" i="3"/>
  <c r="H587" i="3"/>
  <c r="H588" i="3"/>
  <c r="H589" i="3"/>
  <c r="H590" i="3"/>
  <c r="H591" i="3"/>
  <c r="H592" i="3"/>
  <c r="H593" i="3"/>
  <c r="H594" i="3"/>
  <c r="H595" i="3"/>
  <c r="H596" i="3"/>
  <c r="H597" i="3"/>
  <c r="H599" i="3"/>
  <c r="H600" i="3"/>
  <c r="H601" i="3"/>
  <c r="H602" i="3"/>
  <c r="H603" i="3"/>
  <c r="H604" i="3"/>
  <c r="H605" i="3"/>
  <c r="H607" i="3"/>
  <c r="H609" i="3"/>
  <c r="H610" i="3"/>
  <c r="H611" i="3"/>
  <c r="H613" i="3"/>
  <c r="H615" i="3"/>
  <c r="H616" i="3"/>
  <c r="H617" i="3"/>
  <c r="H619" i="3"/>
  <c r="H621" i="3"/>
  <c r="H622" i="3"/>
  <c r="H623" i="3"/>
  <c r="H624" i="3"/>
  <c r="H625" i="3"/>
  <c r="H626" i="3"/>
  <c r="H627" i="3"/>
  <c r="H628" i="3"/>
  <c r="H629" i="3"/>
  <c r="H631" i="3"/>
  <c r="H632" i="3"/>
  <c r="H633" i="3"/>
  <c r="H579" i="3"/>
  <c r="H500" i="3"/>
  <c r="H501" i="3"/>
  <c r="H502" i="3"/>
  <c r="H503" i="3"/>
  <c r="H504" i="3"/>
  <c r="H505" i="3"/>
  <c r="H506" i="3"/>
  <c r="H507" i="3"/>
  <c r="H508" i="3"/>
  <c r="H509" i="3"/>
  <c r="H510" i="3"/>
  <c r="H511" i="3"/>
  <c r="H512" i="3"/>
  <c r="H513" i="3"/>
  <c r="H514" i="3"/>
  <c r="H516" i="3"/>
  <c r="H518" i="3"/>
  <c r="H520" i="3"/>
  <c r="H522" i="3"/>
  <c r="H523" i="3"/>
  <c r="H524" i="3"/>
  <c r="H526" i="3"/>
  <c r="H527" i="3"/>
  <c r="H528" i="3"/>
  <c r="H530" i="3"/>
  <c r="H531" i="3"/>
  <c r="H532" i="3"/>
  <c r="H533" i="3"/>
  <c r="H534" i="3"/>
  <c r="H536" i="3"/>
  <c r="H537" i="3"/>
  <c r="H538" i="3"/>
  <c r="H539" i="3"/>
  <c r="H540" i="3"/>
  <c r="H541" i="3"/>
  <c r="H542" i="3"/>
  <c r="H544" i="3"/>
  <c r="H545" i="3"/>
  <c r="H546" i="3"/>
  <c r="H547" i="3"/>
  <c r="H548" i="3"/>
  <c r="H550" i="3"/>
  <c r="H552" i="3"/>
  <c r="H554" i="3"/>
  <c r="H555" i="3"/>
  <c r="H556" i="3"/>
  <c r="H557" i="3"/>
  <c r="H558" i="3"/>
  <c r="H559" i="3"/>
  <c r="H560" i="3"/>
  <c r="H561" i="3"/>
  <c r="H562" i="3"/>
  <c r="H563" i="3"/>
  <c r="H565" i="3"/>
  <c r="H433" i="3"/>
  <c r="H434" i="3"/>
  <c r="H435" i="3"/>
  <c r="H436" i="3"/>
  <c r="H437" i="3"/>
  <c r="H438" i="3"/>
  <c r="H439" i="3"/>
  <c r="H440" i="3"/>
  <c r="H441" i="3"/>
  <c r="H442" i="3"/>
  <c r="H443" i="3"/>
  <c r="H444" i="3"/>
  <c r="H445" i="3"/>
  <c r="H446" i="3"/>
  <c r="H447" i="3"/>
  <c r="H448" i="3"/>
  <c r="H449" i="3"/>
  <c r="H450" i="3"/>
  <c r="H451" i="3"/>
  <c r="H452" i="3"/>
  <c r="H453" i="3"/>
  <c r="H455" i="3"/>
  <c r="H456" i="3"/>
  <c r="H457" i="3"/>
  <c r="H458" i="3"/>
  <c r="H459" i="3"/>
  <c r="H461"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32" i="3"/>
  <c r="H367" i="3"/>
  <c r="H368" i="3"/>
  <c r="H369" i="3"/>
  <c r="H371" i="3"/>
  <c r="H372" i="3"/>
  <c r="H373" i="3"/>
  <c r="H374" i="3"/>
  <c r="H375"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7" i="3"/>
  <c r="H408" i="3"/>
  <c r="H409" i="3"/>
  <c r="H411" i="3"/>
  <c r="H413" i="3"/>
  <c r="H414" i="3"/>
  <c r="H415" i="3"/>
  <c r="H416" i="3"/>
  <c r="H417" i="3"/>
  <c r="H418" i="3"/>
  <c r="H419" i="3"/>
  <c r="H420" i="3"/>
  <c r="H295" i="3"/>
  <c r="H297" i="3"/>
  <c r="H298" i="3"/>
  <c r="H299"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7" i="3"/>
  <c r="H329" i="3"/>
  <c r="H330" i="3"/>
  <c r="H331" i="3"/>
  <c r="H332" i="3"/>
  <c r="H333" i="3"/>
  <c r="H334" i="3"/>
  <c r="H335" i="3"/>
  <c r="H336" i="3"/>
  <c r="H337" i="3"/>
  <c r="H338" i="3"/>
  <c r="H339" i="3"/>
  <c r="H340" i="3"/>
  <c r="H341" i="3"/>
  <c r="H342" i="3"/>
  <c r="H343" i="3"/>
  <c r="H344" i="3"/>
  <c r="H345" i="3"/>
  <c r="H346" i="3"/>
  <c r="H347" i="3"/>
  <c r="H348" i="3"/>
  <c r="H349" i="3"/>
  <c r="H350" i="3"/>
  <c r="H351" i="3"/>
  <c r="H232" i="3"/>
  <c r="H233" i="3"/>
  <c r="H234" i="3"/>
  <c r="H235" i="3"/>
  <c r="H236" i="3"/>
  <c r="H237" i="3"/>
  <c r="H238" i="3"/>
  <c r="H239" i="3"/>
  <c r="H240" i="3"/>
  <c r="H241" i="3"/>
  <c r="H242" i="3"/>
  <c r="H243" i="3"/>
  <c r="H244" i="3"/>
  <c r="H245" i="3"/>
  <c r="H246" i="3"/>
  <c r="H247" i="3"/>
  <c r="H248" i="3"/>
  <c r="H249" i="3"/>
  <c r="H250" i="3"/>
  <c r="H251" i="3"/>
  <c r="H252" i="3"/>
  <c r="H254" i="3"/>
  <c r="H255" i="3"/>
  <c r="H256" i="3"/>
  <c r="H258" i="3"/>
  <c r="H260" i="3"/>
  <c r="H261" i="3"/>
  <c r="H262" i="3"/>
  <c r="H263" i="3"/>
  <c r="H264" i="3"/>
  <c r="H265" i="3"/>
  <c r="H266" i="3"/>
  <c r="H267" i="3"/>
  <c r="H268" i="3"/>
  <c r="H269" i="3"/>
  <c r="H270" i="3"/>
  <c r="H271" i="3"/>
  <c r="H272" i="3"/>
  <c r="H273" i="3"/>
  <c r="H274" i="3"/>
  <c r="H275" i="3"/>
  <c r="H276" i="3"/>
  <c r="H277" i="3"/>
  <c r="H278" i="3"/>
  <c r="H280" i="3"/>
  <c r="H281" i="3"/>
  <c r="H282" i="3"/>
  <c r="H284" i="3"/>
  <c r="H231" i="3"/>
  <c r="H155" i="3"/>
  <c r="H156" i="3"/>
  <c r="H157" i="3"/>
  <c r="H158" i="3"/>
  <c r="H159" i="3"/>
  <c r="H160" i="3"/>
  <c r="H161" i="3"/>
  <c r="H162" i="3"/>
  <c r="H163" i="3"/>
  <c r="H165" i="3"/>
  <c r="H166" i="3"/>
  <c r="H167" i="3"/>
  <c r="H169" i="3"/>
  <c r="H171" i="3"/>
  <c r="H172" i="3"/>
  <c r="H173" i="3"/>
  <c r="H175" i="3"/>
  <c r="H177" i="3"/>
  <c r="H178" i="3"/>
  <c r="H179"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7" i="3"/>
  <c r="H209" i="3"/>
  <c r="H210" i="3"/>
  <c r="H211" i="3"/>
  <c r="H154" i="3"/>
  <c r="H87" i="3"/>
  <c r="H88" i="3"/>
  <c r="H89" i="3"/>
  <c r="H90" i="3"/>
  <c r="H91" i="3"/>
  <c r="H92" i="3"/>
  <c r="H93" i="3"/>
  <c r="H95" i="3"/>
  <c r="H96" i="3"/>
  <c r="H97" i="3"/>
  <c r="H99" i="3"/>
  <c r="H101" i="3"/>
  <c r="H102" i="3"/>
  <c r="H103" i="3"/>
  <c r="H104" i="3"/>
  <c r="H105" i="3"/>
  <c r="H106" i="3"/>
  <c r="H107" i="3"/>
  <c r="H108" i="3"/>
  <c r="H109" i="3"/>
  <c r="H111" i="3"/>
  <c r="H112" i="3"/>
  <c r="H113" i="3"/>
  <c r="H115" i="3"/>
  <c r="H117" i="3"/>
  <c r="H118" i="3"/>
  <c r="H119" i="3"/>
  <c r="H120" i="3"/>
  <c r="H121" i="3"/>
  <c r="H122" i="3"/>
  <c r="H123" i="3"/>
  <c r="H125" i="3"/>
  <c r="H126" i="3"/>
  <c r="H127" i="3"/>
  <c r="H128" i="3"/>
  <c r="H129" i="3"/>
  <c r="H130" i="3"/>
  <c r="H131" i="3"/>
  <c r="H133" i="3"/>
  <c r="H134" i="3"/>
  <c r="H86" i="3"/>
  <c r="H13" i="3"/>
  <c r="H14" i="3"/>
  <c r="H15" i="3"/>
  <c r="H17" i="3"/>
  <c r="H18" i="3"/>
  <c r="H19" i="3"/>
  <c r="H21" i="3"/>
  <c r="H23" i="3"/>
  <c r="H24" i="3"/>
  <c r="H25" i="3"/>
  <c r="H26" i="3"/>
  <c r="H27" i="3"/>
  <c r="H28" i="3"/>
  <c r="H29" i="3"/>
  <c r="H30" i="3"/>
  <c r="H31" i="3"/>
  <c r="H33" i="3"/>
  <c r="H34" i="3"/>
  <c r="H35" i="3"/>
  <c r="H37" i="3"/>
  <c r="H38" i="3"/>
  <c r="H39" i="3"/>
  <c r="H40" i="3"/>
  <c r="H41" i="3"/>
  <c r="H43" i="3"/>
  <c r="H44" i="3"/>
  <c r="H45" i="3"/>
  <c r="H46" i="3"/>
  <c r="H47" i="3"/>
  <c r="H48" i="3"/>
  <c r="H49" i="3"/>
  <c r="H50" i="3"/>
  <c r="H51" i="3"/>
  <c r="H53" i="3"/>
  <c r="H54" i="3"/>
  <c r="H55" i="3"/>
  <c r="H57" i="3"/>
  <c r="H59" i="3"/>
  <c r="H60" i="3"/>
  <c r="H61" i="3"/>
  <c r="H63" i="3"/>
  <c r="H65" i="3"/>
  <c r="H66" i="3"/>
  <c r="H67" i="3"/>
  <c r="H68" i="3"/>
  <c r="H69" i="3"/>
  <c r="H70" i="3"/>
  <c r="H71" i="3"/>
  <c r="H72" i="3"/>
  <c r="H73" i="3"/>
  <c r="H74" i="3"/>
  <c r="H75" i="3"/>
  <c r="H9" i="3"/>
  <c r="H11" i="3"/>
  <c r="H12" i="3"/>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76"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8" i="4"/>
  <c r="G342" i="1"/>
  <c r="G343" i="1"/>
  <c r="G344" i="1"/>
  <c r="G345" i="1"/>
  <c r="G346" i="1"/>
  <c r="G347" i="1"/>
  <c r="G348" i="1"/>
  <c r="G349" i="1"/>
  <c r="G341"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272" i="1"/>
  <c r="G207" i="1"/>
  <c r="G208" i="1"/>
  <c r="G209" i="1"/>
  <c r="G210" i="1"/>
  <c r="G211" i="1"/>
  <c r="G212" i="1"/>
  <c r="G213" i="1"/>
  <c r="G215" i="1"/>
  <c r="G217" i="1"/>
  <c r="G218" i="1"/>
  <c r="G219" i="1"/>
  <c r="G220" i="1"/>
  <c r="G221" i="1"/>
  <c r="G222" i="1"/>
  <c r="G223"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1" i="1"/>
  <c r="G252" i="1"/>
  <c r="G253" i="1"/>
  <c r="G254" i="1"/>
  <c r="G255" i="1"/>
  <c r="G256" i="1"/>
  <c r="G257" i="1"/>
  <c r="G258" i="1"/>
  <c r="G259" i="1"/>
  <c r="G260" i="1"/>
  <c r="G261" i="1"/>
  <c r="G262"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38"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67" i="1"/>
  <c r="G37" i="1"/>
  <c r="G38" i="1"/>
  <c r="G39" i="1"/>
  <c r="G40" i="1"/>
  <c r="G41" i="1"/>
  <c r="G42" i="1"/>
  <c r="G43" i="1"/>
  <c r="G44" i="1"/>
  <c r="G45" i="1"/>
  <c r="G46" i="1"/>
  <c r="G47" i="1"/>
  <c r="G48" i="1"/>
  <c r="G49" i="1"/>
  <c r="G50" i="1"/>
  <c r="G51" i="1"/>
  <c r="G52" i="1"/>
  <c r="G53" i="1"/>
  <c r="G54" i="1"/>
  <c r="G55" i="1"/>
  <c r="G56" i="1"/>
  <c r="G57" i="1"/>
  <c r="G58" i="1"/>
  <c r="G59" i="1"/>
  <c r="G60" i="1"/>
  <c r="G61"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8" i="1"/>
  <c r="H73" i="40" l="1"/>
  <c r="H77" i="24"/>
  <c r="G64" i="1"/>
  <c r="G65" i="1" s="1"/>
  <c r="G133" i="1" s="1"/>
  <c r="G134" i="1" s="1"/>
  <c r="G200" i="1" s="1"/>
  <c r="G201" i="1" s="1"/>
  <c r="G80" i="34"/>
  <c r="H8" i="3" l="1"/>
  <c r="H10" i="3"/>
  <c r="H32" i="3"/>
  <c r="H36" i="3"/>
  <c r="H52" i="3"/>
  <c r="H58" i="3"/>
  <c r="H62" i="3"/>
  <c r="H64" i="3"/>
  <c r="H42" i="3" l="1"/>
  <c r="H56" i="3"/>
  <c r="H20" i="3"/>
  <c r="H16" i="3"/>
  <c r="H22" i="3"/>
  <c r="AL80" i="49" l="1"/>
  <c r="AL79" i="49"/>
  <c r="AM78" i="49"/>
  <c r="AM77" i="49"/>
  <c r="AM76" i="49"/>
  <c r="AL75" i="49"/>
  <c r="AL74" i="49"/>
  <c r="A151" i="29"/>
  <c r="A67" i="29"/>
  <c r="A932" i="29"/>
  <c r="A930" i="29"/>
  <c r="A928" i="29"/>
  <c r="A926" i="29"/>
  <c r="A923" i="29"/>
  <c r="A921" i="29"/>
  <c r="A898" i="29"/>
  <c r="A915" i="29"/>
  <c r="A913" i="29"/>
  <c r="A894" i="29"/>
  <c r="A892" i="29"/>
  <c r="A890" i="29"/>
  <c r="A886" i="29"/>
  <c r="A884" i="29"/>
  <c r="A882" i="29"/>
  <c r="A876" i="29"/>
  <c r="A873" i="29"/>
  <c r="A871" i="29"/>
  <c r="A869" i="29"/>
  <c r="A867" i="29"/>
  <c r="A861" i="29"/>
  <c r="A859" i="29"/>
  <c r="A857" i="29"/>
  <c r="A855" i="29"/>
  <c r="A853" i="29"/>
  <c r="A849" i="29"/>
  <c r="A847" i="29"/>
  <c r="A845" i="29"/>
  <c r="A843" i="29"/>
  <c r="A841" i="29"/>
  <c r="A837" i="29"/>
  <c r="A835" i="29"/>
  <c r="A833" i="29"/>
  <c r="A821" i="29"/>
  <c r="A819" i="29"/>
  <c r="A817" i="29"/>
  <c r="A815" i="29"/>
  <c r="A813" i="29"/>
  <c r="A808" i="29"/>
  <c r="A806" i="29"/>
  <c r="A804" i="29"/>
  <c r="A802" i="29"/>
  <c r="A800" i="29"/>
  <c r="A794" i="29"/>
  <c r="A792" i="29"/>
  <c r="A790" i="29"/>
  <c r="A788" i="29"/>
  <c r="A784" i="29"/>
  <c r="A782" i="29"/>
  <c r="A780" i="29"/>
  <c r="A778" i="29"/>
  <c r="A774" i="29"/>
  <c r="A772" i="29"/>
  <c r="A770" i="29"/>
  <c r="A768" i="29"/>
  <c r="A762" i="29"/>
  <c r="A760" i="29"/>
  <c r="A758" i="29"/>
  <c r="A756" i="29"/>
  <c r="A754" i="29"/>
  <c r="A752" i="29"/>
  <c r="A745" i="29"/>
  <c r="A741" i="29"/>
  <c r="A739" i="29"/>
  <c r="A737" i="29"/>
  <c r="A733" i="29"/>
  <c r="A731" i="29"/>
  <c r="A729" i="29"/>
  <c r="A727" i="29"/>
  <c r="A721" i="29"/>
  <c r="A719" i="29"/>
  <c r="A717" i="29"/>
  <c r="A715" i="29"/>
  <c r="A713" i="29"/>
  <c r="A711" i="29"/>
  <c r="A709" i="29"/>
  <c r="A707" i="29"/>
  <c r="A703" i="29"/>
  <c r="A701" i="29"/>
  <c r="A699" i="29"/>
  <c r="A697" i="29"/>
  <c r="A691" i="29"/>
  <c r="A689" i="29"/>
  <c r="A687" i="29"/>
  <c r="A685" i="29"/>
  <c r="A683" i="29"/>
  <c r="A681" i="29"/>
  <c r="A679" i="29"/>
  <c r="A663" i="29"/>
  <c r="A661" i="29"/>
  <c r="A659" i="29"/>
  <c r="A657" i="29"/>
  <c r="A655" i="29"/>
  <c r="A653" i="29"/>
  <c r="A651" i="29"/>
  <c r="A649" i="29"/>
  <c r="A642" i="29"/>
  <c r="A640" i="29"/>
  <c r="A636" i="29"/>
  <c r="A634" i="29"/>
  <c r="A632" i="29"/>
  <c r="A630" i="29"/>
  <c r="A626" i="29"/>
  <c r="A624" i="29"/>
  <c r="A622" i="29"/>
  <c r="A620" i="29"/>
  <c r="A614" i="29"/>
  <c r="A612" i="29"/>
  <c r="A610" i="29"/>
  <c r="A608" i="29"/>
  <c r="A606" i="29"/>
  <c r="A604" i="29"/>
  <c r="A602" i="29"/>
  <c r="A600" i="29"/>
  <c r="A593" i="29"/>
  <c r="A589" i="29"/>
  <c r="A587" i="29"/>
  <c r="A585" i="29"/>
  <c r="A583" i="29"/>
  <c r="A581" i="29"/>
  <c r="A579" i="29"/>
  <c r="A577" i="29"/>
  <c r="A575" i="29"/>
  <c r="A573" i="29"/>
  <c r="A567" i="29"/>
  <c r="A565" i="29"/>
  <c r="A563" i="29"/>
  <c r="A561" i="29"/>
  <c r="A559" i="29"/>
  <c r="A557" i="29"/>
  <c r="A555" i="29"/>
  <c r="A553" i="29"/>
  <c r="A551" i="29"/>
  <c r="A549" i="29"/>
  <c r="A547" i="29"/>
  <c r="A545" i="29"/>
  <c r="A543" i="29"/>
  <c r="A537" i="29"/>
  <c r="A535" i="29"/>
  <c r="A533" i="29"/>
  <c r="A531" i="29"/>
  <c r="A518" i="29"/>
  <c r="A516" i="29"/>
  <c r="A514" i="29"/>
  <c r="A512" i="29"/>
  <c r="A510" i="29"/>
  <c r="A508" i="29"/>
  <c r="A506" i="29"/>
  <c r="A504" i="29"/>
  <c r="A502" i="29"/>
  <c r="A496" i="29"/>
  <c r="A494" i="29"/>
  <c r="A492" i="29"/>
  <c r="A490" i="29"/>
  <c r="A488" i="29"/>
  <c r="A486" i="29"/>
  <c r="A484" i="29"/>
  <c r="A482" i="29"/>
  <c r="A480" i="29"/>
  <c r="A478" i="29"/>
  <c r="A476" i="29"/>
  <c r="A474" i="29"/>
  <c r="A472" i="29"/>
  <c r="A468" i="29"/>
  <c r="A466" i="29"/>
  <c r="A464" i="29"/>
  <c r="A462" i="29"/>
  <c r="A458" i="29"/>
  <c r="A456" i="29"/>
  <c r="A454" i="29"/>
  <c r="A452" i="29"/>
  <c r="A444" i="29"/>
  <c r="A440" i="29"/>
  <c r="A438" i="29"/>
  <c r="A436" i="29"/>
  <c r="A430" i="29"/>
  <c r="A428" i="29"/>
  <c r="A426" i="29"/>
  <c r="A424" i="29"/>
  <c r="A422" i="29"/>
  <c r="A420" i="29"/>
  <c r="A418" i="29"/>
  <c r="A416" i="29"/>
  <c r="A410" i="29"/>
  <c r="A408" i="29"/>
  <c r="A406" i="29"/>
  <c r="A404" i="29"/>
  <c r="A402" i="29"/>
  <c r="A400" i="29"/>
  <c r="A398" i="29"/>
  <c r="A396" i="29"/>
  <c r="A390" i="29"/>
  <c r="A388" i="29"/>
  <c r="A386" i="29"/>
  <c r="A384" i="29"/>
  <c r="A382" i="29"/>
  <c r="A380" i="29"/>
  <c r="A378" i="29"/>
  <c r="A376" i="29"/>
  <c r="A368" i="29"/>
  <c r="A366" i="29"/>
  <c r="A364" i="29"/>
  <c r="A362" i="29"/>
  <c r="A360" i="29"/>
  <c r="A358" i="29"/>
  <c r="A356" i="29"/>
  <c r="A350" i="29"/>
  <c r="A348" i="29"/>
  <c r="A346" i="29"/>
  <c r="A340" i="29"/>
  <c r="A338" i="29"/>
  <c r="A336" i="29"/>
  <c r="A334" i="29"/>
  <c r="A332" i="29"/>
  <c r="A330" i="29"/>
  <c r="A328" i="29"/>
  <c r="A326" i="29"/>
  <c r="A320" i="29"/>
  <c r="A318" i="29"/>
  <c r="A316" i="29"/>
  <c r="A314" i="29"/>
  <c r="A312" i="29"/>
  <c r="A310" i="29"/>
  <c r="A308" i="29"/>
  <c r="A306" i="29"/>
  <c r="A304" i="29"/>
  <c r="A297" i="29"/>
  <c r="A295" i="29"/>
  <c r="A293" i="29"/>
  <c r="A291" i="29"/>
  <c r="A289" i="29"/>
  <c r="A287" i="29"/>
  <c r="A281" i="29"/>
  <c r="A279" i="29"/>
  <c r="A277" i="29"/>
  <c r="A273" i="29"/>
  <c r="A271" i="29"/>
  <c r="A269" i="29"/>
  <c r="A267" i="29"/>
  <c r="A265" i="29"/>
  <c r="A261" i="29"/>
  <c r="A259" i="29"/>
  <c r="A257" i="29"/>
  <c r="A255" i="29"/>
  <c r="A253" i="29"/>
  <c r="A251" i="29"/>
  <c r="A249" i="29"/>
  <c r="A247" i="29"/>
  <c r="A245" i="29"/>
  <c r="A243" i="29"/>
  <c r="A241" i="29"/>
  <c r="A239" i="29"/>
  <c r="A237" i="29"/>
  <c r="A235" i="29"/>
  <c r="A233" i="29"/>
  <c r="A227" i="29"/>
  <c r="A225" i="29"/>
  <c r="A219" i="29"/>
  <c r="A217" i="29"/>
  <c r="A215" i="29"/>
  <c r="A213" i="29"/>
  <c r="A211" i="29"/>
  <c r="A209" i="29"/>
  <c r="A207" i="29"/>
  <c r="A205" i="29"/>
  <c r="A199" i="29"/>
  <c r="A197" i="29"/>
  <c r="A195" i="29"/>
  <c r="A193" i="29"/>
  <c r="A191" i="29"/>
  <c r="A189" i="29"/>
  <c r="A187" i="29"/>
  <c r="A185" i="29"/>
  <c r="A183" i="29"/>
  <c r="A181" i="29"/>
  <c r="A175" i="29"/>
  <c r="A173" i="29"/>
  <c r="A171" i="29"/>
  <c r="A169" i="29"/>
  <c r="A167" i="29"/>
  <c r="A165" i="29"/>
  <c r="A163" i="29"/>
  <c r="A161" i="29"/>
  <c r="A159" i="29"/>
  <c r="A157" i="29"/>
  <c r="A155" i="29"/>
  <c r="A153" i="29"/>
  <c r="A143" i="29"/>
  <c r="A141" i="29"/>
  <c r="A139" i="29"/>
  <c r="A137" i="29"/>
  <c r="A135" i="29"/>
  <c r="A133" i="29"/>
  <c r="A131" i="29"/>
  <c r="A129" i="29"/>
  <c r="A127" i="29"/>
  <c r="A125" i="29"/>
  <c r="A123" i="29"/>
  <c r="A117" i="29"/>
  <c r="A115" i="29"/>
  <c r="A113" i="29"/>
  <c r="A111" i="29"/>
  <c r="A109" i="29"/>
  <c r="A107" i="29"/>
  <c r="A105" i="29"/>
  <c r="A103" i="29"/>
  <c r="A101" i="29"/>
  <c r="A99" i="29"/>
  <c r="A97" i="29"/>
  <c r="A95" i="29"/>
  <c r="A93" i="29"/>
  <c r="A91" i="29"/>
  <c r="A89" i="29"/>
  <c r="A83" i="29"/>
  <c r="A81" i="29"/>
  <c r="A79" i="29"/>
  <c r="A77" i="29"/>
  <c r="A75" i="29"/>
  <c r="A65" i="29"/>
  <c r="A63" i="29"/>
  <c r="A61" i="29"/>
  <c r="A59" i="29"/>
  <c r="A54" i="29"/>
  <c r="A52" i="29"/>
  <c r="A50" i="29"/>
  <c r="A48" i="29"/>
  <c r="A46" i="29"/>
  <c r="A44" i="29"/>
  <c r="A42" i="29"/>
  <c r="A40" i="29"/>
  <c r="A38" i="29"/>
  <c r="A36" i="29"/>
  <c r="A34" i="29"/>
  <c r="A32" i="29"/>
  <c r="A30" i="29"/>
  <c r="A28" i="29"/>
  <c r="A26" i="29"/>
  <c r="A24" i="29"/>
  <c r="A22" i="29"/>
  <c r="A20" i="29"/>
  <c r="A18" i="29"/>
  <c r="A16" i="29"/>
  <c r="A14" i="29"/>
  <c r="A12" i="29"/>
  <c r="A10" i="29"/>
  <c r="A6" i="29"/>
  <c r="A387" i="47"/>
  <c r="A1922" i="47"/>
  <c r="A1920" i="47"/>
  <c r="A1918" i="47"/>
  <c r="A1916" i="47"/>
  <c r="A1914" i="47"/>
  <c r="A1912" i="47"/>
  <c r="A1910" i="47"/>
  <c r="A1904" i="47"/>
  <c r="A1896" i="47"/>
  <c r="A1892" i="47"/>
  <c r="A1888" i="47"/>
  <c r="A1878" i="47"/>
  <c r="A1868" i="47"/>
  <c r="A1854" i="47"/>
  <c r="A1844" i="47"/>
  <c r="A1830" i="47"/>
  <c r="A1824" i="47"/>
  <c r="A1820" i="47"/>
  <c r="A1804" i="47"/>
  <c r="A1800" i="47"/>
  <c r="A1796" i="47"/>
  <c r="A1792" i="47"/>
  <c r="A1784" i="47"/>
  <c r="A1764" i="47"/>
  <c r="A1760" i="47"/>
  <c r="A1754" i="47"/>
  <c r="A1748" i="47"/>
  <c r="A1725" i="47"/>
  <c r="A1709" i="47"/>
  <c r="A1705" i="47"/>
  <c r="A1703" i="47"/>
  <c r="A1697" i="47"/>
  <c r="A1689" i="47"/>
  <c r="A1685" i="47"/>
  <c r="A1681" i="47"/>
  <c r="A1675" i="47"/>
  <c r="A1660" i="47"/>
  <c r="A1652" i="47"/>
  <c r="A1638" i="47"/>
  <c r="A1628" i="47"/>
  <c r="A1622" i="47"/>
  <c r="A1618" i="47"/>
  <c r="A1606" i="47"/>
  <c r="A1602" i="47"/>
  <c r="A1598" i="47"/>
  <c r="A1582" i="47"/>
  <c r="A1562" i="47"/>
  <c r="A1558" i="47"/>
  <c r="A1552" i="47"/>
  <c r="A1546" i="47"/>
  <c r="A1530" i="47"/>
  <c r="A1508" i="47"/>
  <c r="A1496" i="47"/>
  <c r="A1492" i="47"/>
  <c r="A1490" i="47"/>
  <c r="A1480" i="47"/>
  <c r="A1474" i="47"/>
  <c r="A1458" i="47"/>
  <c r="A1448" i="47"/>
  <c r="A1442" i="47"/>
  <c r="A1436" i="47"/>
  <c r="A1424" i="47"/>
  <c r="A1412" i="47"/>
  <c r="A1410" i="47"/>
  <c r="A1406" i="47"/>
  <c r="A1402" i="47"/>
  <c r="A1394" i="47"/>
  <c r="A1390" i="47"/>
  <c r="A1384" i="47"/>
  <c r="A1370" i="47"/>
  <c r="A1362" i="47"/>
  <c r="A1360" i="47"/>
  <c r="A1356" i="47"/>
  <c r="A1350" i="47"/>
  <c r="A1342" i="47"/>
  <c r="A1330" i="47"/>
  <c r="A1320" i="47"/>
  <c r="A1305" i="47"/>
  <c r="A1303" i="47"/>
  <c r="A1297" i="47"/>
  <c r="A1289" i="47"/>
  <c r="A1285" i="47"/>
  <c r="A1281" i="47"/>
  <c r="A1275" i="47"/>
  <c r="A1269" i="47"/>
  <c r="A1263" i="47"/>
  <c r="A1257" i="47"/>
  <c r="A1239" i="47"/>
  <c r="A1227" i="47"/>
  <c r="A1223" i="47"/>
  <c r="A1211" i="47"/>
  <c r="A1207" i="47"/>
  <c r="A1203" i="47"/>
  <c r="A1199" i="47"/>
  <c r="A1191" i="47"/>
  <c r="A1171" i="47"/>
  <c r="A1167" i="47"/>
  <c r="A1161" i="47"/>
  <c r="A1149" i="47"/>
  <c r="A1125" i="47"/>
  <c r="A1101" i="47"/>
  <c r="A1097" i="47"/>
  <c r="A1091" i="47"/>
  <c r="A1089" i="47"/>
  <c r="A1063" i="47"/>
  <c r="A1059" i="47"/>
  <c r="A1055" i="47"/>
  <c r="A1039" i="47"/>
  <c r="A1019" i="47"/>
  <c r="A1009" i="47"/>
  <c r="A1003" i="47"/>
  <c r="A991" i="47"/>
  <c r="A971" i="47"/>
  <c r="A951" i="47"/>
  <c r="A949" i="47"/>
  <c r="A937" i="47"/>
  <c r="A927" i="47"/>
  <c r="A923" i="47"/>
  <c r="A913" i="47"/>
  <c r="A897" i="47"/>
  <c r="A867" i="47"/>
  <c r="A863" i="47"/>
  <c r="A857" i="47"/>
  <c r="A845" i="47"/>
  <c r="A825" i="47"/>
  <c r="A801" i="47"/>
  <c r="A799" i="47"/>
  <c r="A789" i="47"/>
  <c r="A785" i="47"/>
  <c r="A781" i="47"/>
  <c r="A765" i="47"/>
  <c r="A740" i="47"/>
  <c r="A736" i="47"/>
  <c r="A730" i="47"/>
  <c r="A718" i="47"/>
  <c r="A698" i="47"/>
  <c r="A678" i="47"/>
  <c r="A676" i="47"/>
  <c r="A655" i="47"/>
  <c r="A651" i="47"/>
  <c r="A647" i="47"/>
  <c r="A643" i="47"/>
  <c r="A627" i="47"/>
  <c r="A607" i="47"/>
  <c r="A599" i="47"/>
  <c r="A593" i="47"/>
  <c r="A585" i="47"/>
  <c r="A565" i="47"/>
  <c r="A545" i="47"/>
  <c r="A539" i="47"/>
  <c r="A537" i="47"/>
  <c r="A517" i="47"/>
  <c r="A513" i="47"/>
  <c r="A509" i="47"/>
  <c r="A493" i="47"/>
  <c r="A473" i="47"/>
  <c r="A469" i="47"/>
  <c r="A463" i="47"/>
  <c r="A446" i="47"/>
  <c r="A426" i="47"/>
  <c r="A406" i="47"/>
  <c r="A404" i="47"/>
  <c r="A375" i="47"/>
  <c r="A371" i="47"/>
  <c r="A365" i="47"/>
  <c r="A351" i="47"/>
  <c r="A337" i="47"/>
  <c r="A331" i="47"/>
  <c r="A307" i="47"/>
  <c r="A301" i="47"/>
  <c r="A299" i="47"/>
  <c r="A293" i="47"/>
  <c r="A287" i="47"/>
  <c r="A275" i="47"/>
  <c r="A271" i="47"/>
  <c r="A265" i="47"/>
  <c r="A255" i="47"/>
  <c r="A240" i="47"/>
  <c r="A238" i="47"/>
  <c r="A230" i="47"/>
  <c r="A196" i="47"/>
  <c r="A158" i="47"/>
  <c r="A117" i="47"/>
  <c r="A82" i="47"/>
  <c r="A44" i="47"/>
  <c r="A10" i="47"/>
  <c r="A6" i="47"/>
  <c r="A151" i="27"/>
  <c r="A149" i="27"/>
  <c r="A141" i="27"/>
  <c r="A139" i="27"/>
  <c r="A137" i="27"/>
  <c r="A135" i="27"/>
  <c r="A133" i="27"/>
  <c r="A131" i="27"/>
  <c r="A129" i="27"/>
  <c r="A127" i="27"/>
  <c r="A125" i="27"/>
  <c r="A123" i="27"/>
  <c r="A121" i="27"/>
  <c r="A119" i="27"/>
  <c r="A117" i="27"/>
  <c r="A115" i="27"/>
  <c r="A113" i="27"/>
  <c r="A111" i="27"/>
  <c r="A109" i="27"/>
  <c r="A107" i="27"/>
  <c r="A105" i="27"/>
  <c r="A103" i="27"/>
  <c r="A101" i="27"/>
  <c r="A99" i="27"/>
  <c r="A97" i="27"/>
  <c r="A95" i="27"/>
  <c r="A93" i="27"/>
  <c r="A91" i="27"/>
  <c r="A89" i="27"/>
  <c r="A87" i="27"/>
  <c r="A76" i="27"/>
  <c r="A74" i="27"/>
  <c r="A72" i="27"/>
  <c r="A70" i="27"/>
  <c r="A68" i="27"/>
  <c r="A66" i="27"/>
  <c r="A64" i="27"/>
  <c r="A60" i="27"/>
  <c r="A58" i="27"/>
  <c r="A56" i="27"/>
  <c r="A54" i="27"/>
  <c r="A52" i="27"/>
  <c r="A50" i="27"/>
  <c r="A48" i="27"/>
  <c r="A46" i="27"/>
  <c r="A44" i="27"/>
  <c r="A42" i="27"/>
  <c r="A40" i="27"/>
  <c r="A38" i="27"/>
  <c r="A36" i="27"/>
  <c r="A34" i="27"/>
  <c r="A32" i="27"/>
  <c r="A30" i="27"/>
  <c r="A28" i="27"/>
  <c r="A26" i="27"/>
  <c r="A24" i="27"/>
  <c r="A22" i="27"/>
  <c r="A18" i="27"/>
  <c r="A16" i="27"/>
  <c r="A14" i="27"/>
  <c r="A12" i="27"/>
  <c r="A10" i="27"/>
  <c r="A8" i="27"/>
  <c r="A138" i="26"/>
  <c r="A136" i="26"/>
  <c r="A124" i="26"/>
  <c r="A122" i="26"/>
  <c r="A120" i="26"/>
  <c r="A118" i="26"/>
  <c r="A97" i="26"/>
  <c r="A113" i="26"/>
  <c r="A111" i="26"/>
  <c r="A109" i="26"/>
  <c r="A107" i="26"/>
  <c r="A105" i="26"/>
  <c r="A95" i="26"/>
  <c r="A93" i="26"/>
  <c r="A91" i="26"/>
  <c r="A89" i="26"/>
  <c r="A87" i="26"/>
  <c r="A85" i="26"/>
  <c r="A83" i="26"/>
  <c r="A81" i="26"/>
  <c r="A77" i="26"/>
  <c r="A75" i="26"/>
  <c r="A73" i="26"/>
  <c r="A71" i="26"/>
  <c r="A69" i="26"/>
  <c r="A67" i="26"/>
  <c r="A60" i="26"/>
  <c r="A58" i="26"/>
  <c r="A56" i="26"/>
  <c r="A52" i="26"/>
  <c r="A50" i="26"/>
  <c r="A48" i="26"/>
  <c r="A46" i="26"/>
  <c r="A44" i="26"/>
  <c r="A42" i="26"/>
  <c r="A40" i="26"/>
  <c r="A38" i="26"/>
  <c r="A36" i="26"/>
  <c r="A34" i="26"/>
  <c r="A32" i="26"/>
  <c r="A30" i="26"/>
  <c r="A28" i="26"/>
  <c r="A20" i="26"/>
  <c r="A18" i="26"/>
  <c r="A16" i="26"/>
  <c r="A14" i="26"/>
  <c r="A12" i="26"/>
  <c r="A6" i="26"/>
  <c r="A97" i="25"/>
  <c r="A95" i="25"/>
  <c r="A93" i="25"/>
  <c r="A91" i="25"/>
  <c r="A89" i="25"/>
  <c r="A87" i="25"/>
  <c r="A85" i="25"/>
  <c r="A83" i="25"/>
  <c r="A81" i="25"/>
  <c r="A79" i="25"/>
  <c r="A77" i="25"/>
  <c r="A75" i="25"/>
  <c r="A73" i="25"/>
  <c r="A71" i="25"/>
  <c r="A62" i="25"/>
  <c r="A60" i="25"/>
  <c r="A58" i="25"/>
  <c r="A56" i="25"/>
  <c r="A54" i="25"/>
  <c r="A52" i="25"/>
  <c r="A50" i="25"/>
  <c r="A44" i="25"/>
  <c r="A42" i="25"/>
  <c r="A40" i="25"/>
  <c r="A38" i="25"/>
  <c r="A36" i="25"/>
  <c r="A34" i="25"/>
  <c r="A32" i="25"/>
  <c r="A30" i="25"/>
  <c r="A28" i="25"/>
  <c r="A26" i="25"/>
  <c r="A24" i="25"/>
  <c r="A22" i="25"/>
  <c r="A20" i="25"/>
  <c r="A18" i="25"/>
  <c r="A14" i="25"/>
  <c r="A12" i="25"/>
  <c r="A10" i="25"/>
  <c r="A8" i="25"/>
  <c r="A106" i="44"/>
  <c r="A104" i="44"/>
  <c r="A102" i="44"/>
  <c r="A100" i="44"/>
  <c r="A98" i="44"/>
  <c r="A96" i="44"/>
  <c r="A94" i="44"/>
  <c r="A92" i="44"/>
  <c r="A90" i="44"/>
  <c r="A88" i="44"/>
  <c r="A86" i="44"/>
  <c r="A84" i="44"/>
  <c r="A82" i="44"/>
  <c r="A80" i="44"/>
  <c r="A78" i="44"/>
  <c r="A76" i="44"/>
  <c r="A74" i="44"/>
  <c r="A72" i="44"/>
  <c r="A66" i="44"/>
  <c r="A64" i="44"/>
  <c r="A62" i="44"/>
  <c r="A60" i="44"/>
  <c r="A58" i="44"/>
  <c r="A56" i="44"/>
  <c r="A54" i="44"/>
  <c r="A48" i="44"/>
  <c r="A46" i="44"/>
  <c r="A44" i="44"/>
  <c r="A42" i="44"/>
  <c r="A40" i="44"/>
  <c r="A38" i="44"/>
  <c r="A36" i="44"/>
  <c r="A34" i="44"/>
  <c r="A32" i="44"/>
  <c r="A30" i="44"/>
  <c r="A28" i="44"/>
  <c r="A26" i="44"/>
  <c r="A24" i="44"/>
  <c r="A22" i="44"/>
  <c r="A20" i="44"/>
  <c r="A18" i="44"/>
  <c r="A14" i="44"/>
  <c r="A12" i="44"/>
  <c r="A10" i="44"/>
  <c r="A8" i="44"/>
  <c r="A126" i="40"/>
  <c r="A124" i="40"/>
  <c r="A122" i="40"/>
  <c r="A120" i="40"/>
  <c r="A118" i="40"/>
  <c r="A116" i="40"/>
  <c r="A114" i="40"/>
  <c r="A112" i="40"/>
  <c r="A110" i="40"/>
  <c r="A108" i="40"/>
  <c r="A106" i="40"/>
  <c r="A104" i="40"/>
  <c r="A102" i="40"/>
  <c r="A100" i="40"/>
  <c r="A98" i="40"/>
  <c r="A96" i="40"/>
  <c r="A94" i="40"/>
  <c r="A92" i="40"/>
  <c r="A90" i="40"/>
  <c r="A88" i="40"/>
  <c r="A86" i="40"/>
  <c r="A84" i="40"/>
  <c r="A82" i="40"/>
  <c r="A80" i="40"/>
  <c r="A78" i="40"/>
  <c r="A76" i="40"/>
  <c r="A67" i="40"/>
  <c r="A65" i="40"/>
  <c r="A62" i="40"/>
  <c r="A60" i="40"/>
  <c r="A58" i="40"/>
  <c r="A56" i="40"/>
  <c r="A54" i="40"/>
  <c r="H63" i="47" l="1"/>
  <c r="H64" i="47" s="1"/>
  <c r="H64" i="26"/>
  <c r="H65" i="26" s="1"/>
  <c r="H131" i="26" s="1"/>
  <c r="H132" i="26" s="1"/>
  <c r="H212" i="26" s="1"/>
  <c r="C21" i="12" s="1"/>
  <c r="H74" i="40"/>
  <c r="H81" i="27"/>
  <c r="H72" i="29"/>
  <c r="H73" i="29" s="1"/>
  <c r="H148" i="29" s="1"/>
  <c r="H68" i="25"/>
  <c r="H69" i="25" s="1"/>
  <c r="H146" i="25" s="1"/>
  <c r="C20" i="12" s="1"/>
  <c r="H69" i="44"/>
  <c r="H70" i="44" s="1"/>
  <c r="A48" i="40"/>
  <c r="A46" i="40"/>
  <c r="A44" i="40"/>
  <c r="A42" i="40"/>
  <c r="A40" i="40"/>
  <c r="A38" i="40"/>
  <c r="A36" i="40"/>
  <c r="A34" i="40"/>
  <c r="A32" i="40"/>
  <c r="A30" i="40"/>
  <c r="A28" i="40"/>
  <c r="A26" i="40"/>
  <c r="A24" i="40"/>
  <c r="A22" i="40"/>
  <c r="A20" i="40"/>
  <c r="A16" i="40"/>
  <c r="A14" i="40"/>
  <c r="A12" i="40"/>
  <c r="A10" i="40"/>
  <c r="A8" i="40"/>
  <c r="A292" i="24"/>
  <c r="A290" i="24"/>
  <c r="A288" i="24"/>
  <c r="A286" i="24"/>
  <c r="A284" i="24"/>
  <c r="A282" i="24"/>
  <c r="A280" i="24"/>
  <c r="A278" i="24"/>
  <c r="A269" i="24"/>
  <c r="A267" i="24"/>
  <c r="A265" i="24"/>
  <c r="A263" i="24"/>
  <c r="A261" i="24"/>
  <c r="A259" i="24"/>
  <c r="A257" i="24"/>
  <c r="A255" i="24"/>
  <c r="A253" i="24"/>
  <c r="A251" i="24"/>
  <c r="A249" i="24"/>
  <c r="A247" i="24"/>
  <c r="A245" i="24"/>
  <c r="A243" i="24"/>
  <c r="A241" i="24"/>
  <c r="A239" i="24"/>
  <c r="A237" i="24"/>
  <c r="A235" i="24"/>
  <c r="A233" i="24"/>
  <c r="A231" i="24"/>
  <c r="A229" i="24"/>
  <c r="A227" i="24"/>
  <c r="A225" i="24"/>
  <c r="A223" i="24"/>
  <c r="A221" i="24"/>
  <c r="A219" i="24"/>
  <c r="A217" i="24"/>
  <c r="A215" i="24"/>
  <c r="A213" i="24"/>
  <c r="A211" i="24"/>
  <c r="A209" i="24"/>
  <c r="A207" i="24"/>
  <c r="A205" i="24"/>
  <c r="A203" i="24"/>
  <c r="A201" i="24"/>
  <c r="A199" i="24"/>
  <c r="A197" i="24"/>
  <c r="A195" i="24"/>
  <c r="A186" i="24"/>
  <c r="A184" i="24"/>
  <c r="A182" i="24"/>
  <c r="A180" i="24"/>
  <c r="A178" i="24"/>
  <c r="A176" i="24"/>
  <c r="A174" i="24"/>
  <c r="A172" i="24"/>
  <c r="A170" i="24"/>
  <c r="A168" i="24"/>
  <c r="A166" i="24"/>
  <c r="A164" i="24"/>
  <c r="A162" i="24"/>
  <c r="A160" i="24"/>
  <c r="A158" i="24"/>
  <c r="A156" i="24"/>
  <c r="A154" i="24"/>
  <c r="A152" i="24"/>
  <c r="A150" i="24"/>
  <c r="A148" i="24"/>
  <c r="A146" i="24"/>
  <c r="A144" i="24"/>
  <c r="A142" i="24"/>
  <c r="A140" i="24"/>
  <c r="A138" i="24"/>
  <c r="A136" i="24"/>
  <c r="A134" i="24"/>
  <c r="A132" i="24"/>
  <c r="A130" i="24"/>
  <c r="A122" i="24"/>
  <c r="A120" i="24"/>
  <c r="A118" i="24"/>
  <c r="A116" i="24"/>
  <c r="A114" i="24"/>
  <c r="A112" i="24"/>
  <c r="A110" i="24"/>
  <c r="A108" i="24"/>
  <c r="A106" i="24"/>
  <c r="A104" i="24"/>
  <c r="A102" i="24"/>
  <c r="A100" i="24"/>
  <c r="A98" i="24"/>
  <c r="A96" i="24"/>
  <c r="A94" i="24"/>
  <c r="A92" i="24"/>
  <c r="A90" i="24"/>
  <c r="A88" i="24"/>
  <c r="A86" i="24"/>
  <c r="A84" i="24"/>
  <c r="A68" i="24"/>
  <c r="A66" i="24"/>
  <c r="A64" i="24"/>
  <c r="A62" i="24"/>
  <c r="A60" i="24"/>
  <c r="A58" i="24"/>
  <c r="A56" i="24"/>
  <c r="A54" i="24"/>
  <c r="A52" i="24"/>
  <c r="A50" i="24"/>
  <c r="A48" i="24"/>
  <c r="A46" i="24"/>
  <c r="A44" i="24"/>
  <c r="A42" i="24"/>
  <c r="A40" i="24"/>
  <c r="A38" i="24"/>
  <c r="A36" i="24"/>
  <c r="A34" i="24"/>
  <c r="A32" i="24"/>
  <c r="A30" i="24"/>
  <c r="A28" i="24"/>
  <c r="A26" i="24"/>
  <c r="A24" i="24"/>
  <c r="A22" i="24"/>
  <c r="A18" i="24"/>
  <c r="A16" i="24"/>
  <c r="A14" i="24"/>
  <c r="A12" i="24"/>
  <c r="A10" i="24"/>
  <c r="A8" i="24"/>
  <c r="A74" i="34"/>
  <c r="A60" i="34"/>
  <c r="A54" i="34"/>
  <c r="A52" i="34"/>
  <c r="A50" i="34"/>
  <c r="A48" i="34"/>
  <c r="A44" i="34"/>
  <c r="A40" i="34"/>
  <c r="A34" i="34"/>
  <c r="A30" i="34"/>
  <c r="A28" i="34"/>
  <c r="A24" i="34"/>
  <c r="A20" i="34"/>
  <c r="A18" i="34"/>
  <c r="A16" i="34"/>
  <c r="A14" i="34"/>
  <c r="A12" i="34"/>
  <c r="A10" i="34"/>
  <c r="A8" i="34"/>
  <c r="A136" i="30"/>
  <c r="A132" i="30"/>
  <c r="A130" i="30"/>
  <c r="A128" i="30"/>
  <c r="A122" i="30"/>
  <c r="A120" i="30"/>
  <c r="A116" i="30"/>
  <c r="A114" i="30"/>
  <c r="A108" i="30"/>
  <c r="A106" i="30"/>
  <c r="A102" i="30"/>
  <c r="A100" i="30"/>
  <c r="A98" i="30"/>
  <c r="A90" i="30"/>
  <c r="A86" i="30"/>
  <c r="A73" i="30"/>
  <c r="A71" i="30"/>
  <c r="A66" i="30"/>
  <c r="A64" i="30"/>
  <c r="A58" i="30"/>
  <c r="A56" i="30"/>
  <c r="A52" i="30"/>
  <c r="A50" i="30"/>
  <c r="A44" i="30"/>
  <c r="A42" i="30"/>
  <c r="A40" i="30"/>
  <c r="A36" i="30"/>
  <c r="A34" i="30"/>
  <c r="A32" i="30"/>
  <c r="A26" i="30"/>
  <c r="A24" i="30"/>
  <c r="A20" i="30"/>
  <c r="A18" i="30"/>
  <c r="A14" i="30"/>
  <c r="A12" i="30"/>
  <c r="A395" i="36"/>
  <c r="A393" i="36"/>
  <c r="A383" i="36"/>
  <c r="A381" i="36"/>
  <c r="A375" i="36"/>
  <c r="A373" i="36"/>
  <c r="A367" i="36"/>
  <c r="A363" i="36"/>
  <c r="A361" i="36"/>
  <c r="A357" i="36"/>
  <c r="A355" i="36"/>
  <c r="A351" i="36"/>
  <c r="A347" i="36"/>
  <c r="A345" i="36"/>
  <c r="A343" i="36"/>
  <c r="A341" i="36"/>
  <c r="A339" i="36"/>
  <c r="A337" i="36"/>
  <c r="A335" i="36"/>
  <c r="A323" i="36"/>
  <c r="A321" i="36"/>
  <c r="A315" i="36"/>
  <c r="A306" i="36"/>
  <c r="A298" i="36"/>
  <c r="A294" i="36"/>
  <c r="A292" i="36"/>
  <c r="A290" i="36"/>
  <c r="A286" i="36"/>
  <c r="A280" i="36"/>
  <c r="A278" i="36"/>
  <c r="A274" i="36"/>
  <c r="A272" i="36"/>
  <c r="A268" i="36"/>
  <c r="A264" i="36"/>
  <c r="A254" i="36"/>
  <c r="A252" i="36"/>
  <c r="A250" i="36"/>
  <c r="A246" i="36"/>
  <c r="A238" i="36"/>
  <c r="A226" i="36"/>
  <c r="A224" i="36"/>
  <c r="A218" i="36"/>
  <c r="A214" i="36"/>
  <c r="A212" i="36"/>
  <c r="A206" i="36"/>
  <c r="A202" i="36"/>
  <c r="A196" i="36"/>
  <c r="A186" i="36"/>
  <c r="A182" i="36"/>
  <c r="A180" i="36"/>
  <c r="A178" i="36"/>
  <c r="A174" i="36"/>
  <c r="A168" i="36"/>
  <c r="A166" i="36"/>
  <c r="A164" i="36"/>
  <c r="A149" i="36"/>
  <c r="A147" i="36"/>
  <c r="A145" i="36"/>
  <c r="A135" i="36"/>
  <c r="A131" i="36"/>
  <c r="A127" i="36"/>
  <c r="A121" i="36"/>
  <c r="A119" i="36"/>
  <c r="A113" i="36"/>
  <c r="A111" i="36"/>
  <c r="A103" i="36"/>
  <c r="A101" i="36"/>
  <c r="A95" i="36"/>
  <c r="A93" i="36"/>
  <c r="A89" i="36"/>
  <c r="A87" i="36"/>
  <c r="A85" i="36"/>
  <c r="A74" i="36"/>
  <c r="A72" i="36"/>
  <c r="A68" i="36"/>
  <c r="A62" i="36"/>
  <c r="A60" i="36"/>
  <c r="A56" i="36"/>
  <c r="A52" i="36"/>
  <c r="A46" i="36"/>
  <c r="A44" i="36"/>
  <c r="A42" i="36"/>
  <c r="A38" i="36"/>
  <c r="A36" i="36"/>
  <c r="A26" i="36"/>
  <c r="A24" i="36"/>
  <c r="A20" i="36"/>
  <c r="A18" i="36"/>
  <c r="A16" i="36"/>
  <c r="A8" i="36"/>
  <c r="A195" i="23"/>
  <c r="A193" i="23"/>
  <c r="A189" i="23"/>
  <c r="A184" i="23"/>
  <c r="A178" i="23"/>
  <c r="A174" i="23"/>
  <c r="A172" i="23"/>
  <c r="A170" i="23"/>
  <c r="A164" i="23"/>
  <c r="A162" i="23"/>
  <c r="A160" i="23"/>
  <c r="A158" i="23"/>
  <c r="A146" i="23"/>
  <c r="A142" i="23"/>
  <c r="A140" i="23"/>
  <c r="A136" i="23"/>
  <c r="A130" i="23"/>
  <c r="A126" i="23"/>
  <c r="A122" i="23"/>
  <c r="A116" i="23"/>
  <c r="A108" i="23"/>
  <c r="A104" i="23"/>
  <c r="A100" i="23"/>
  <c r="A98" i="23"/>
  <c r="A96" i="23"/>
  <c r="A94" i="23"/>
  <c r="A92" i="23"/>
  <c r="A90" i="23"/>
  <c r="A80" i="23"/>
  <c r="A78" i="23"/>
  <c r="A76" i="23"/>
  <c r="A64" i="23"/>
  <c r="A60" i="23"/>
  <c r="A56" i="23"/>
  <c r="A50" i="23"/>
  <c r="A46" i="23"/>
  <c r="A40" i="23"/>
  <c r="A32" i="23"/>
  <c r="A28" i="23"/>
  <c r="A24" i="23"/>
  <c r="A22" i="23"/>
  <c r="A18" i="23"/>
  <c r="A10" i="23"/>
  <c r="A8" i="23"/>
  <c r="A107" i="19"/>
  <c r="A103" i="19"/>
  <c r="A101" i="19"/>
  <c r="A97" i="19"/>
  <c r="A91" i="19"/>
  <c r="A83" i="19"/>
  <c r="A77" i="19"/>
  <c r="A71" i="19"/>
  <c r="A69" i="19"/>
  <c r="A64" i="19"/>
  <c r="A60" i="19"/>
  <c r="A56" i="19"/>
  <c r="A54" i="19"/>
  <c r="A52" i="19"/>
  <c r="A50" i="19"/>
  <c r="A46" i="19"/>
  <c r="A42" i="19"/>
  <c r="A36" i="19"/>
  <c r="A34" i="19"/>
  <c r="A28" i="19"/>
  <c r="A26" i="19"/>
  <c r="A16" i="19"/>
  <c r="A12" i="19"/>
  <c r="G118" i="4"/>
  <c r="G106" i="4"/>
  <c r="A298" i="20"/>
  <c r="A294" i="20"/>
  <c r="A292" i="20"/>
  <c r="A290" i="20"/>
  <c r="A284" i="20"/>
  <c r="A278" i="20"/>
  <c r="A274" i="20"/>
  <c r="A270" i="20"/>
  <c r="A266" i="20"/>
  <c r="A260" i="20"/>
  <c r="A258" i="20"/>
  <c r="A252" i="20"/>
  <c r="A248" i="20"/>
  <c r="A246" i="20"/>
  <c r="A240" i="20"/>
  <c r="A236" i="20"/>
  <c r="A226" i="20"/>
  <c r="A216" i="20"/>
  <c r="A208" i="20"/>
  <c r="A206" i="20"/>
  <c r="A204" i="20"/>
  <c r="A202" i="20"/>
  <c r="A198" i="20"/>
  <c r="A196" i="20"/>
  <c r="A194" i="20"/>
  <c r="A190" i="20"/>
  <c r="A184" i="20"/>
  <c r="A182" i="20"/>
  <c r="A180" i="20"/>
  <c r="A172" i="20"/>
  <c r="A170" i="20"/>
  <c r="A168" i="20"/>
  <c r="A166" i="20"/>
  <c r="A152" i="20"/>
  <c r="A148" i="20"/>
  <c r="A144" i="20"/>
  <c r="A138" i="20"/>
  <c r="A136" i="20"/>
  <c r="A130" i="20"/>
  <c r="A128" i="20"/>
  <c r="A120" i="20"/>
  <c r="A118" i="20"/>
  <c r="A112" i="20"/>
  <c r="A110" i="20"/>
  <c r="A108" i="20"/>
  <c r="A103" i="20"/>
  <c r="A101" i="20"/>
  <c r="A99" i="20"/>
  <c r="A97" i="20"/>
  <c r="A95" i="20"/>
  <c r="A93" i="20"/>
  <c r="A89" i="20"/>
  <c r="A78" i="20"/>
  <c r="A76" i="20"/>
  <c r="A72" i="20"/>
  <c r="A68" i="20"/>
  <c r="A58" i="20"/>
  <c r="A56" i="20"/>
  <c r="A46" i="20"/>
  <c r="A44" i="20"/>
  <c r="A42" i="20"/>
  <c r="A40" i="20"/>
  <c r="A36" i="20"/>
  <c r="A34" i="20"/>
  <c r="A32" i="20"/>
  <c r="A22" i="20"/>
  <c r="A20" i="20"/>
  <c r="A16" i="20"/>
  <c r="A8" i="20"/>
  <c r="A62" i="18"/>
  <c r="A60" i="18"/>
  <c r="A56" i="18"/>
  <c r="A52" i="18"/>
  <c r="A50" i="18"/>
  <c r="A48" i="18"/>
  <c r="A46" i="18"/>
  <c r="A44" i="18"/>
  <c r="A42" i="18"/>
  <c r="A38" i="18"/>
  <c r="A34" i="18"/>
  <c r="A32" i="18"/>
  <c r="A30" i="18"/>
  <c r="A28" i="18"/>
  <c r="A26" i="18"/>
  <c r="A20" i="18"/>
  <c r="A18" i="18"/>
  <c r="A14" i="18"/>
  <c r="A12" i="18"/>
  <c r="A10" i="18"/>
  <c r="A8" i="18"/>
  <c r="A46" i="45"/>
  <c r="A44" i="45"/>
  <c r="A42" i="45"/>
  <c r="A38" i="45"/>
  <c r="A34" i="45"/>
  <c r="A32" i="45"/>
  <c r="A30" i="45"/>
  <c r="A28" i="45"/>
  <c r="A26" i="45"/>
  <c r="A20" i="45"/>
  <c r="A18" i="45"/>
  <c r="A16" i="45"/>
  <c r="A12" i="45"/>
  <c r="A10" i="45"/>
  <c r="A8" i="45"/>
  <c r="A50" i="41"/>
  <c r="A46" i="41"/>
  <c r="A44" i="41"/>
  <c r="A42" i="41"/>
  <c r="A38" i="41"/>
  <c r="A34" i="41"/>
  <c r="A32" i="41"/>
  <c r="A30" i="41"/>
  <c r="A28" i="41"/>
  <c r="A26" i="41"/>
  <c r="A20" i="41"/>
  <c r="A18" i="41"/>
  <c r="A16" i="41"/>
  <c r="A12" i="41"/>
  <c r="A10" i="41"/>
  <c r="A8" i="41"/>
  <c r="A699" i="3"/>
  <c r="A693" i="3"/>
  <c r="A691" i="3"/>
  <c r="A687" i="3"/>
  <c r="A683" i="3"/>
  <c r="A677" i="3"/>
  <c r="A675" i="3"/>
  <c r="A673" i="3"/>
  <c r="A665" i="3"/>
  <c r="A663" i="3"/>
  <c r="A659" i="3"/>
  <c r="A653" i="3"/>
  <c r="A649" i="3"/>
  <c r="A643" i="3"/>
  <c r="A634" i="3"/>
  <c r="A630" i="3"/>
  <c r="A620" i="3"/>
  <c r="A618" i="3"/>
  <c r="A614" i="3"/>
  <c r="A612" i="3"/>
  <c r="A608" i="3"/>
  <c r="A606" i="3"/>
  <c r="A594" i="3"/>
  <c r="A598" i="3"/>
  <c r="A592" i="3"/>
  <c r="A588" i="3"/>
  <c r="A581" i="3"/>
  <c r="A579" i="3"/>
  <c r="A566" i="3"/>
  <c r="A564" i="3"/>
  <c r="A559" i="3"/>
  <c r="A553" i="3"/>
  <c r="A551" i="3"/>
  <c r="A549" i="3"/>
  <c r="A543" i="3"/>
  <c r="A539" i="3"/>
  <c r="A535" i="3"/>
  <c r="A529" i="3"/>
  <c r="A521" i="3"/>
  <c r="A519" i="3"/>
  <c r="A517" i="3"/>
  <c r="A515" i="3"/>
  <c r="A509" i="3"/>
  <c r="A499" i="3"/>
  <c r="A488" i="3"/>
  <c r="A484" i="3"/>
  <c r="A478" i="3"/>
  <c r="A472" i="3"/>
  <c r="A462" i="3"/>
  <c r="A460" i="3"/>
  <c r="A456" i="3"/>
  <c r="A454" i="3"/>
  <c r="A446" i="3"/>
  <c r="A442" i="3"/>
  <c r="A440" i="3"/>
  <c r="A438" i="3"/>
  <c r="A436" i="3"/>
  <c r="A434" i="3"/>
  <c r="A432" i="3"/>
  <c r="A420" i="3"/>
  <c r="A418" i="3"/>
  <c r="A414" i="3"/>
  <c r="A412" i="3"/>
  <c r="A410" i="3"/>
  <c r="A406" i="3"/>
  <c r="A404" i="3"/>
  <c r="A398" i="3"/>
  <c r="A396" i="3"/>
  <c r="A392" i="3"/>
  <c r="A390" i="3"/>
  <c r="A386" i="3"/>
  <c r="A384" i="3"/>
  <c r="A380" i="3"/>
  <c r="A376" i="3"/>
  <c r="A370" i="3"/>
  <c r="A366" i="3"/>
  <c r="A336" i="3"/>
  <c r="A338" i="3"/>
  <c r="A340" i="3"/>
  <c r="A342" i="3"/>
  <c r="A344" i="3"/>
  <c r="A346" i="3"/>
  <c r="A348" i="3"/>
  <c r="A350" i="3"/>
  <c r="A332" i="3"/>
  <c r="A334" i="3"/>
  <c r="A330" i="3"/>
  <c r="A328" i="3"/>
  <c r="A326" i="3"/>
  <c r="A322" i="3"/>
  <c r="A316" i="3"/>
  <c r="A308" i="3"/>
  <c r="A306" i="3"/>
  <c r="A300" i="3"/>
  <c r="A296" i="3"/>
  <c r="A294" i="3"/>
  <c r="A285" i="3"/>
  <c r="A283" i="3"/>
  <c r="A279" i="3"/>
  <c r="A275" i="3"/>
  <c r="A273" i="3"/>
  <c r="A271" i="3"/>
  <c r="A269" i="3"/>
  <c r="A267" i="3"/>
  <c r="A265" i="3"/>
  <c r="A259" i="3"/>
  <c r="A257" i="3"/>
  <c r="A253" i="3"/>
  <c r="A247" i="3"/>
  <c r="A245" i="3"/>
  <c r="A243" i="3"/>
  <c r="A239" i="3"/>
  <c r="A237" i="3"/>
  <c r="A233" i="3"/>
  <c r="A231" i="3"/>
  <c r="A210" i="3"/>
  <c r="A208" i="3"/>
  <c r="A206" i="3"/>
  <c r="A202" i="3"/>
  <c r="A196" i="3"/>
  <c r="A188" i="3"/>
  <c r="A186" i="3"/>
  <c r="A180" i="3"/>
  <c r="A176" i="3"/>
  <c r="A174" i="3"/>
  <c r="A170" i="3"/>
  <c r="A168" i="3"/>
  <c r="A164" i="3"/>
  <c r="A160" i="3"/>
  <c r="A158" i="3"/>
  <c r="A156" i="3"/>
  <c r="A154" i="3"/>
  <c r="A134" i="3"/>
  <c r="A132" i="3"/>
  <c r="A128" i="3"/>
  <c r="A124" i="3"/>
  <c r="A116" i="3"/>
  <c r="A114" i="3"/>
  <c r="A110" i="3"/>
  <c r="A100" i="3"/>
  <c r="A98" i="3"/>
  <c r="A94" i="3"/>
  <c r="A88" i="3"/>
  <c r="A86" i="3"/>
  <c r="A82" i="3"/>
  <c r="A72" i="3"/>
  <c r="A70" i="3"/>
  <c r="A64" i="3"/>
  <c r="A62" i="3"/>
  <c r="A58" i="3"/>
  <c r="A56" i="3"/>
  <c r="A52" i="3"/>
  <c r="A46" i="3"/>
  <c r="A42" i="3"/>
  <c r="A36" i="3"/>
  <c r="A32" i="3"/>
  <c r="A22" i="3"/>
  <c r="A20" i="3"/>
  <c r="A16" i="3"/>
  <c r="A10" i="3"/>
  <c r="A8" i="3"/>
  <c r="A118" i="4"/>
  <c r="A116" i="4"/>
  <c r="A112" i="4"/>
  <c r="A106" i="4"/>
  <c r="A102" i="4"/>
  <c r="A100" i="4"/>
  <c r="A98" i="4"/>
  <c r="A96" i="4"/>
  <c r="A94" i="4"/>
  <c r="A92" i="4"/>
  <c r="A88" i="4"/>
  <c r="A82" i="4"/>
  <c r="A80" i="4"/>
  <c r="A78" i="4"/>
  <c r="A76" i="4"/>
  <c r="A70" i="4"/>
  <c r="A68" i="4"/>
  <c r="A66" i="4"/>
  <c r="A62" i="4"/>
  <c r="A60" i="4"/>
  <c r="A58" i="4"/>
  <c r="A54" i="4"/>
  <c r="A50" i="4"/>
  <c r="A46" i="4"/>
  <c r="A40" i="4"/>
  <c r="A36" i="4"/>
  <c r="A34" i="4"/>
  <c r="A32" i="4"/>
  <c r="A28" i="4"/>
  <c r="A24" i="4"/>
  <c r="A22" i="4"/>
  <c r="A18" i="4"/>
  <c r="A16" i="4"/>
  <c r="A8" i="4"/>
  <c r="H146" i="27" l="1"/>
  <c r="H147" i="27" s="1"/>
  <c r="H230" i="27" s="1"/>
  <c r="H143" i="44"/>
  <c r="C19" i="12" s="1"/>
  <c r="H150" i="40"/>
  <c r="C18" i="12" s="1"/>
  <c r="H127" i="47"/>
  <c r="H128" i="47" s="1"/>
  <c r="H187" i="47" s="1"/>
  <c r="H188" i="47" s="1"/>
  <c r="H246" i="47" s="1"/>
  <c r="H247" i="47" s="1"/>
  <c r="H318" i="47" s="1"/>
  <c r="H319" i="47" s="1"/>
  <c r="H392" i="47" s="1"/>
  <c r="H393" i="47" s="1"/>
  <c r="H149" i="29"/>
  <c r="H222" i="29" s="1"/>
  <c r="H69" i="34"/>
  <c r="H70" i="34" s="1"/>
  <c r="H145" i="34" s="1"/>
  <c r="C16" i="12" s="1"/>
  <c r="D72" i="46"/>
  <c r="H51" i="46"/>
  <c r="H52" i="46"/>
  <c r="H53" i="46"/>
  <c r="H54" i="46"/>
  <c r="H55" i="46"/>
  <c r="H56" i="46"/>
  <c r="H57" i="46"/>
  <c r="H58" i="46"/>
  <c r="H59" i="46"/>
  <c r="H60" i="46"/>
  <c r="H61" i="46"/>
  <c r="H62" i="46"/>
  <c r="H63" i="46"/>
  <c r="H64" i="46"/>
  <c r="H65" i="46"/>
  <c r="H66" i="46"/>
  <c r="H67" i="46"/>
  <c r="H68" i="46"/>
  <c r="H69" i="46"/>
  <c r="H70" i="46"/>
  <c r="H50" i="46"/>
  <c r="H49" i="46"/>
  <c r="H48" i="46"/>
  <c r="H47" i="46"/>
  <c r="H46" i="46"/>
  <c r="H45" i="46"/>
  <c r="H44" i="46"/>
  <c r="H43" i="46"/>
  <c r="H42" i="46"/>
  <c r="H41" i="46"/>
  <c r="H40" i="46"/>
  <c r="H39" i="46"/>
  <c r="H38" i="46"/>
  <c r="H37" i="46"/>
  <c r="H36" i="46"/>
  <c r="H35" i="46"/>
  <c r="N32" i="46"/>
  <c r="K52" i="46" s="1"/>
  <c r="D24" i="46"/>
  <c r="D23" i="46"/>
  <c r="D22" i="46"/>
  <c r="D21" i="46"/>
  <c r="H223" i="29" l="1"/>
  <c r="H301" i="29" s="1"/>
  <c r="C53" i="48"/>
  <c r="C20" i="48"/>
  <c r="C53" i="50"/>
  <c r="E20" i="50" s="1"/>
  <c r="C20" i="50"/>
  <c r="C22" i="12"/>
  <c r="M69" i="46"/>
  <c r="J68" i="46"/>
  <c r="L66" i="46"/>
  <c r="K63" i="46"/>
  <c r="M61" i="46"/>
  <c r="J60" i="46"/>
  <c r="L58" i="46"/>
  <c r="K55" i="46"/>
  <c r="M53" i="46"/>
  <c r="J52" i="46"/>
  <c r="L69" i="46"/>
  <c r="K66" i="46"/>
  <c r="M64" i="46"/>
  <c r="J63" i="46"/>
  <c r="L61" i="46"/>
  <c r="K58" i="46"/>
  <c r="M56" i="46"/>
  <c r="J55" i="46"/>
  <c r="L53" i="46"/>
  <c r="K69" i="46"/>
  <c r="M67" i="46"/>
  <c r="J66" i="46"/>
  <c r="L64" i="46"/>
  <c r="K61" i="46"/>
  <c r="M59" i="46"/>
  <c r="J58" i="46"/>
  <c r="L56" i="46"/>
  <c r="K53" i="46"/>
  <c r="M51" i="46"/>
  <c r="M70" i="46"/>
  <c r="L59" i="46"/>
  <c r="M65" i="46"/>
  <c r="L62" i="46"/>
  <c r="K59" i="46"/>
  <c r="J56" i="46"/>
  <c r="L54" i="46"/>
  <c r="K51" i="46"/>
  <c r="K70" i="46"/>
  <c r="J67" i="46"/>
  <c r="L65" i="46"/>
  <c r="K62" i="46"/>
  <c r="M60" i="46"/>
  <c r="L57" i="46"/>
  <c r="K54" i="46"/>
  <c r="M52" i="46"/>
  <c r="J51" i="46"/>
  <c r="J70" i="46"/>
  <c r="L68" i="46"/>
  <c r="K65" i="46"/>
  <c r="M63" i="46"/>
  <c r="J62" i="46"/>
  <c r="L60" i="46"/>
  <c r="K57" i="46"/>
  <c r="M55" i="46"/>
  <c r="J54" i="46"/>
  <c r="L52" i="46"/>
  <c r="J69" i="46"/>
  <c r="L67" i="46"/>
  <c r="K64" i="46"/>
  <c r="M62" i="46"/>
  <c r="J61" i="46"/>
  <c r="K56" i="46"/>
  <c r="M54" i="46"/>
  <c r="J53" i="46"/>
  <c r="L51" i="46"/>
  <c r="L70" i="46"/>
  <c r="K67" i="46"/>
  <c r="J64" i="46"/>
  <c r="M57" i="46"/>
  <c r="M68" i="46"/>
  <c r="J59" i="46"/>
  <c r="K68" i="46"/>
  <c r="M66" i="46"/>
  <c r="J65" i="46"/>
  <c r="L63" i="46"/>
  <c r="K60" i="46"/>
  <c r="M58" i="46"/>
  <c r="J57" i="46"/>
  <c r="L55" i="46"/>
  <c r="J42" i="46"/>
  <c r="J35" i="46"/>
  <c r="J44" i="46"/>
  <c r="J46" i="46"/>
  <c r="J47" i="46"/>
  <c r="J48" i="46"/>
  <c r="J38" i="46"/>
  <c r="J43" i="46"/>
  <c r="J36" i="46"/>
  <c r="J40" i="46"/>
  <c r="J37" i="46"/>
  <c r="J41" i="46"/>
  <c r="J45" i="46"/>
  <c r="J49" i="46"/>
  <c r="J50" i="46"/>
  <c r="J39" i="46"/>
  <c r="M39" i="46"/>
  <c r="K35" i="46"/>
  <c r="K37" i="46"/>
  <c r="K38" i="46"/>
  <c r="K40" i="46"/>
  <c r="K42" i="46"/>
  <c r="K44" i="46"/>
  <c r="K47" i="46"/>
  <c r="L35" i="46"/>
  <c r="L37" i="46"/>
  <c r="L38" i="46"/>
  <c r="L39" i="46"/>
  <c r="L40" i="46"/>
  <c r="L41" i="46"/>
  <c r="L42" i="46"/>
  <c r="L43" i="46"/>
  <c r="L44" i="46"/>
  <c r="L45" i="46"/>
  <c r="L46" i="46"/>
  <c r="L47" i="46"/>
  <c r="L48" i="46"/>
  <c r="L49" i="46"/>
  <c r="L50" i="46"/>
  <c r="M35" i="46"/>
  <c r="M36" i="46"/>
  <c r="M37" i="46"/>
  <c r="M38" i="46"/>
  <c r="M40" i="46"/>
  <c r="M41" i="46"/>
  <c r="M42" i="46"/>
  <c r="M43" i="46"/>
  <c r="M44" i="46"/>
  <c r="M45" i="46"/>
  <c r="M46" i="46"/>
  <c r="M47" i="46"/>
  <c r="M48" i="46"/>
  <c r="M49" i="46"/>
  <c r="M50" i="46"/>
  <c r="K36" i="46"/>
  <c r="K39" i="46"/>
  <c r="K41" i="46"/>
  <c r="K43" i="46"/>
  <c r="K45" i="46"/>
  <c r="K46" i="46"/>
  <c r="K48" i="46"/>
  <c r="K49" i="46"/>
  <c r="K50" i="46"/>
  <c r="L36" i="46"/>
  <c r="H460" i="47" l="1"/>
  <c r="H461" i="47" s="1"/>
  <c r="H530" i="47" s="1"/>
  <c r="H531" i="47" s="1"/>
  <c r="H604" i="47" s="1"/>
  <c r="H605" i="47" s="1"/>
  <c r="H673" i="47" s="1"/>
  <c r="H674" i="47" s="1"/>
  <c r="F20" i="50"/>
  <c r="H302" i="29"/>
  <c r="H748" i="47" l="1"/>
  <c r="H749" i="47" s="1"/>
  <c r="H816" i="47" s="1"/>
  <c r="H817" i="47" s="1"/>
  <c r="H894" i="47" s="1"/>
  <c r="H895" i="47" s="1"/>
  <c r="H944" i="47" s="1"/>
  <c r="H945" i="47" s="1"/>
  <c r="H1016" i="47" s="1"/>
  <c r="H1017" i="47" s="1"/>
  <c r="H1086" i="47" s="1"/>
  <c r="H1087" i="47" s="1"/>
  <c r="H1158" i="47" s="1"/>
  <c r="H1159" i="47" s="1"/>
  <c r="H1236" i="47" s="1"/>
  <c r="H1237" i="47" s="1"/>
  <c r="H1313" i="47" s="1"/>
  <c r="H1314" i="47" s="1"/>
  <c r="H1381" i="47" s="1"/>
  <c r="H1382" i="47" s="1"/>
  <c r="H1455" i="47" s="1"/>
  <c r="H1456" i="47" s="1"/>
  <c r="H1519" i="47" s="1"/>
  <c r="H1520" i="47" s="1"/>
  <c r="H1595" i="47" s="1"/>
  <c r="H1596" i="47" s="1"/>
  <c r="H1672" i="47" s="1"/>
  <c r="H1673" i="47" s="1"/>
  <c r="H1745" i="47" s="1"/>
  <c r="H1746" i="47" s="1"/>
  <c r="H1817" i="47" s="1"/>
  <c r="H1818" i="47" s="1"/>
  <c r="H1885" i="47" s="1"/>
  <c r="H1886" i="47" s="1"/>
  <c r="H373" i="29"/>
  <c r="H374" i="29" s="1"/>
  <c r="H449" i="29" s="1"/>
  <c r="H450" i="29" s="1"/>
  <c r="H524" i="29" s="1"/>
  <c r="F214" i="1"/>
  <c r="G214" i="1" s="1"/>
  <c r="F216" i="1"/>
  <c r="G216" i="1" s="1"/>
  <c r="F206" i="1"/>
  <c r="G206" i="1" s="1"/>
  <c r="F224" i="1"/>
  <c r="G224" i="1" s="1"/>
  <c r="H1961" i="47" l="1"/>
  <c r="C23" i="12" s="1"/>
  <c r="G20" i="50" s="1"/>
  <c r="H525" i="29"/>
  <c r="G250" i="1"/>
  <c r="G265" i="1" s="1"/>
  <c r="G266" i="1" s="1"/>
  <c r="G336" i="1" s="1"/>
  <c r="G337" i="1" s="1"/>
  <c r="G406" i="1" s="1"/>
  <c r="C5" i="12" s="1"/>
  <c r="H597" i="29" l="1"/>
  <c r="H598" i="29" s="1"/>
  <c r="H672" i="29" s="1"/>
  <c r="H673" i="29" s="1"/>
  <c r="H749" i="29" s="1"/>
  <c r="F142" i="28"/>
  <c r="G142" i="28" s="1"/>
  <c r="G197" i="28"/>
  <c r="G198" i="28"/>
  <c r="G172" i="28"/>
  <c r="G173" i="28"/>
  <c r="G174" i="28"/>
  <c r="G175" i="28"/>
  <c r="G176" i="28"/>
  <c r="G177" i="28"/>
  <c r="G180" i="28"/>
  <c r="G181" i="28"/>
  <c r="G182" i="28"/>
  <c r="G183" i="28"/>
  <c r="G184" i="28"/>
  <c r="G185" i="28"/>
  <c r="G186" i="28"/>
  <c r="G187" i="28"/>
  <c r="G188" i="28"/>
  <c r="G189" i="28"/>
  <c r="G190" i="28"/>
  <c r="G191" i="28"/>
  <c r="G192" i="28"/>
  <c r="G193" i="28"/>
  <c r="G194" i="28"/>
  <c r="G195" i="28"/>
  <c r="G196" i="28"/>
  <c r="G158" i="28"/>
  <c r="G159" i="28"/>
  <c r="G160" i="28"/>
  <c r="G161" i="28"/>
  <c r="G162" i="28"/>
  <c r="G163" i="28"/>
  <c r="G164" i="28"/>
  <c r="G165" i="28"/>
  <c r="G166" i="28"/>
  <c r="G167" i="28"/>
  <c r="G168" i="28"/>
  <c r="G169" i="28"/>
  <c r="G170" i="28"/>
  <c r="G171" i="28"/>
  <c r="G157" i="28"/>
  <c r="G81" i="28"/>
  <c r="G82" i="28"/>
  <c r="G83" i="28"/>
  <c r="G84" i="28"/>
  <c r="G85" i="28"/>
  <c r="G86" i="28"/>
  <c r="G87" i="28"/>
  <c r="G88" i="28"/>
  <c r="G89" i="28"/>
  <c r="G90" i="28"/>
  <c r="G91" i="28"/>
  <c r="G92" i="28"/>
  <c r="G93" i="28"/>
  <c r="G94" i="28"/>
  <c r="G95" i="28"/>
  <c r="G96" i="28"/>
  <c r="G97" i="28"/>
  <c r="G98" i="28"/>
  <c r="G99" i="28"/>
  <c r="G100" i="28"/>
  <c r="G101" i="28"/>
  <c r="G102" i="28"/>
  <c r="G103" i="28"/>
  <c r="G104" i="28"/>
  <c r="G105" i="28"/>
  <c r="G106" i="28"/>
  <c r="G107" i="28"/>
  <c r="G108" i="28"/>
  <c r="G109" i="28"/>
  <c r="G110" i="28"/>
  <c r="G111" i="28"/>
  <c r="G112" i="28"/>
  <c r="G113" i="28"/>
  <c r="G114" i="28"/>
  <c r="G115" i="28"/>
  <c r="G116" i="28"/>
  <c r="G117" i="28"/>
  <c r="G118" i="28"/>
  <c r="G119" i="28"/>
  <c r="G120" i="28"/>
  <c r="G121" i="28"/>
  <c r="G122" i="28"/>
  <c r="G123" i="28"/>
  <c r="G124" i="28"/>
  <c r="G125" i="28"/>
  <c r="G126" i="28"/>
  <c r="G127" i="28"/>
  <c r="G128" i="28"/>
  <c r="G129" i="28"/>
  <c r="G130" i="28"/>
  <c r="G131" i="28"/>
  <c r="G132" i="28"/>
  <c r="G133" i="28"/>
  <c r="G134" i="28"/>
  <c r="G135" i="28"/>
  <c r="G136" i="28"/>
  <c r="G137" i="28"/>
  <c r="G138" i="28"/>
  <c r="G139" i="28"/>
  <c r="G140" i="28"/>
  <c r="G141" i="28"/>
  <c r="G143" i="28"/>
  <c r="G144" i="28"/>
  <c r="G145" i="28"/>
  <c r="G146" i="28"/>
  <c r="G147" i="28"/>
  <c r="G148" i="28"/>
  <c r="G149" i="28"/>
  <c r="G150" i="28"/>
  <c r="G80" i="28"/>
  <c r="G9" i="28"/>
  <c r="G11" i="28"/>
  <c r="G12" i="28"/>
  <c r="G13" i="28"/>
  <c r="G14" i="28"/>
  <c r="G15" i="28"/>
  <c r="G16" i="28"/>
  <c r="G17" i="28"/>
  <c r="G18" i="28"/>
  <c r="G19" i="28"/>
  <c r="G21" i="28"/>
  <c r="G22" i="28"/>
  <c r="G23" i="28"/>
  <c r="G24" i="28"/>
  <c r="G25" i="28"/>
  <c r="G26" i="28"/>
  <c r="G27" i="28"/>
  <c r="G28" i="28"/>
  <c r="G29" i="28"/>
  <c r="G30" i="28"/>
  <c r="G31" i="28"/>
  <c r="G32" i="28"/>
  <c r="G33" i="28"/>
  <c r="G34" i="28"/>
  <c r="G35" i="28"/>
  <c r="G36" i="28"/>
  <c r="G37" i="28"/>
  <c r="G38" i="28"/>
  <c r="G39" i="28"/>
  <c r="G40" i="28"/>
  <c r="G41" i="28"/>
  <c r="G42" i="28"/>
  <c r="G43" i="28"/>
  <c r="G44" i="28"/>
  <c r="G45" i="28"/>
  <c r="G46" i="28"/>
  <c r="G47" i="28"/>
  <c r="G48" i="28"/>
  <c r="G49" i="28"/>
  <c r="G50" i="28"/>
  <c r="G51" i="28"/>
  <c r="G52" i="28"/>
  <c r="G53" i="28"/>
  <c r="G54" i="28"/>
  <c r="G55" i="28"/>
  <c r="G56" i="28"/>
  <c r="G57" i="28"/>
  <c r="G58" i="28"/>
  <c r="G59" i="28"/>
  <c r="G60" i="28"/>
  <c r="G61" i="28"/>
  <c r="G62" i="28"/>
  <c r="G63" i="28"/>
  <c r="G64" i="28"/>
  <c r="G65" i="28"/>
  <c r="G66" i="28"/>
  <c r="G67" i="28"/>
  <c r="G68" i="28"/>
  <c r="G69" i="28"/>
  <c r="G70" i="28"/>
  <c r="G71" i="28"/>
  <c r="G72" i="28"/>
  <c r="G8" i="28"/>
  <c r="H750" i="29" l="1"/>
  <c r="H826" i="29" s="1"/>
  <c r="H827" i="29" s="1"/>
  <c r="H904" i="29" l="1"/>
  <c r="H905" i="29" s="1"/>
  <c r="H981" i="29" s="1"/>
  <c r="C24" i="12" s="1"/>
  <c r="G17" i="50" l="1"/>
  <c r="C50" i="50"/>
  <c r="E17" i="50" s="1"/>
  <c r="C17" i="48"/>
  <c r="C50" i="48"/>
  <c r="C17" i="50"/>
  <c r="H79" i="45"/>
  <c r="C9" i="12" s="1"/>
  <c r="F17" i="50" l="1"/>
  <c r="C8" i="48"/>
  <c r="C45" i="48"/>
  <c r="C8" i="50"/>
  <c r="C45" i="50"/>
  <c r="E8" i="50" s="1"/>
  <c r="F8" i="50" l="1"/>
  <c r="G8" i="50"/>
  <c r="G16" i="50" l="1"/>
  <c r="C49" i="48"/>
  <c r="C16" i="48"/>
  <c r="C49" i="50"/>
  <c r="E16" i="50" s="1"/>
  <c r="C16" i="50"/>
  <c r="F16" i="50" l="1"/>
  <c r="H79" i="41"/>
  <c r="C8" i="12" s="1"/>
  <c r="I173" i="28"/>
  <c r="C44" i="48" l="1"/>
  <c r="C7" i="50"/>
  <c r="C44" i="50"/>
  <c r="E7" i="50" s="1"/>
  <c r="C7" i="48"/>
  <c r="I180" i="28"/>
  <c r="I161" i="28"/>
  <c r="F7" i="50" l="1"/>
  <c r="G7" i="50"/>
  <c r="H180" i="3" l="1"/>
  <c r="Q119" i="36"/>
  <c r="D56" i="34"/>
  <c r="H80" i="36" l="1"/>
  <c r="H81" i="36" s="1"/>
  <c r="H155" i="36" l="1"/>
  <c r="H156" i="36" s="1"/>
  <c r="H235" i="36" s="1"/>
  <c r="H236" i="36" s="1"/>
  <c r="H312" i="36" s="1"/>
  <c r="H313" i="36" s="1"/>
  <c r="H388" i="36" s="1"/>
  <c r="H389" i="36" s="1"/>
  <c r="H472" i="36" s="1"/>
  <c r="C14" i="12" s="1"/>
  <c r="H216" i="20"/>
  <c r="H93" i="20"/>
  <c r="H16" i="20" l="1"/>
  <c r="H20" i="20" l="1"/>
  <c r="H22" i="20"/>
  <c r="K83" i="22"/>
  <c r="K84" i="22"/>
  <c r="H529" i="3" l="1"/>
  <c r="H525" i="3"/>
  <c r="H521" i="3"/>
  <c r="H519" i="3"/>
  <c r="H517" i="3"/>
  <c r="H515" i="3"/>
  <c r="H553" i="3"/>
  <c r="H551" i="3"/>
  <c r="H549" i="3"/>
  <c r="H543" i="3"/>
  <c r="H566" i="3"/>
  <c r="H564" i="3"/>
  <c r="C51" i="50" l="1"/>
  <c r="E18" i="50" s="1"/>
  <c r="C18" i="50"/>
  <c r="C18" i="48"/>
  <c r="C51" i="48"/>
  <c r="C19" i="50"/>
  <c r="F19" i="50" s="1"/>
  <c r="C19" i="48"/>
  <c r="H253" i="3"/>
  <c r="O73" i="22"/>
  <c r="O71" i="22"/>
  <c r="O69" i="22"/>
  <c r="O68" i="22"/>
  <c r="O66" i="22"/>
  <c r="O65" i="22"/>
  <c r="F18" i="50" l="1"/>
  <c r="H257" i="3"/>
  <c r="H73" i="4" l="1"/>
  <c r="H74" i="4" s="1"/>
  <c r="H147" i="4" s="1"/>
  <c r="C6" i="12" s="1"/>
  <c r="C42" i="50" l="1"/>
  <c r="F42" i="50" s="1"/>
  <c r="C42" i="48"/>
  <c r="H78" i="24"/>
  <c r="H127" i="24" s="1"/>
  <c r="H128" i="24" s="1"/>
  <c r="G42" i="50"/>
  <c r="H192" i="24" l="1"/>
  <c r="H193" i="24" s="1"/>
  <c r="H275" i="24" s="1"/>
  <c r="H276" i="24" s="1"/>
  <c r="H359" i="24" s="1"/>
  <c r="C17" i="12" s="1"/>
  <c r="H172" i="23"/>
  <c r="H146" i="23"/>
  <c r="Q119" i="23"/>
  <c r="H18" i="23"/>
  <c r="H410" i="3"/>
  <c r="H643" i="3"/>
  <c r="H454" i="3"/>
  <c r="H608" i="3"/>
  <c r="H94" i="3"/>
  <c r="H326" i="3"/>
  <c r="H300" i="3"/>
  <c r="H296" i="3"/>
  <c r="H294" i="3"/>
  <c r="H285" i="3"/>
  <c r="H283" i="3"/>
  <c r="H279" i="3"/>
  <c r="H116" i="3"/>
  <c r="H328" i="3" l="1"/>
  <c r="H412" i="3"/>
  <c r="H460" i="3"/>
  <c r="H98" i="3"/>
  <c r="H100" i="3"/>
  <c r="H462" i="3"/>
  <c r="H259" i="3"/>
  <c r="H176" i="3"/>
  <c r="I116" i="28" l="1"/>
  <c r="I100" i="28"/>
  <c r="I68" i="28"/>
  <c r="I44" i="28"/>
  <c r="I24" i="28"/>
  <c r="E20" i="28"/>
  <c r="G20" i="28" s="1"/>
  <c r="E10" i="28"/>
  <c r="G10" i="28" s="1"/>
  <c r="G77" i="28" l="1"/>
  <c r="I6" i="28"/>
  <c r="I140" i="28"/>
  <c r="I32" i="28"/>
  <c r="I84" i="28"/>
  <c r="I124" i="28"/>
  <c r="I56" i="28"/>
  <c r="I108" i="28"/>
  <c r="C15" i="50" l="1"/>
  <c r="C48" i="48"/>
  <c r="C15" i="48"/>
  <c r="C48" i="50"/>
  <c r="E15" i="50" s="1"/>
  <c r="F15" i="50" l="1"/>
  <c r="C52" i="50" l="1"/>
  <c r="F52" i="50" s="1"/>
  <c r="C52" i="48"/>
  <c r="H83" i="30" l="1"/>
  <c r="H84" i="30" s="1"/>
  <c r="H159" i="30" s="1"/>
  <c r="C15" i="12" s="1"/>
  <c r="H258" i="20" l="1"/>
  <c r="H252" i="20"/>
  <c r="H246" i="20"/>
  <c r="H226" i="20"/>
  <c r="H236" i="20" l="1"/>
  <c r="H260" i="20"/>
  <c r="K203" i="22" l="1"/>
  <c r="H665" i="3" l="1"/>
  <c r="H663" i="3"/>
  <c r="H659" i="3"/>
  <c r="H634" i="3"/>
  <c r="H630" i="3"/>
  <c r="H370" i="3"/>
  <c r="H366" i="3"/>
  <c r="H174" i="3"/>
  <c r="H170" i="3"/>
  <c r="H168" i="3"/>
  <c r="H164" i="3"/>
  <c r="H114" i="3"/>
  <c r="H110" i="3"/>
  <c r="H649" i="3" l="1"/>
  <c r="H376" i="3"/>
  <c r="H406" i="3"/>
  <c r="H124" i="3"/>
  <c r="H77" i="3" l="1"/>
  <c r="H78" i="3" l="1"/>
  <c r="H190" i="20"/>
  <c r="H80" i="19" l="1"/>
  <c r="H81" i="19" s="1"/>
  <c r="H160" i="19" s="1"/>
  <c r="C12" i="12" s="1"/>
  <c r="H138" i="20" l="1"/>
  <c r="H128" i="20"/>
  <c r="H118" i="20"/>
  <c r="H99" i="20"/>
  <c r="H97" i="20"/>
  <c r="H95" i="20"/>
  <c r="H89" i="20"/>
  <c r="H78" i="20"/>
  <c r="H120" i="20" l="1"/>
  <c r="H136" i="20"/>
  <c r="H62" i="20"/>
  <c r="H44" i="20"/>
  <c r="H42" i="20"/>
  <c r="H36" i="20"/>
  <c r="H34" i="20"/>
  <c r="H8" i="20" l="1"/>
  <c r="H499" i="3" l="1"/>
  <c r="H206" i="3" l="1"/>
  <c r="H132" i="3" l="1"/>
  <c r="H151" i="3" s="1"/>
  <c r="H152" i="3" s="1"/>
  <c r="H76" i="18"/>
  <c r="C10" i="12" s="1"/>
  <c r="H208" i="3"/>
  <c r="H606" i="3"/>
  <c r="H598" i="3"/>
  <c r="H614" i="3" l="1"/>
  <c r="H226" i="3"/>
  <c r="H612" i="3"/>
  <c r="H227" i="3" l="1"/>
  <c r="H618" i="3"/>
  <c r="H620" i="3"/>
  <c r="H289" i="3" l="1"/>
  <c r="H290" i="3" s="1"/>
  <c r="H355" i="3" s="1"/>
  <c r="H356" i="3" s="1"/>
  <c r="H427" i="3" s="1"/>
  <c r="H428" i="3" s="1"/>
  <c r="G52" i="50"/>
  <c r="H68" i="20" l="1"/>
  <c r="H82" i="20" s="1"/>
  <c r="H83" i="20" s="1"/>
  <c r="H157" i="20" s="1"/>
  <c r="H158" i="20" s="1"/>
  <c r="H233" i="20" s="1"/>
  <c r="H234" i="20" s="1"/>
  <c r="H307" i="20" s="1"/>
  <c r="C11" i="12" s="1"/>
  <c r="H174" i="23"/>
  <c r="H178" i="23"/>
  <c r="H164" i="23"/>
  <c r="H142" i="23"/>
  <c r="H140" i="23"/>
  <c r="K197" i="22"/>
  <c r="K196" i="22"/>
  <c r="K195" i="22"/>
  <c r="K194" i="22"/>
  <c r="K193" i="22"/>
  <c r="O192" i="22"/>
  <c r="K192" i="22"/>
  <c r="O191" i="22"/>
  <c r="K189" i="22"/>
  <c r="O188" i="22"/>
  <c r="K187" i="22"/>
  <c r="O186" i="22"/>
  <c r="K185" i="22"/>
  <c r="K184" i="22"/>
  <c r="O183" i="22"/>
  <c r="O182" i="22"/>
  <c r="K181" i="22"/>
  <c r="O180" i="22"/>
  <c r="K180" i="22"/>
  <c r="O179" i="22"/>
  <c r="K177" i="22"/>
  <c r="K176" i="22"/>
  <c r="O174" i="22"/>
  <c r="O173" i="22"/>
  <c r="K172" i="22"/>
  <c r="O170" i="22"/>
  <c r="O169" i="22"/>
  <c r="O168" i="22"/>
  <c r="O165" i="22"/>
  <c r="O164" i="22"/>
  <c r="K164" i="22"/>
  <c r="O161" i="22"/>
  <c r="O160" i="22"/>
  <c r="O159" i="22"/>
  <c r="K157" i="22"/>
  <c r="O156" i="22"/>
  <c r="K155" i="22"/>
  <c r="K145" i="22"/>
  <c r="K140" i="22"/>
  <c r="O136" i="22"/>
  <c r="K136" i="22"/>
  <c r="O135" i="22"/>
  <c r="K130" i="22"/>
  <c r="K121" i="22"/>
  <c r="H122" i="23" l="1"/>
  <c r="H130" i="23"/>
  <c r="H108" i="23"/>
  <c r="H104" i="23"/>
  <c r="H98" i="23"/>
  <c r="H96" i="23"/>
  <c r="H94" i="23"/>
  <c r="H92" i="23"/>
  <c r="H78" i="23"/>
  <c r="H76" i="23"/>
  <c r="H80" i="23" l="1"/>
  <c r="H170" i="23"/>
  <c r="H40" i="23" l="1"/>
  <c r="H22" i="23"/>
  <c r="C13" i="48" l="1"/>
  <c r="C13" i="50"/>
  <c r="F13" i="50" s="1"/>
  <c r="H60" i="23"/>
  <c r="H56" i="23"/>
  <c r="H24" i="23"/>
  <c r="H46" i="23"/>
  <c r="G13" i="50" l="1"/>
  <c r="H64" i="23" l="1"/>
  <c r="H71" i="23" s="1"/>
  <c r="H72" i="23" s="1"/>
  <c r="H153" i="23" s="1"/>
  <c r="H154" i="23" s="1"/>
  <c r="H683" i="3"/>
  <c r="H239" i="23" l="1"/>
  <c r="C13" i="12" s="1"/>
  <c r="C46" i="50"/>
  <c r="E9" i="50" s="1"/>
  <c r="C46" i="48"/>
  <c r="C9" i="48"/>
  <c r="C9" i="50"/>
  <c r="F9" i="50" s="1"/>
  <c r="G9" i="50" l="1"/>
  <c r="C110" i="22"/>
  <c r="H535" i="3"/>
  <c r="C83" i="22"/>
  <c r="H494" i="3" l="1"/>
  <c r="H495" i="3" s="1"/>
  <c r="H570" i="3" l="1"/>
  <c r="H571" i="3" s="1"/>
  <c r="H640" i="3" s="1"/>
  <c r="H641" i="3" s="1"/>
  <c r="H709" i="3" s="1"/>
  <c r="C7" i="12" s="1"/>
  <c r="C26" i="12" s="1"/>
  <c r="C11" i="50"/>
  <c r="F11" i="50" s="1"/>
  <c r="C11" i="48"/>
  <c r="K86" i="22"/>
  <c r="K85" i="22"/>
  <c r="K82" i="22"/>
  <c r="K81" i="22"/>
  <c r="O82" i="22"/>
  <c r="K80" i="22"/>
  <c r="O81" i="22"/>
  <c r="K77" i="22"/>
  <c r="O78" i="22"/>
  <c r="K75" i="22"/>
  <c r="O76" i="22"/>
  <c r="K72" i="22"/>
  <c r="K71" i="22"/>
  <c r="K67" i="22"/>
  <c r="K66" i="22"/>
  <c r="K63" i="22"/>
  <c r="K62" i="22"/>
  <c r="O60" i="22"/>
  <c r="O59" i="22"/>
  <c r="K58" i="22"/>
  <c r="O56" i="22"/>
  <c r="O55" i="22"/>
  <c r="O54" i="22"/>
  <c r="O51" i="22"/>
  <c r="O50" i="22"/>
  <c r="K50" i="22"/>
  <c r="O47" i="22"/>
  <c r="O46" i="22"/>
  <c r="O45" i="22"/>
  <c r="K43" i="22"/>
  <c r="O42" i="22"/>
  <c r="K41" i="22"/>
  <c r="K31" i="22"/>
  <c r="K26" i="22"/>
  <c r="O22" i="22"/>
  <c r="K22" i="22"/>
  <c r="O21" i="22"/>
  <c r="K16" i="22"/>
  <c r="K7" i="22"/>
  <c r="G11" i="50" l="1"/>
  <c r="D640" i="13" l="1"/>
  <c r="D620" i="13" s="1"/>
  <c r="L487" i="13"/>
  <c r="K489" i="13"/>
  <c r="L489" i="13" s="1"/>
  <c r="L594" i="13"/>
  <c r="G594" i="13"/>
  <c r="L592" i="13"/>
  <c r="G592" i="13"/>
  <c r="L576" i="13"/>
  <c r="G576" i="13"/>
  <c r="L574" i="13"/>
  <c r="G574" i="13"/>
  <c r="L419" i="13"/>
  <c r="L136" i="13"/>
  <c r="G136" i="13"/>
  <c r="C10" i="50" l="1"/>
  <c r="F10" i="50" s="1"/>
  <c r="C10" i="48"/>
  <c r="N592" i="13"/>
  <c r="N576" i="13"/>
  <c r="N574" i="13"/>
  <c r="N594" i="13"/>
  <c r="N136" i="13"/>
  <c r="N577" i="13"/>
  <c r="N419" i="13"/>
  <c r="N557" i="13"/>
  <c r="L556" i="13"/>
  <c r="G556" i="13"/>
  <c r="L554" i="13"/>
  <c r="G554" i="13"/>
  <c r="L538" i="13"/>
  <c r="G538" i="13"/>
  <c r="L536" i="13"/>
  <c r="G536" i="13"/>
  <c r="L378" i="13"/>
  <c r="G378" i="13"/>
  <c r="L380" i="13"/>
  <c r="G380" i="13"/>
  <c r="L362" i="13"/>
  <c r="G362" i="13"/>
  <c r="L360" i="13"/>
  <c r="G360" i="13"/>
  <c r="L262" i="13"/>
  <c r="N262" i="13" s="1"/>
  <c r="K407" i="13"/>
  <c r="N360" i="13" l="1"/>
  <c r="N380" i="13"/>
  <c r="N362" i="13"/>
  <c r="N556" i="13"/>
  <c r="N554" i="13"/>
  <c r="N538" i="13"/>
  <c r="N536" i="13"/>
  <c r="N378" i="13"/>
  <c r="L32" i="13"/>
  <c r="G32" i="13"/>
  <c r="N32" i="13" l="1"/>
  <c r="K93" i="13"/>
  <c r="N10" i="13"/>
  <c r="N12" i="13"/>
  <c r="N14" i="13"/>
  <c r="N16" i="13"/>
  <c r="N18" i="13"/>
  <c r="N20" i="13"/>
  <c r="N27" i="13"/>
  <c r="N29" i="13"/>
  <c r="N38" i="13"/>
  <c r="N40" i="13"/>
  <c r="N42" i="13"/>
  <c r="N44" i="13"/>
  <c r="N46" i="13"/>
  <c r="N54" i="13"/>
  <c r="N61" i="13"/>
  <c r="N63" i="13"/>
  <c r="N65" i="13"/>
  <c r="N67" i="13"/>
  <c r="N69" i="13"/>
  <c r="N71" i="13"/>
  <c r="N73" i="13"/>
  <c r="N75" i="13"/>
  <c r="N77" i="13"/>
  <c r="N79" i="13"/>
  <c r="N81" i="13"/>
  <c r="N83" i="13"/>
  <c r="N85" i="13"/>
  <c r="N87" i="13"/>
  <c r="N94" i="13"/>
  <c r="N95" i="13"/>
  <c r="N96" i="13"/>
  <c r="N97" i="13"/>
  <c r="N99" i="13"/>
  <c r="N100" i="13"/>
  <c r="N114" i="13"/>
  <c r="N116" i="13"/>
  <c r="N118" i="13"/>
  <c r="N120" i="13"/>
  <c r="N122" i="13"/>
  <c r="N124" i="13"/>
  <c r="N131" i="13"/>
  <c r="N133" i="13"/>
  <c r="N163" i="13"/>
  <c r="N165" i="13"/>
  <c r="N167" i="13"/>
  <c r="N169" i="13"/>
  <c r="N171" i="13"/>
  <c r="N173" i="13"/>
  <c r="N175" i="13"/>
  <c r="N182" i="13"/>
  <c r="N184" i="13"/>
  <c r="N186" i="13"/>
  <c r="N188" i="13"/>
  <c r="N190" i="13"/>
  <c r="N192" i="13"/>
  <c r="N202" i="13"/>
  <c r="N204" i="13"/>
  <c r="N206" i="13"/>
  <c r="N208" i="13"/>
  <c r="N210" i="13"/>
  <c r="N212" i="13"/>
  <c r="N226" i="13"/>
  <c r="N228" i="13"/>
  <c r="N230" i="13"/>
  <c r="N232" i="13"/>
  <c r="N234" i="13"/>
  <c r="N236" i="13"/>
  <c r="N238" i="13"/>
  <c r="N240" i="13"/>
  <c r="N241" i="13"/>
  <c r="N298" i="13"/>
  <c r="N300" i="13"/>
  <c r="N302" i="13"/>
  <c r="N304" i="13"/>
  <c r="N306" i="13"/>
  <c r="N308" i="13"/>
  <c r="N317" i="13"/>
  <c r="N319" i="13"/>
  <c r="N321" i="13"/>
  <c r="N323" i="13"/>
  <c r="N325" i="13"/>
  <c r="N327" i="13"/>
  <c r="N329" i="13"/>
  <c r="N331" i="13"/>
  <c r="N333" i="13"/>
  <c r="N344" i="13"/>
  <c r="N346" i="13"/>
  <c r="N355" i="13"/>
  <c r="N357" i="13"/>
  <c r="N365" i="13"/>
  <c r="N367" i="13"/>
  <c r="N369" i="13"/>
  <c r="N371" i="13"/>
  <c r="N373" i="13"/>
  <c r="N375" i="13"/>
  <c r="N381" i="13"/>
  <c r="N383" i="13"/>
  <c r="N385" i="13"/>
  <c r="N392" i="13"/>
  <c r="N399" i="13"/>
  <c r="N408" i="13"/>
  <c r="N410" i="13"/>
  <c r="N412" i="13"/>
  <c r="N414" i="13"/>
  <c r="N416" i="13"/>
  <c r="N429" i="13"/>
  <c r="N431" i="13"/>
  <c r="N438" i="13"/>
  <c r="N440" i="13"/>
  <c r="N442" i="13"/>
  <c r="N444" i="13"/>
  <c r="N446" i="13"/>
  <c r="N448" i="13"/>
  <c r="N450" i="13"/>
  <c r="N452" i="13"/>
  <c r="N454" i="13"/>
  <c r="N456" i="13"/>
  <c r="N458" i="13"/>
  <c r="N460" i="13"/>
  <c r="N462" i="13"/>
  <c r="N464" i="13"/>
  <c r="N466" i="13"/>
  <c r="N484" i="13"/>
  <c r="N486" i="13"/>
  <c r="N487" i="13"/>
  <c r="N488" i="13"/>
  <c r="N489" i="13"/>
  <c r="N495" i="13"/>
  <c r="N497" i="13"/>
  <c r="N499" i="13"/>
  <c r="N501" i="13"/>
  <c r="N503" i="13"/>
  <c r="N505" i="13"/>
  <c r="N507" i="13"/>
  <c r="N509" i="13"/>
  <c r="N511" i="13"/>
  <c r="N513" i="13"/>
  <c r="N515" i="13"/>
  <c r="N531" i="13"/>
  <c r="N533" i="13"/>
  <c r="N541" i="13"/>
  <c r="N543" i="13"/>
  <c r="N545" i="13"/>
  <c r="N547" i="13"/>
  <c r="N549" i="13"/>
  <c r="N551" i="13"/>
  <c r="N559" i="13"/>
  <c r="N561" i="13"/>
  <c r="N569" i="13"/>
  <c r="N571" i="13"/>
  <c r="N579" i="13"/>
  <c r="N581" i="13"/>
  <c r="N583" i="13"/>
  <c r="N585" i="13"/>
  <c r="N587" i="13"/>
  <c r="N589" i="13"/>
  <c r="N595" i="13"/>
  <c r="N597" i="13"/>
  <c r="N599" i="13"/>
  <c r="G10" i="50" l="1"/>
  <c r="K570" i="13"/>
  <c r="L570" i="13" s="1"/>
  <c r="K572" i="13"/>
  <c r="L572" i="13" s="1"/>
  <c r="K578" i="13"/>
  <c r="L578" i="13" s="1"/>
  <c r="K580" i="13"/>
  <c r="L580" i="13" s="1"/>
  <c r="K582" i="13"/>
  <c r="L582" i="13" s="1"/>
  <c r="K584" i="13"/>
  <c r="L584" i="13" s="1"/>
  <c r="K586" i="13"/>
  <c r="L586" i="13" s="1"/>
  <c r="K588" i="13"/>
  <c r="L588" i="13" s="1"/>
  <c r="K590" i="13"/>
  <c r="L590" i="13" s="1"/>
  <c r="K596" i="13"/>
  <c r="L596" i="13" s="1"/>
  <c r="K598" i="13"/>
  <c r="L598" i="13" s="1"/>
  <c r="K600" i="13"/>
  <c r="L600" i="13" s="1"/>
  <c r="K568" i="13"/>
  <c r="L568" i="13" s="1"/>
  <c r="K532" i="13"/>
  <c r="L532" i="13" s="1"/>
  <c r="K534" i="13"/>
  <c r="L534" i="13" s="1"/>
  <c r="K540" i="13"/>
  <c r="L540" i="13" s="1"/>
  <c r="K542" i="13"/>
  <c r="L542" i="13" s="1"/>
  <c r="K544" i="13"/>
  <c r="L544" i="13" s="1"/>
  <c r="K546" i="13"/>
  <c r="L546" i="13" s="1"/>
  <c r="K548" i="13"/>
  <c r="L548" i="13" s="1"/>
  <c r="K550" i="13"/>
  <c r="L550" i="13" s="1"/>
  <c r="K552" i="13"/>
  <c r="L552" i="13" s="1"/>
  <c r="K558" i="13"/>
  <c r="L558" i="13" s="1"/>
  <c r="K560" i="13"/>
  <c r="L560" i="13" s="1"/>
  <c r="K562" i="13"/>
  <c r="L562" i="13" s="1"/>
  <c r="K530" i="13"/>
  <c r="L530" i="13" s="1"/>
  <c r="K523" i="13"/>
  <c r="L523" i="13" s="1"/>
  <c r="K496" i="13"/>
  <c r="L496" i="13" s="1"/>
  <c r="K498" i="13"/>
  <c r="L498" i="13" s="1"/>
  <c r="K500" i="13"/>
  <c r="L500" i="13" s="1"/>
  <c r="K502" i="13"/>
  <c r="L502" i="13" s="1"/>
  <c r="K504" i="13"/>
  <c r="L504" i="13" s="1"/>
  <c r="K506" i="13"/>
  <c r="L506" i="13" s="1"/>
  <c r="K508" i="13"/>
  <c r="L508" i="13" s="1"/>
  <c r="K510" i="13"/>
  <c r="L510" i="13" s="1"/>
  <c r="K512" i="13"/>
  <c r="L512" i="13" s="1"/>
  <c r="K514" i="13"/>
  <c r="L514" i="13" s="1"/>
  <c r="K516" i="13"/>
  <c r="L516" i="13" s="1"/>
  <c r="K494" i="13"/>
  <c r="L494" i="13" s="1"/>
  <c r="K485" i="13"/>
  <c r="L485" i="13" s="1"/>
  <c r="K483" i="13"/>
  <c r="L483" i="13" s="1"/>
  <c r="K478" i="13"/>
  <c r="L478" i="13" s="1"/>
  <c r="K439" i="13"/>
  <c r="L439" i="13" s="1"/>
  <c r="K441" i="13"/>
  <c r="L441" i="13" s="1"/>
  <c r="K443" i="13"/>
  <c r="L443" i="13" s="1"/>
  <c r="K445" i="13"/>
  <c r="L445" i="13" s="1"/>
  <c r="K447" i="13"/>
  <c r="L447" i="13" s="1"/>
  <c r="K449" i="13"/>
  <c r="L449" i="13" s="1"/>
  <c r="K451" i="13"/>
  <c r="L451" i="13" s="1"/>
  <c r="K453" i="13"/>
  <c r="L453" i="13" s="1"/>
  <c r="K455" i="13"/>
  <c r="L455" i="13" s="1"/>
  <c r="K457" i="13"/>
  <c r="L457" i="13" s="1"/>
  <c r="K459" i="13"/>
  <c r="L459" i="13" s="1"/>
  <c r="K461" i="13"/>
  <c r="L461" i="13" s="1"/>
  <c r="K463" i="13"/>
  <c r="L463" i="13" s="1"/>
  <c r="K465" i="13"/>
  <c r="L465" i="13" s="1"/>
  <c r="K467" i="13"/>
  <c r="L467" i="13" s="1"/>
  <c r="K437" i="13"/>
  <c r="L437" i="13" s="1"/>
  <c r="K430" i="13"/>
  <c r="L430" i="13" s="1"/>
  <c r="K432" i="13"/>
  <c r="L432" i="13" s="1"/>
  <c r="K428" i="13"/>
  <c r="L428" i="13" s="1"/>
  <c r="K409" i="13"/>
  <c r="L409" i="13" s="1"/>
  <c r="K411" i="13"/>
  <c r="L411" i="13" s="1"/>
  <c r="K413" i="13"/>
  <c r="L413" i="13" s="1"/>
  <c r="K415" i="13"/>
  <c r="L415" i="13" s="1"/>
  <c r="K417" i="13"/>
  <c r="L417" i="13" s="1"/>
  <c r="L407" i="13"/>
  <c r="K400" i="13"/>
  <c r="L400" i="13" s="1"/>
  <c r="K398" i="13"/>
  <c r="L398" i="13" s="1"/>
  <c r="K393" i="13"/>
  <c r="L393" i="13" s="1"/>
  <c r="K391" i="13"/>
  <c r="L391" i="13" s="1"/>
  <c r="K356" i="13"/>
  <c r="L356" i="13" s="1"/>
  <c r="K358" i="13"/>
  <c r="L358" i="13" s="1"/>
  <c r="K364" i="13"/>
  <c r="L364" i="13" s="1"/>
  <c r="K366" i="13"/>
  <c r="L366" i="13" s="1"/>
  <c r="K368" i="13"/>
  <c r="L368" i="13" s="1"/>
  <c r="K370" i="13"/>
  <c r="L370" i="13" s="1"/>
  <c r="K372" i="13"/>
  <c r="L372" i="13" s="1"/>
  <c r="K374" i="13"/>
  <c r="L374" i="13" s="1"/>
  <c r="K376" i="13"/>
  <c r="L376" i="13" s="1"/>
  <c r="K382" i="13"/>
  <c r="L382" i="13" s="1"/>
  <c r="K384" i="13"/>
  <c r="L384" i="13" s="1"/>
  <c r="K386" i="13"/>
  <c r="L386" i="13" s="1"/>
  <c r="K354" i="13"/>
  <c r="L354" i="13" s="1"/>
  <c r="K345" i="13"/>
  <c r="L345" i="13" s="1"/>
  <c r="K347" i="13"/>
  <c r="L347" i="13" s="1"/>
  <c r="K343" i="13"/>
  <c r="L343" i="13" s="1"/>
  <c r="K318" i="13"/>
  <c r="L318" i="13" s="1"/>
  <c r="K320" i="13"/>
  <c r="L320" i="13" s="1"/>
  <c r="K322" i="13"/>
  <c r="L322" i="13" s="1"/>
  <c r="K324" i="13"/>
  <c r="L324" i="13" s="1"/>
  <c r="K326" i="13"/>
  <c r="L326" i="13" s="1"/>
  <c r="K328" i="13"/>
  <c r="L328" i="13" s="1"/>
  <c r="K330" i="13"/>
  <c r="L330" i="13" s="1"/>
  <c r="K332" i="13"/>
  <c r="L332" i="13" s="1"/>
  <c r="K334" i="13"/>
  <c r="L334" i="13" s="1"/>
  <c r="K316" i="13"/>
  <c r="L316" i="13" s="1"/>
  <c r="K293" i="13"/>
  <c r="L293" i="13" s="1"/>
  <c r="K295" i="13"/>
  <c r="L295" i="13" s="1"/>
  <c r="K297" i="13"/>
  <c r="L297" i="13" s="1"/>
  <c r="K299" i="13"/>
  <c r="L299" i="13" s="1"/>
  <c r="K301" i="13"/>
  <c r="L301" i="13" s="1"/>
  <c r="K303" i="13"/>
  <c r="L303" i="13" s="1"/>
  <c r="K305" i="13"/>
  <c r="L305" i="13" s="1"/>
  <c r="K307" i="13"/>
  <c r="L307" i="13" s="1"/>
  <c r="K309" i="13"/>
  <c r="L309" i="13" s="1"/>
  <c r="K291" i="13"/>
  <c r="L291" i="13" s="1"/>
  <c r="K285" i="13"/>
  <c r="L285" i="13" s="1"/>
  <c r="K281" i="13"/>
  <c r="L281" i="13" s="1"/>
  <c r="K283" i="13"/>
  <c r="L283" i="13" s="1"/>
  <c r="K279" i="13"/>
  <c r="L279" i="13" s="1"/>
  <c r="K270" i="13"/>
  <c r="L270" i="13" s="1"/>
  <c r="K268" i="13"/>
  <c r="L268" i="13" s="1"/>
  <c r="K252" i="13"/>
  <c r="L252" i="13" s="1"/>
  <c r="K254" i="13"/>
  <c r="L254" i="13" s="1"/>
  <c r="K256" i="13"/>
  <c r="L256" i="13" s="1"/>
  <c r="K258" i="13"/>
  <c r="L258" i="13" s="1"/>
  <c r="K260" i="13"/>
  <c r="L260" i="13" s="1"/>
  <c r="L250" i="13"/>
  <c r="K242" i="13"/>
  <c r="L242" i="13" s="1"/>
  <c r="K239" i="13"/>
  <c r="K227" i="13"/>
  <c r="L227" i="13" s="1"/>
  <c r="K229" i="13"/>
  <c r="L229" i="13" s="1"/>
  <c r="K231" i="13"/>
  <c r="L231" i="13" s="1"/>
  <c r="K233" i="13"/>
  <c r="L233" i="13" s="1"/>
  <c r="K235" i="13"/>
  <c r="L235" i="13" s="1"/>
  <c r="K237" i="13"/>
  <c r="L237" i="13" s="1"/>
  <c r="K225" i="13"/>
  <c r="L225" i="13" s="1"/>
  <c r="K203" i="13"/>
  <c r="L203" i="13" s="1"/>
  <c r="K205" i="13"/>
  <c r="K207" i="13"/>
  <c r="L207" i="13" s="1"/>
  <c r="K209" i="13"/>
  <c r="L209" i="13" s="1"/>
  <c r="K211" i="13"/>
  <c r="L211" i="13" s="1"/>
  <c r="K213" i="13"/>
  <c r="L213" i="13" s="1"/>
  <c r="K201" i="13"/>
  <c r="L201" i="13" s="1"/>
  <c r="K183" i="13"/>
  <c r="L183" i="13" s="1"/>
  <c r="K185" i="13"/>
  <c r="L185" i="13" s="1"/>
  <c r="K187" i="13"/>
  <c r="L187" i="13" s="1"/>
  <c r="K189" i="13"/>
  <c r="L189" i="13" s="1"/>
  <c r="K191" i="13"/>
  <c r="L191" i="13" s="1"/>
  <c r="K193" i="13"/>
  <c r="L193" i="13" s="1"/>
  <c r="K181" i="13"/>
  <c r="L181" i="13" s="1"/>
  <c r="K164" i="13"/>
  <c r="L164" i="13" s="1"/>
  <c r="K166" i="13"/>
  <c r="L166" i="13" s="1"/>
  <c r="K168" i="13"/>
  <c r="L168" i="13" s="1"/>
  <c r="K170" i="13"/>
  <c r="L170" i="13" s="1"/>
  <c r="K172" i="13"/>
  <c r="L172" i="13" s="1"/>
  <c r="K174" i="13"/>
  <c r="L174" i="13" s="1"/>
  <c r="K176" i="13"/>
  <c r="L176" i="13" s="1"/>
  <c r="K162" i="13"/>
  <c r="L162" i="13" s="1"/>
  <c r="K134" i="13"/>
  <c r="L134" i="13" s="1"/>
  <c r="K132" i="13"/>
  <c r="L132" i="13" s="1"/>
  <c r="K130" i="13"/>
  <c r="L130" i="13" s="1"/>
  <c r="K115" i="13"/>
  <c r="L115" i="13" s="1"/>
  <c r="K117" i="13"/>
  <c r="L117" i="13" s="1"/>
  <c r="K119" i="13"/>
  <c r="L119" i="13" s="1"/>
  <c r="K121" i="13"/>
  <c r="L121" i="13" s="1"/>
  <c r="K123" i="13"/>
  <c r="L123" i="13" s="1"/>
  <c r="K125" i="13"/>
  <c r="L125" i="13" s="1"/>
  <c r="K113" i="13"/>
  <c r="L113" i="13" s="1"/>
  <c r="K101" i="13"/>
  <c r="K98" i="13"/>
  <c r="L98" i="13" s="1"/>
  <c r="N98" i="13" s="1"/>
  <c r="K62" i="13"/>
  <c r="L62" i="13" s="1"/>
  <c r="K64" i="13"/>
  <c r="L64" i="13" s="1"/>
  <c r="K66" i="13"/>
  <c r="L66" i="13" s="1"/>
  <c r="K68" i="13"/>
  <c r="L68" i="13" s="1"/>
  <c r="K70" i="13"/>
  <c r="L70" i="13" s="1"/>
  <c r="K72" i="13"/>
  <c r="L72" i="13" s="1"/>
  <c r="K74" i="13"/>
  <c r="L74" i="13" s="1"/>
  <c r="K76" i="13"/>
  <c r="L76" i="13" s="1"/>
  <c r="K78" i="13"/>
  <c r="L78" i="13" s="1"/>
  <c r="K80" i="13"/>
  <c r="L80" i="13" s="1"/>
  <c r="K82" i="13"/>
  <c r="L82" i="13" s="1"/>
  <c r="K84" i="13"/>
  <c r="L84" i="13" s="1"/>
  <c r="K86" i="13"/>
  <c r="L86" i="13" s="1"/>
  <c r="K88" i="13"/>
  <c r="L88" i="13" s="1"/>
  <c r="K60" i="13"/>
  <c r="L60" i="13" s="1"/>
  <c r="K55" i="13"/>
  <c r="L55" i="13" s="1"/>
  <c r="K53" i="13"/>
  <c r="L53" i="13" s="1"/>
  <c r="K39" i="13"/>
  <c r="L39" i="13" s="1"/>
  <c r="K41" i="13"/>
  <c r="L41" i="13" s="1"/>
  <c r="K43" i="13"/>
  <c r="L43" i="13" s="1"/>
  <c r="K45" i="13"/>
  <c r="L45" i="13" s="1"/>
  <c r="K47" i="13"/>
  <c r="L47" i="13" s="1"/>
  <c r="K37" i="13"/>
  <c r="L37" i="13" s="1"/>
  <c r="K30" i="13"/>
  <c r="L30" i="13" s="1"/>
  <c r="K28" i="13"/>
  <c r="L28" i="13" s="1"/>
  <c r="K26" i="13"/>
  <c r="L26" i="13" s="1"/>
  <c r="K11" i="13"/>
  <c r="L11" i="13" s="1"/>
  <c r="K13" i="13"/>
  <c r="L13" i="13" s="1"/>
  <c r="K15" i="13"/>
  <c r="L15" i="13" s="1"/>
  <c r="K17" i="13"/>
  <c r="L17" i="13" s="1"/>
  <c r="K19" i="13"/>
  <c r="K21" i="13"/>
  <c r="L21" i="13" s="1"/>
  <c r="K9" i="13"/>
  <c r="L9" i="13" s="1"/>
  <c r="L239" i="13"/>
  <c r="L205" i="13"/>
  <c r="L101" i="13"/>
  <c r="L19" i="13"/>
  <c r="G45" i="13"/>
  <c r="G570" i="13"/>
  <c r="N570" i="13" s="1"/>
  <c r="G572" i="13"/>
  <c r="N572" i="13" s="1"/>
  <c r="G578" i="13"/>
  <c r="G580" i="13"/>
  <c r="G582" i="13"/>
  <c r="G584" i="13"/>
  <c r="G586" i="13"/>
  <c r="G588" i="13"/>
  <c r="G590" i="13"/>
  <c r="N590" i="13" s="1"/>
  <c r="G596" i="13"/>
  <c r="N596" i="13" s="1"/>
  <c r="G598" i="13"/>
  <c r="G600" i="13"/>
  <c r="G568" i="13"/>
  <c r="G532" i="13"/>
  <c r="G534" i="13"/>
  <c r="G540" i="13"/>
  <c r="G542" i="13"/>
  <c r="N542" i="13" s="1"/>
  <c r="G544" i="13"/>
  <c r="N544" i="13" s="1"/>
  <c r="G546" i="13"/>
  <c r="G548" i="13"/>
  <c r="G550" i="13"/>
  <c r="G552" i="13"/>
  <c r="G558" i="13"/>
  <c r="G560" i="13"/>
  <c r="G562" i="13"/>
  <c r="N562" i="13" s="1"/>
  <c r="G530" i="13"/>
  <c r="G523" i="13"/>
  <c r="G496" i="13"/>
  <c r="G498" i="13"/>
  <c r="G500" i="13"/>
  <c r="G502" i="13"/>
  <c r="G504" i="13"/>
  <c r="G506" i="13"/>
  <c r="N506" i="13" s="1"/>
  <c r="G508" i="13"/>
  <c r="N508" i="13" s="1"/>
  <c r="G510" i="13"/>
  <c r="G512" i="13"/>
  <c r="G514" i="13"/>
  <c r="G516" i="13"/>
  <c r="G494" i="13"/>
  <c r="G485" i="13"/>
  <c r="G483" i="13"/>
  <c r="N483" i="13" s="1"/>
  <c r="G478" i="13"/>
  <c r="N478" i="13" s="1"/>
  <c r="G453" i="13"/>
  <c r="N453" i="13" s="1"/>
  <c r="G455" i="13"/>
  <c r="G457" i="13"/>
  <c r="G459" i="13"/>
  <c r="G461" i="13"/>
  <c r="G463" i="13"/>
  <c r="G465" i="13"/>
  <c r="G467" i="13"/>
  <c r="N467" i="13" s="1"/>
  <c r="G439" i="13"/>
  <c r="G441" i="13"/>
  <c r="G443" i="13"/>
  <c r="G445" i="13"/>
  <c r="G447" i="13"/>
  <c r="G449" i="13"/>
  <c r="G451" i="13"/>
  <c r="N451" i="13" s="1"/>
  <c r="G437" i="13"/>
  <c r="N437" i="13" s="1"/>
  <c r="G430" i="13"/>
  <c r="G432" i="13"/>
  <c r="G428" i="13"/>
  <c r="G409" i="13"/>
  <c r="G411" i="13"/>
  <c r="G413" i="13"/>
  <c r="G415" i="13"/>
  <c r="G417" i="13"/>
  <c r="N417" i="13" s="1"/>
  <c r="G407" i="13"/>
  <c r="G400" i="13"/>
  <c r="G398" i="13"/>
  <c r="G393" i="13"/>
  <c r="G391" i="13"/>
  <c r="G356" i="13"/>
  <c r="G358" i="13"/>
  <c r="G364" i="13"/>
  <c r="G366" i="13"/>
  <c r="G368" i="13"/>
  <c r="G370" i="13"/>
  <c r="G372" i="13"/>
  <c r="G374" i="13"/>
  <c r="G376" i="13"/>
  <c r="G382" i="13"/>
  <c r="N382" i="13" s="1"/>
  <c r="G384" i="13"/>
  <c r="N384" i="13" s="1"/>
  <c r="G386" i="13"/>
  <c r="G354" i="13"/>
  <c r="G345" i="13"/>
  <c r="G347" i="13"/>
  <c r="G343" i="13"/>
  <c r="G318" i="13"/>
  <c r="G320" i="13"/>
  <c r="G322" i="13"/>
  <c r="N322" i="13" s="1"/>
  <c r="G324" i="13"/>
  <c r="G326" i="13"/>
  <c r="G328" i="13"/>
  <c r="G330" i="13"/>
  <c r="G332" i="13"/>
  <c r="G334" i="13"/>
  <c r="G316" i="13"/>
  <c r="N316" i="13" s="1"/>
  <c r="G293" i="13"/>
  <c r="N293" i="13" s="1"/>
  <c r="G295" i="13"/>
  <c r="G297" i="13"/>
  <c r="G299" i="13"/>
  <c r="G301" i="13"/>
  <c r="G303" i="13"/>
  <c r="G305" i="13"/>
  <c r="G307" i="13"/>
  <c r="N307" i="13" s="1"/>
  <c r="G309" i="13"/>
  <c r="N309" i="13" s="1"/>
  <c r="G291" i="13"/>
  <c r="G281" i="13"/>
  <c r="G283" i="13"/>
  <c r="G285" i="13"/>
  <c r="G279" i="13"/>
  <c r="G270" i="13"/>
  <c r="G268" i="13"/>
  <c r="N268" i="13" s="1"/>
  <c r="G252" i="13"/>
  <c r="N252" i="13" s="1"/>
  <c r="G254" i="13"/>
  <c r="G256" i="13"/>
  <c r="G258" i="13"/>
  <c r="G260" i="13"/>
  <c r="G250" i="13"/>
  <c r="G242" i="13"/>
  <c r="G227" i="13"/>
  <c r="G229" i="13"/>
  <c r="G231" i="13"/>
  <c r="G233" i="13"/>
  <c r="G235" i="13"/>
  <c r="G237" i="13"/>
  <c r="G239" i="13"/>
  <c r="G225" i="13"/>
  <c r="G203" i="13"/>
  <c r="G205" i="13"/>
  <c r="G207" i="13"/>
  <c r="G209" i="13"/>
  <c r="G211" i="13"/>
  <c r="G213" i="13"/>
  <c r="G201" i="13"/>
  <c r="G183" i="13"/>
  <c r="G185" i="13"/>
  <c r="G187" i="13"/>
  <c r="G189" i="13"/>
  <c r="G191" i="13"/>
  <c r="G193" i="13"/>
  <c r="G181" i="13"/>
  <c r="G164" i="13"/>
  <c r="G166" i="13"/>
  <c r="G168" i="13"/>
  <c r="G170" i="13"/>
  <c r="G172" i="13"/>
  <c r="G174" i="13"/>
  <c r="G176" i="13"/>
  <c r="G162" i="13"/>
  <c r="G132" i="13"/>
  <c r="G134" i="13"/>
  <c r="G130" i="13"/>
  <c r="G115" i="13"/>
  <c r="G117" i="13"/>
  <c r="G119" i="13"/>
  <c r="G121" i="13"/>
  <c r="G123" i="13"/>
  <c r="G125" i="13"/>
  <c r="G113" i="13"/>
  <c r="G101" i="13"/>
  <c r="G72" i="13"/>
  <c r="G74" i="13"/>
  <c r="G76" i="13"/>
  <c r="G78" i="13"/>
  <c r="G80" i="13"/>
  <c r="G82" i="13"/>
  <c r="G84" i="13"/>
  <c r="G86" i="13"/>
  <c r="G88" i="13"/>
  <c r="G62" i="13"/>
  <c r="G64" i="13"/>
  <c r="G66" i="13"/>
  <c r="G68" i="13"/>
  <c r="G70" i="13"/>
  <c r="G60" i="13"/>
  <c r="N60" i="13" s="1"/>
  <c r="G55" i="13"/>
  <c r="G53" i="13"/>
  <c r="G39" i="13"/>
  <c r="G41" i="13"/>
  <c r="G43" i="13"/>
  <c r="G47" i="13"/>
  <c r="G37" i="13"/>
  <c r="N37" i="13" s="1"/>
  <c r="G28" i="13"/>
  <c r="G30" i="13"/>
  <c r="G26" i="13"/>
  <c r="G11" i="13"/>
  <c r="G13" i="13"/>
  <c r="G15" i="13"/>
  <c r="G17" i="13"/>
  <c r="G19" i="13"/>
  <c r="N19" i="13" s="1"/>
  <c r="G21" i="13"/>
  <c r="G9" i="13"/>
  <c r="N55" i="13" l="1"/>
  <c r="N260" i="13"/>
  <c r="N301" i="13"/>
  <c r="N330" i="13"/>
  <c r="N372" i="13"/>
  <c r="N393" i="13"/>
  <c r="N409" i="13"/>
  <c r="N445" i="13"/>
  <c r="N459" i="13"/>
  <c r="N516" i="13"/>
  <c r="N552" i="13"/>
  <c r="N584" i="13"/>
  <c r="N461" i="13"/>
  <c r="N258" i="13"/>
  <c r="N283" i="13"/>
  <c r="N299" i="13"/>
  <c r="N328" i="13"/>
  <c r="N345" i="13"/>
  <c r="N370" i="13"/>
  <c r="N398" i="13"/>
  <c r="N428" i="13"/>
  <c r="N443" i="13"/>
  <c r="N514" i="13"/>
  <c r="N498" i="13"/>
  <c r="N550" i="13"/>
  <c r="N568" i="13"/>
  <c r="N582" i="13"/>
  <c r="N43" i="13"/>
  <c r="G610" i="13"/>
  <c r="D616" i="13"/>
  <c r="D614" i="13"/>
  <c r="D622" i="13" s="1"/>
  <c r="N532" i="13"/>
  <c r="N500" i="13"/>
  <c r="N68" i="13"/>
  <c r="N84" i="13"/>
  <c r="N364" i="13"/>
  <c r="N358" i="13"/>
  <c r="N347" i="13"/>
  <c r="N320" i="13"/>
  <c r="N281" i="13"/>
  <c r="N170" i="13"/>
  <c r="N76" i="13"/>
  <c r="N415" i="13"/>
  <c r="N205" i="13"/>
  <c r="N74" i="13"/>
  <c r="N13" i="13"/>
  <c r="N463" i="13"/>
  <c r="N455" i="13"/>
  <c r="N70" i="13"/>
  <c r="N125" i="13"/>
  <c r="N117" i="13"/>
  <c r="N132" i="13"/>
  <c r="N172" i="13"/>
  <c r="N164" i="13"/>
  <c r="N189" i="13"/>
  <c r="N207" i="13"/>
  <c r="N239" i="13"/>
  <c r="N231" i="13"/>
  <c r="N250" i="13"/>
  <c r="N254" i="13"/>
  <c r="N279" i="13"/>
  <c r="N291" i="13"/>
  <c r="N303" i="13"/>
  <c r="N295" i="13"/>
  <c r="N332" i="13"/>
  <c r="N324" i="13"/>
  <c r="N343" i="13"/>
  <c r="N386" i="13"/>
  <c r="N374" i="13"/>
  <c r="N366" i="13"/>
  <c r="N391" i="13"/>
  <c r="N411" i="13"/>
  <c r="N430" i="13"/>
  <c r="N447" i="13"/>
  <c r="N439" i="13"/>
  <c r="N494" i="13"/>
  <c r="N510" i="13"/>
  <c r="N502" i="13"/>
  <c r="N523" i="13"/>
  <c r="N558" i="13"/>
  <c r="N546" i="13"/>
  <c r="N598" i="13"/>
  <c r="N586" i="13"/>
  <c r="N578" i="13"/>
  <c r="N407" i="13"/>
  <c r="N534" i="13"/>
  <c r="N530" i="13"/>
  <c r="N11" i="13"/>
  <c r="N39" i="13"/>
  <c r="N82" i="13"/>
  <c r="N17" i="13"/>
  <c r="N26" i="13"/>
  <c r="N47" i="13"/>
  <c r="N80" i="13"/>
  <c r="N115" i="13"/>
  <c r="N162" i="13"/>
  <c r="N187" i="13"/>
  <c r="N213" i="13"/>
  <c r="N237" i="13"/>
  <c r="N229" i="13"/>
  <c r="N66" i="13"/>
  <c r="N101" i="13"/>
  <c r="N121" i="13"/>
  <c r="N130" i="13"/>
  <c r="N176" i="13"/>
  <c r="N168" i="13"/>
  <c r="N193" i="13"/>
  <c r="N185" i="13"/>
  <c r="N211" i="13"/>
  <c r="N227" i="13"/>
  <c r="N201" i="13"/>
  <c r="N41" i="13"/>
  <c r="N64" i="13"/>
  <c r="N233" i="13"/>
  <c r="N62" i="13"/>
  <c r="N53" i="13"/>
  <c r="N72" i="13"/>
  <c r="N123" i="13"/>
  <c r="N181" i="13"/>
  <c r="N285" i="13"/>
  <c r="L610" i="13"/>
  <c r="N9" i="13"/>
  <c r="N15" i="13"/>
  <c r="N30" i="13"/>
  <c r="N86" i="13"/>
  <c r="N78" i="13"/>
  <c r="N203" i="13"/>
  <c r="N235" i="13"/>
  <c r="N465" i="13"/>
  <c r="N457" i="13"/>
  <c r="N88" i="13"/>
  <c r="N28" i="13"/>
  <c r="N113" i="13"/>
  <c r="N119" i="13"/>
  <c r="N134" i="13"/>
  <c r="N174" i="13"/>
  <c r="N166" i="13"/>
  <c r="N191" i="13"/>
  <c r="N183" i="13"/>
  <c r="N209" i="13"/>
  <c r="N225" i="13"/>
  <c r="N242" i="13"/>
  <c r="N256" i="13"/>
  <c r="N270" i="13"/>
  <c r="N305" i="13"/>
  <c r="N297" i="13"/>
  <c r="N334" i="13"/>
  <c r="N326" i="13"/>
  <c r="N318" i="13"/>
  <c r="N354" i="13"/>
  <c r="N376" i="13"/>
  <c r="N368" i="13"/>
  <c r="N356" i="13"/>
  <c r="N400" i="13"/>
  <c r="N413" i="13"/>
  <c r="N432" i="13"/>
  <c r="N449" i="13"/>
  <c r="N441" i="13"/>
  <c r="N485" i="13"/>
  <c r="N512" i="13"/>
  <c r="N504" i="13"/>
  <c r="N496" i="13"/>
  <c r="N560" i="13"/>
  <c r="N548" i="13"/>
  <c r="N540" i="13"/>
  <c r="N600" i="13"/>
  <c r="N588" i="13"/>
  <c r="N580" i="13"/>
  <c r="N45" i="13"/>
  <c r="N21" i="13"/>
  <c r="N93" i="13" l="1"/>
  <c r="N610" i="13" s="1"/>
  <c r="C47" i="50" l="1"/>
  <c r="F47" i="50" s="1"/>
  <c r="C47" i="48"/>
  <c r="G15" i="50" l="1"/>
  <c r="G47" i="50" l="1"/>
  <c r="G78" i="28" l="1"/>
  <c r="G154" i="28" s="1"/>
  <c r="G6" i="50" l="1"/>
  <c r="C43" i="50"/>
  <c r="E6" i="50" s="1"/>
  <c r="C6" i="50"/>
  <c r="C6" i="48"/>
  <c r="C43" i="48"/>
  <c r="G155" i="28"/>
  <c r="G225" i="28" s="1"/>
  <c r="F6" i="50" l="1"/>
  <c r="G18" i="50"/>
  <c r="C12" i="48" l="1"/>
  <c r="C12" i="50"/>
  <c r="F12" i="50" s="1"/>
  <c r="G19" i="50"/>
  <c r="G14" i="50"/>
  <c r="C14" i="48" l="1"/>
  <c r="C14" i="50"/>
  <c r="F14" i="50" s="1"/>
  <c r="G12" i="50"/>
  <c r="G21" i="50"/>
  <c r="C54" i="50"/>
  <c r="E21" i="50" s="1"/>
  <c r="C21" i="50"/>
  <c r="C54" i="48"/>
  <c r="C21" i="48"/>
  <c r="F21" i="50" l="1"/>
  <c r="C41" i="48" l="1"/>
  <c r="C56" i="48" s="1"/>
  <c r="C63" i="48" s="1"/>
  <c r="C65" i="48" s="1"/>
  <c r="C5" i="48"/>
  <c r="C23" i="48" s="1"/>
  <c r="C30" i="48" s="1"/>
  <c r="C32" i="48" s="1"/>
  <c r="C5" i="50"/>
  <c r="C23" i="50" s="1"/>
  <c r="C32" i="50" s="1"/>
  <c r="C41" i="50"/>
  <c r="C56" i="50" s="1"/>
  <c r="C65" i="50" s="1"/>
  <c r="G5" i="50"/>
  <c r="C28" i="12" l="1"/>
  <c r="C30" i="12" s="1"/>
  <c r="C32" i="12" s="1"/>
  <c r="C34" i="12" s="1"/>
  <c r="E5" i="50"/>
  <c r="F5" i="50" s="1"/>
  <c r="C67" i="50"/>
  <c r="E34" i="50" s="1"/>
  <c r="C69" i="50"/>
  <c r="E36" i="50" s="1"/>
  <c r="C36" i="48"/>
  <c r="C34" i="48"/>
  <c r="C36" i="50"/>
  <c r="C34" i="50"/>
  <c r="C69" i="48"/>
  <c r="C67" i="48"/>
  <c r="F17" i="46"/>
  <c r="C36" i="12" l="1"/>
  <c r="C38" i="12" s="1"/>
  <c r="F34" i="50"/>
  <c r="F36" i="50"/>
  <c r="C38" i="48"/>
  <c r="C71" i="48"/>
  <c r="E43" i="46"/>
  <c r="E51" i="46"/>
  <c r="E59" i="46"/>
  <c r="E67" i="46"/>
  <c r="E36" i="46"/>
  <c r="E44" i="46"/>
  <c r="E52" i="46"/>
  <c r="E60" i="46"/>
  <c r="E68" i="46"/>
  <c r="E37" i="46"/>
  <c r="E45" i="46"/>
  <c r="E53" i="46"/>
  <c r="E61" i="46"/>
  <c r="E69" i="46"/>
  <c r="E38" i="46"/>
  <c r="E46" i="46"/>
  <c r="E54" i="46"/>
  <c r="E62" i="46"/>
  <c r="E70" i="46"/>
  <c r="E39" i="46"/>
  <c r="E47" i="46"/>
  <c r="E55" i="46"/>
  <c r="E63" i="46"/>
  <c r="E35" i="46"/>
  <c r="E40" i="46"/>
  <c r="E48" i="46"/>
  <c r="E56" i="46"/>
  <c r="E64" i="46"/>
  <c r="E41" i="46"/>
  <c r="E49" i="46"/>
  <c r="E57" i="46"/>
  <c r="E65" i="46"/>
  <c r="E42" i="46"/>
  <c r="E50" i="46"/>
  <c r="E58" i="46"/>
  <c r="E66" i="46"/>
  <c r="I70" i="46"/>
  <c r="N70" i="46" s="1"/>
  <c r="I60" i="46"/>
  <c r="N60" i="46" s="1"/>
  <c r="I59" i="46"/>
  <c r="N59" i="46" s="1"/>
  <c r="I45" i="46"/>
  <c r="N45" i="46" s="1"/>
  <c r="I56" i="46"/>
  <c r="N56" i="46" s="1"/>
  <c r="I53" i="46"/>
  <c r="N53" i="46" s="1"/>
  <c r="I52" i="46"/>
  <c r="N52" i="46" s="1"/>
  <c r="I49" i="46"/>
  <c r="N49" i="46" s="1"/>
  <c r="I37" i="46"/>
  <c r="N37" i="46" s="1"/>
  <c r="I39" i="46"/>
  <c r="N39" i="46" s="1"/>
  <c r="I50" i="46"/>
  <c r="N50" i="46" s="1"/>
  <c r="I68" i="46"/>
  <c r="N68" i="46" s="1"/>
  <c r="I40" i="46"/>
  <c r="N40" i="46" s="1"/>
  <c r="I66" i="46"/>
  <c r="N66" i="46" s="1"/>
  <c r="I62" i="46"/>
  <c r="N62" i="46" s="1"/>
  <c r="I58" i="46"/>
  <c r="N58" i="46" s="1"/>
  <c r="I61" i="46"/>
  <c r="N61" i="46" s="1"/>
  <c r="I48" i="46"/>
  <c r="N48" i="46" s="1"/>
  <c r="I64" i="46"/>
  <c r="N64" i="46" s="1"/>
  <c r="I44" i="46"/>
  <c r="N44" i="46" s="1"/>
  <c r="I42" i="46"/>
  <c r="N42" i="46" s="1"/>
  <c r="I46" i="46"/>
  <c r="N46" i="46" s="1"/>
  <c r="I55" i="46"/>
  <c r="N55" i="46" s="1"/>
  <c r="I63" i="46"/>
  <c r="N63" i="46" s="1"/>
  <c r="I51" i="46"/>
  <c r="N51" i="46" s="1"/>
  <c r="I69" i="46"/>
  <c r="N69" i="46" s="1"/>
  <c r="I38" i="46"/>
  <c r="N38" i="46" s="1"/>
  <c r="I54" i="46"/>
  <c r="N54" i="46" s="1"/>
  <c r="I47" i="46"/>
  <c r="N47" i="46" s="1"/>
  <c r="I65" i="46"/>
  <c r="N65" i="46" s="1"/>
  <c r="I43" i="46"/>
  <c r="N43" i="46" s="1"/>
  <c r="I41" i="46"/>
  <c r="N41" i="46" s="1"/>
  <c r="I57" i="46"/>
  <c r="N57" i="46" s="1"/>
  <c r="I67" i="46"/>
  <c r="N67" i="46" s="1"/>
  <c r="I36" i="46"/>
  <c r="N36" i="46" s="1"/>
  <c r="I35" i="46"/>
  <c r="C71" i="50"/>
  <c r="F73" i="50"/>
  <c r="G34" i="50"/>
  <c r="C38" i="50"/>
  <c r="F1" i="50" s="1"/>
  <c r="P40" i="46" l="1"/>
  <c r="P48" i="46"/>
  <c r="P37" i="46"/>
  <c r="P54" i="46"/>
  <c r="P60" i="46"/>
  <c r="P70" i="46"/>
  <c r="C73" i="48"/>
  <c r="C75" i="48" s="1"/>
  <c r="C77" i="48" s="1"/>
  <c r="P65" i="46"/>
  <c r="P64" i="46"/>
  <c r="P59" i="46"/>
  <c r="P58" i="46"/>
  <c r="P53" i="46"/>
  <c r="P41" i="46"/>
  <c r="P43" i="46"/>
  <c r="P66" i="46"/>
  <c r="P45" i="46"/>
  <c r="P50" i="46"/>
  <c r="P55" i="46"/>
  <c r="P68" i="46"/>
  <c r="P36" i="46"/>
  <c r="P47" i="46"/>
  <c r="P51" i="46"/>
  <c r="P69" i="46"/>
  <c r="P61" i="46"/>
  <c r="G36" i="50"/>
  <c r="G73" i="50" s="1"/>
  <c r="P49" i="46"/>
  <c r="P38" i="46"/>
  <c r="P67" i="46"/>
  <c r="P63" i="46"/>
  <c r="P39" i="46"/>
  <c r="P42" i="46"/>
  <c r="P57" i="46"/>
  <c r="N35" i="46"/>
  <c r="N72" i="46" s="1"/>
  <c r="I73" i="46"/>
  <c r="F2" i="50"/>
  <c r="G2" i="50" s="1"/>
  <c r="C73" i="50"/>
  <c r="C75" i="50" s="1"/>
  <c r="C77" i="50" s="1"/>
  <c r="P46" i="46"/>
  <c r="E72" i="46"/>
  <c r="I74" i="46" s="1"/>
  <c r="P56" i="46"/>
  <c r="P62" i="46"/>
  <c r="P44" i="46"/>
  <c r="P52" i="46"/>
  <c r="Q64" i="46" l="1"/>
  <c r="Q52" i="46"/>
  <c r="Q70" i="46"/>
  <c r="N30" i="46"/>
  <c r="N74" i="46"/>
  <c r="P35" i="46"/>
  <c r="C79" i="50"/>
  <c r="Q40" i="46" l="1"/>
  <c r="Q72"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O21" authorId="0" shapeId="0" xr:uid="{2C7D89D7-580B-4A7D-9D51-CF29E3151BC7}">
      <text>
        <r>
          <rPr>
            <b/>
            <sz val="9"/>
            <color indexed="81"/>
            <rFont val="Tahoma"/>
            <family val="2"/>
          </rPr>
          <t>Sourced from Rocla</t>
        </r>
      </text>
    </comment>
    <comment ref="O22" authorId="0" shapeId="0" xr:uid="{FFDCCBCD-DB9E-4838-B073-BC927EEC018D}">
      <text>
        <r>
          <rPr>
            <b/>
            <sz val="9"/>
            <color indexed="81"/>
            <rFont val="Tahoma"/>
            <family val="2"/>
          </rPr>
          <t>Sourced from Rocla</t>
        </r>
      </text>
    </comment>
    <comment ref="K41" authorId="0" shapeId="0" xr:uid="{8BAA4B42-0956-4FDC-91ED-9E14B298DEF9}">
      <text>
        <r>
          <rPr>
            <b/>
            <sz val="9"/>
            <color indexed="81"/>
            <rFont val="Tahoma"/>
            <family val="2"/>
          </rPr>
          <t>Calculated From Rocla</t>
        </r>
      </text>
    </comment>
    <comment ref="K43" authorId="0" shapeId="0" xr:uid="{DE68D2BC-456B-4778-9327-4027A7A58B7C}">
      <text>
        <r>
          <rPr>
            <b/>
            <sz val="9"/>
            <color indexed="81"/>
            <rFont val="Tahoma"/>
            <family val="2"/>
          </rPr>
          <t>Grid Inlet 400x600mm = R2000 from Saint Gobain Africa in 2018 therefor R2000 * 1.06^2 = R2247</t>
        </r>
      </text>
    </comment>
    <comment ref="O65" authorId="0" shapeId="0" xr:uid="{516D7F87-8791-43ED-81E9-052DACB7E2AC}">
      <text>
        <r>
          <rPr>
            <b/>
            <sz val="9"/>
            <color indexed="81"/>
            <rFont val="Tahoma"/>
            <family val="2"/>
          </rPr>
          <t>From Driefontein WwTW 2018</t>
        </r>
      </text>
    </comment>
    <comment ref="O66" authorId="0" shapeId="0" xr:uid="{EEAE097A-F0BA-4C49-9900-0CB3B6F7A82C}">
      <text>
        <r>
          <rPr>
            <b/>
            <sz val="9"/>
            <color indexed="81"/>
            <rFont val="Tahoma"/>
            <family val="2"/>
          </rPr>
          <t>From Driefontein WwTW 2018</t>
        </r>
      </text>
    </comment>
    <comment ref="O135" authorId="0" shapeId="0" xr:uid="{A301823C-A0D5-4A81-8983-6560C8928E4A}">
      <text>
        <r>
          <rPr>
            <b/>
            <sz val="9"/>
            <color indexed="81"/>
            <rFont val="Tahoma"/>
            <family val="2"/>
          </rPr>
          <t>Sourced from Rocla</t>
        </r>
      </text>
    </comment>
    <comment ref="O136" authorId="0" shapeId="0" xr:uid="{3B3E4004-C499-4899-A5E8-76E08F7656F2}">
      <text>
        <r>
          <rPr>
            <b/>
            <sz val="9"/>
            <color indexed="81"/>
            <rFont val="Tahoma"/>
            <family val="2"/>
          </rPr>
          <t>Sourced from Rocla</t>
        </r>
      </text>
    </comment>
    <comment ref="K155" authorId="0" shapeId="0" xr:uid="{E35427F9-8DB8-4535-B902-D7370B6DD777}">
      <text>
        <r>
          <rPr>
            <b/>
            <sz val="9"/>
            <color indexed="81"/>
            <rFont val="Tahoma"/>
            <family val="2"/>
          </rPr>
          <t>Calculated From Rocla</t>
        </r>
      </text>
    </comment>
    <comment ref="K157" authorId="0" shapeId="0" xr:uid="{D47160C8-7A40-427C-A42D-CF5DE756BB26}">
      <text>
        <r>
          <rPr>
            <b/>
            <sz val="9"/>
            <color indexed="81"/>
            <rFont val="Tahoma"/>
            <family val="2"/>
          </rPr>
          <t>Grid Inlet 400x600mm = R2000 from Saint Gobain Africa in 2018 therefor R2000 * 1.06^2 = R2247</t>
        </r>
      </text>
    </comment>
    <comment ref="O179" authorId="0" shapeId="0" xr:uid="{A3213CB9-7B03-4138-A719-1E5C6E4E7684}">
      <text>
        <r>
          <rPr>
            <b/>
            <sz val="9"/>
            <color indexed="81"/>
            <rFont val="Tahoma"/>
            <family val="2"/>
          </rPr>
          <t>From Driefontein WwTW 2018</t>
        </r>
      </text>
    </comment>
    <comment ref="O180" authorId="0" shapeId="0" xr:uid="{5D5ED0F9-2834-487B-85ED-5F4F63F5FE6B}">
      <text>
        <r>
          <rPr>
            <b/>
            <sz val="9"/>
            <color indexed="81"/>
            <rFont val="Tahoma"/>
            <family val="2"/>
          </rPr>
          <t>From Driefontein WwTW 2018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Gcabashe, Dumile</author>
  </authors>
  <commentList>
    <comment ref="D629" authorId="0" shapeId="0" xr:uid="{00000000-0006-0000-0900-000001000000}">
      <text>
        <r>
          <rPr>
            <b/>
            <sz val="9"/>
            <color indexed="81"/>
            <rFont val="Tahoma"/>
            <family val="2"/>
          </rPr>
          <t>Gcabashe, Dumile:</t>
        </r>
        <r>
          <rPr>
            <sz val="9"/>
            <color indexed="81"/>
            <rFont val="Tahoma"/>
            <family val="2"/>
          </rPr>
          <t xml:space="preserve">
Added in the BOQ above.</t>
        </r>
      </text>
    </comment>
  </commentList>
</comments>
</file>

<file path=xl/sharedStrings.xml><?xml version="1.0" encoding="utf-8"?>
<sst xmlns="http://schemas.openxmlformats.org/spreadsheetml/2006/main" count="9947" uniqueCount="2825">
  <si>
    <t>Master Rates</t>
  </si>
  <si>
    <t>Concrete Factors</t>
  </si>
  <si>
    <t>Site Clearance (per/m2)</t>
  </si>
  <si>
    <t>Concrete ( per m3)</t>
  </si>
  <si>
    <t>RETAINING WALLS</t>
  </si>
  <si>
    <r>
      <t>Concrete ( per m</t>
    </r>
    <r>
      <rPr>
        <vertAlign val="superscript"/>
        <sz val="10"/>
        <color indexed="8"/>
        <rFont val="Arial"/>
        <family val="2"/>
      </rPr>
      <t>3</t>
    </r>
    <r>
      <rPr>
        <sz val="10"/>
        <color indexed="8"/>
        <rFont val="Arial"/>
        <family val="2"/>
      </rPr>
      <t>)</t>
    </r>
  </si>
  <si>
    <t>Formwork ( per m2)</t>
  </si>
  <si>
    <t>ACCESS ROADS AND STORMWATER</t>
  </si>
  <si>
    <t>Blinding Layer</t>
  </si>
  <si>
    <t>Formwork Domed Roof ( per m2)</t>
  </si>
  <si>
    <t>HEAD OF WORKS</t>
  </si>
  <si>
    <t xml:space="preserve"> </t>
  </si>
  <si>
    <r>
      <t>Formwork ( per m</t>
    </r>
    <r>
      <rPr>
        <vertAlign val="superscript"/>
        <sz val="10"/>
        <color indexed="8"/>
        <rFont val="Arial"/>
        <family val="2"/>
      </rPr>
      <t>2</t>
    </r>
    <r>
      <rPr>
        <sz val="10"/>
        <color indexed="8"/>
        <rFont val="Arial"/>
        <family val="2"/>
      </rPr>
      <t>)</t>
    </r>
  </si>
  <si>
    <t>Formwork Walls ( per m2)</t>
  </si>
  <si>
    <t>PRIMARY TREATMENT</t>
  </si>
  <si>
    <r>
      <t>Wood Float Finish ( per m</t>
    </r>
    <r>
      <rPr>
        <vertAlign val="superscript"/>
        <sz val="10"/>
        <color indexed="8"/>
        <rFont val="Arial"/>
        <family val="2"/>
      </rPr>
      <t>2</t>
    </r>
    <r>
      <rPr>
        <sz val="10"/>
        <color indexed="8"/>
        <rFont val="Arial"/>
        <family val="2"/>
      </rPr>
      <t>)</t>
    </r>
  </si>
  <si>
    <t>Reinforcement Walls &amp; Footings at 400kg/m3 ( per ton)</t>
  </si>
  <si>
    <t>FLOW BALANCING</t>
  </si>
  <si>
    <t>Reinforcement ( per ton)</t>
  </si>
  <si>
    <t>Mesh Ref 245</t>
  </si>
  <si>
    <t>BIOLOGICAL REACTOR</t>
  </si>
  <si>
    <r>
      <t>Bulk Excavation (per m</t>
    </r>
    <r>
      <rPr>
        <vertAlign val="superscript"/>
        <sz val="10"/>
        <color indexed="8"/>
        <rFont val="Arial"/>
        <family val="2"/>
      </rPr>
      <t>3</t>
    </r>
    <r>
      <rPr>
        <sz val="10"/>
        <color indexed="8"/>
        <rFont val="Arial"/>
        <family val="2"/>
      </rPr>
      <t>)</t>
    </r>
  </si>
  <si>
    <t>Mesh Ref 617</t>
  </si>
  <si>
    <t>SECONDARY TREATMENT</t>
  </si>
  <si>
    <t>Soft</t>
  </si>
  <si>
    <t>Reinforcement Columns at 120kg/m3 ( per ton)</t>
  </si>
  <si>
    <t>DISINFECTION &amp; FINAL EFFLUENT</t>
  </si>
  <si>
    <t>Intermediate</t>
  </si>
  <si>
    <t>STORM FLOW DAM</t>
  </si>
  <si>
    <t>Hard</t>
  </si>
  <si>
    <t>Bulk Excavation (per m3)</t>
  </si>
  <si>
    <t>FERMENTER AREA</t>
  </si>
  <si>
    <t>Remove Top Soil</t>
  </si>
  <si>
    <t>ANCILLARY WORKS</t>
  </si>
  <si>
    <r>
      <t>Restricted Excavation (per m</t>
    </r>
    <r>
      <rPr>
        <vertAlign val="superscript"/>
        <sz val="10"/>
        <color indexed="8"/>
        <rFont val="Arial"/>
        <family val="2"/>
      </rPr>
      <t>3</t>
    </r>
    <r>
      <rPr>
        <sz val="10"/>
        <color indexed="8"/>
        <rFont val="Arial"/>
        <family val="2"/>
      </rPr>
      <t>)</t>
    </r>
  </si>
  <si>
    <t>INTERCONNECTING PIPEWORK</t>
  </si>
  <si>
    <t>Restricted Excavation (per m3)</t>
  </si>
  <si>
    <t xml:space="preserve">Pipelines </t>
  </si>
  <si>
    <t>Allowance for Mass Concrete</t>
  </si>
  <si>
    <t>Description</t>
  </si>
  <si>
    <t>Rate (R/m)</t>
  </si>
  <si>
    <t>Contingency by the Engineer</t>
  </si>
  <si>
    <t>Concrete Pipelines</t>
  </si>
  <si>
    <r>
      <t>Buildings Engineering (R/m</t>
    </r>
    <r>
      <rPr>
        <sz val="10"/>
        <color indexed="8"/>
        <rFont val="Arial Narrow"/>
        <family val="2"/>
      </rPr>
      <t>²</t>
    </r>
    <r>
      <rPr>
        <sz val="10"/>
        <color indexed="8"/>
        <rFont val="Arial"/>
        <family val="2"/>
      </rPr>
      <t>)</t>
    </r>
  </si>
  <si>
    <t>Class 100D Diameter 500 Concrete Pipe</t>
  </si>
  <si>
    <t>Building Architectural (R/m²)</t>
  </si>
  <si>
    <t>Class 100D Diameter 450 Concrete Pipe</t>
  </si>
  <si>
    <t>Class 100D Diameter 750 Concrete Pipe</t>
  </si>
  <si>
    <t xml:space="preserve">Restricted Excavation </t>
  </si>
  <si>
    <t>Class 100D Diameter 600 Concrete Pipe</t>
  </si>
  <si>
    <t>Class 100D Diameter 900 Concrete Pipe</t>
  </si>
  <si>
    <t>Buildings Engineering (R/m²)</t>
  </si>
  <si>
    <t>Class 100D Diameter 1000 Concrete Pipe</t>
  </si>
  <si>
    <t>Class 100D Diameter 1200 Concrete Pipe</t>
  </si>
  <si>
    <t xml:space="preserve">Hard </t>
  </si>
  <si>
    <t>Class 100D Diameter 1500 Concrete Pipe</t>
  </si>
  <si>
    <t xml:space="preserve">Bulk Excavation </t>
  </si>
  <si>
    <t>Class 100D Diameter 1800 Concrete Pipe</t>
  </si>
  <si>
    <t>HDPE Pipelines</t>
  </si>
  <si>
    <t xml:space="preserve">PN12.5 Diameter 160 HDPE Pipe </t>
  </si>
  <si>
    <r>
      <t>Bulk Excavation &amp; dispose (per m</t>
    </r>
    <r>
      <rPr>
        <vertAlign val="superscript"/>
        <sz val="10"/>
        <color indexed="8"/>
        <rFont val="Arial"/>
        <family val="2"/>
      </rPr>
      <t>3</t>
    </r>
    <r>
      <rPr>
        <sz val="10"/>
        <color indexed="8"/>
        <rFont val="Arial"/>
        <family val="2"/>
      </rPr>
      <t>)</t>
    </r>
  </si>
  <si>
    <t>PN12.5 Diameter 500 HDPE Pipe</t>
  </si>
  <si>
    <r>
      <t>Bulk Excavation &amp; Reuse (per m</t>
    </r>
    <r>
      <rPr>
        <vertAlign val="superscript"/>
        <sz val="10"/>
        <color indexed="8"/>
        <rFont val="Arial"/>
        <family val="2"/>
      </rPr>
      <t>3</t>
    </r>
    <r>
      <rPr>
        <sz val="10"/>
        <color indexed="8"/>
        <rFont val="Arial"/>
        <family val="2"/>
      </rPr>
      <t>)</t>
    </r>
  </si>
  <si>
    <t>Dispose</t>
  </si>
  <si>
    <t>Stainless Steel Pipes</t>
  </si>
  <si>
    <t>Reuse</t>
  </si>
  <si>
    <t>Bulk Excavation &amp; dispose (per m3)</t>
  </si>
  <si>
    <t>SS304 Diamter 150 Pipe</t>
  </si>
  <si>
    <t>Import G7 fill material</t>
  </si>
  <si>
    <t>SS304 Diamter 350 Pipe</t>
  </si>
  <si>
    <t>Import G5 fill material</t>
  </si>
  <si>
    <t>SS304 Diamter 200 Pipe</t>
  </si>
  <si>
    <t>SS304 Diamter 450 Pipe</t>
  </si>
  <si>
    <r>
      <t>80 mm Interlocking Paving Blocks (per m</t>
    </r>
    <r>
      <rPr>
        <sz val="10"/>
        <color indexed="8"/>
        <rFont val="Arial Narrow"/>
        <family val="2"/>
      </rPr>
      <t>²</t>
    </r>
    <r>
      <rPr>
        <sz val="10"/>
        <color indexed="8"/>
        <rFont val="Arial"/>
        <family val="2"/>
      </rPr>
      <t>)</t>
    </r>
  </si>
  <si>
    <t>SS304 Diamter 500 Pipe</t>
  </si>
  <si>
    <t>60 mm Interlocking Paving Blocks  (per m²)</t>
  </si>
  <si>
    <t>SS304 Diamter 900 Pipe</t>
  </si>
  <si>
    <t>80 mm Interlocking Paving Blocks (per m²)</t>
  </si>
  <si>
    <t>SS304 Diamter 600 Pipe</t>
  </si>
  <si>
    <r>
      <t>150 mm C4  (per m</t>
    </r>
    <r>
      <rPr>
        <sz val="10"/>
        <color indexed="8"/>
        <rFont val="Arial Narrow"/>
        <family val="2"/>
      </rPr>
      <t>³</t>
    </r>
    <r>
      <rPr>
        <sz val="10"/>
        <color indexed="8"/>
        <rFont val="Arial"/>
        <family val="2"/>
      </rPr>
      <t>)</t>
    </r>
  </si>
  <si>
    <t>SS304 Diamter 1000 Pipe</t>
  </si>
  <si>
    <t>SS304 Diamter 800 Pipe</t>
  </si>
  <si>
    <r>
      <t>150 mm rip and recompact  (per m</t>
    </r>
    <r>
      <rPr>
        <sz val="10"/>
        <color indexed="8"/>
        <rFont val="Arial Narrow"/>
        <family val="2"/>
      </rPr>
      <t>³</t>
    </r>
    <r>
      <rPr>
        <sz val="10"/>
        <color indexed="8"/>
        <rFont val="Arial"/>
        <family val="2"/>
      </rPr>
      <t>)</t>
    </r>
  </si>
  <si>
    <t>150 mm C4  (per m³)</t>
  </si>
  <si>
    <t>Precast kerbing units  (per m)</t>
  </si>
  <si>
    <t>uPVC Pipes</t>
  </si>
  <si>
    <t>150 mm rip and recompact  (per m³)</t>
  </si>
  <si>
    <t>SS304 Diamter 1200 Pipe</t>
  </si>
  <si>
    <t>Manholes with Concrete Cover (per 1 no. off)</t>
  </si>
  <si>
    <t>Diameter 200 Class 12</t>
  </si>
  <si>
    <t>Kerb Inlets (per 1 no. off)</t>
  </si>
  <si>
    <t>Diameter 110</t>
  </si>
  <si>
    <t>Manholes (per 1 no. off)</t>
  </si>
  <si>
    <t>Manholes with Grid Inlet (per 1 no. off)</t>
  </si>
  <si>
    <t>Diameter 50 Class 12</t>
  </si>
  <si>
    <t>Culverts (per 1 no. off)</t>
  </si>
  <si>
    <t>Weholite Pipes</t>
  </si>
  <si>
    <t>Grid Inlets (per m)</t>
  </si>
  <si>
    <t>Diameter 75 Class 12</t>
  </si>
  <si>
    <t>Diameter 450</t>
  </si>
  <si>
    <t>Diameter 110 Class 12</t>
  </si>
  <si>
    <r>
      <t>Emergency Dam (R/m³</t>
    </r>
    <r>
      <rPr>
        <sz val="8.5"/>
        <color indexed="8"/>
        <rFont val="Arial"/>
        <family val="2"/>
      </rPr>
      <t>)</t>
    </r>
  </si>
  <si>
    <t>Diameter 1500</t>
  </si>
  <si>
    <t>P &amp; G (%)</t>
  </si>
  <si>
    <t>Diameter 1800</t>
  </si>
  <si>
    <t>Emergency Dam (R/m³)</t>
  </si>
  <si>
    <t>Double Brickwork (per m2)</t>
  </si>
  <si>
    <t>Cutting &amp; Trimming Concrete Pipes</t>
  </si>
  <si>
    <t>Single Brickwork (per m2)</t>
  </si>
  <si>
    <t xml:space="preserve">Diameter 450 </t>
  </si>
  <si>
    <t>Brickwork (per m2)</t>
  </si>
  <si>
    <t>D1-Single steel door</t>
  </si>
  <si>
    <t>Diameter 600</t>
  </si>
  <si>
    <t>D2-Single steel door</t>
  </si>
  <si>
    <t>W1-Window</t>
  </si>
  <si>
    <t>Pipe Trenches: 300mm - 600mm Dia Pipes</t>
  </si>
  <si>
    <t>HDPE Pipes</t>
  </si>
  <si>
    <t>W2-Window</t>
  </si>
  <si>
    <t>0-1m</t>
  </si>
  <si>
    <t>Diameter 50 slotted drainage pipe</t>
  </si>
  <si>
    <t>Water Closet</t>
  </si>
  <si>
    <t>1-2m</t>
  </si>
  <si>
    <t>Diameter 75 slotted drainage pipe</t>
  </si>
  <si>
    <t>Sink</t>
  </si>
  <si>
    <t>2-3m</t>
  </si>
  <si>
    <t>Diameter 110 slotted drainage pipe</t>
  </si>
  <si>
    <t>Fencing(R/m)</t>
  </si>
  <si>
    <t>Pipe Bedding Material</t>
  </si>
  <si>
    <t>ClearVu Fencing(R/m)</t>
  </si>
  <si>
    <t>Access Gate</t>
  </si>
  <si>
    <t>From Trench or Other Excavations</t>
  </si>
  <si>
    <t>By Importation From Commerical Sources</t>
  </si>
  <si>
    <t>Joint Sealing</t>
  </si>
  <si>
    <t>SITE CLEARANCE</t>
  </si>
  <si>
    <t>110mm dia. uPVC Tee Piece</t>
  </si>
  <si>
    <t>Blinding (per m2)</t>
  </si>
  <si>
    <t>Clear and grub small trees and bushes</t>
  </si>
  <si>
    <t>Landscaping &amp; Grassing (per m2)</t>
  </si>
  <si>
    <t>Clear and grub strip 2 m wide for fence</t>
  </si>
  <si>
    <t>JOINTS</t>
  </si>
  <si>
    <t>Geotextile (per m2)</t>
  </si>
  <si>
    <t>Joint Filler</t>
  </si>
  <si>
    <t>BOX OUT VOIDS</t>
  </si>
  <si>
    <t>20mm wide between concrete members</t>
  </si>
  <si>
    <t>Steel covers (1800x1500)</t>
  </si>
  <si>
    <t xml:space="preserve">Cylindrical Opening: 0,00-0,01 m³ </t>
  </si>
  <si>
    <t>20mm wide between concrete and brickwork</t>
  </si>
  <si>
    <t>Steel covers (1800x1350)</t>
  </si>
  <si>
    <t>Cylindrical Opening: 0,01-0,05 m³</t>
  </si>
  <si>
    <t>Joint Sealer</t>
  </si>
  <si>
    <t>Steel covers (1800x900)</t>
  </si>
  <si>
    <t>Steel covers (900x900)</t>
  </si>
  <si>
    <t>HIGH TENSILE WELDED MESH</t>
  </si>
  <si>
    <t>Saw-cut joints</t>
  </si>
  <si>
    <t>Cast iron Manhole cover (900x900)</t>
  </si>
  <si>
    <t>Ref. 245</t>
  </si>
  <si>
    <t>Removal of existing joints</t>
  </si>
  <si>
    <t>No fines concrete (per m3)</t>
  </si>
  <si>
    <t>Ref. 193</t>
  </si>
  <si>
    <t xml:space="preserve">Ref. 395 </t>
  </si>
  <si>
    <t>Backing cord and polyurethane sealer in 20mm deep joint</t>
  </si>
  <si>
    <t>Joints</t>
  </si>
  <si>
    <t>Tee Piece</t>
  </si>
  <si>
    <t>Waterstop</t>
  </si>
  <si>
    <t>110mm Dia</t>
  </si>
  <si>
    <t>Sikadur Joint bandage system</t>
  </si>
  <si>
    <t>PLASTIC SHEETING</t>
  </si>
  <si>
    <t>Filler - 150mm conc members</t>
  </si>
  <si>
    <t>Manhole 1000mm Inside Diameter, 1m ind depth</t>
  </si>
  <si>
    <t>Filler - 200mm conc members</t>
  </si>
  <si>
    <t>SEGMENTED PAVING</t>
  </si>
  <si>
    <t>Concrete Slab</t>
  </si>
  <si>
    <t xml:space="preserve">Sealant </t>
  </si>
  <si>
    <t>Process Base  Material By means of Stabilization</t>
  </si>
  <si>
    <t>Concrete Manhole Cover</t>
  </si>
  <si>
    <t>Hypalon Bandage</t>
  </si>
  <si>
    <t>Compaction to 93$% Mod. AASHTO</t>
  </si>
  <si>
    <t>590 x 790mm Stormwater Grating &amp; Frame</t>
  </si>
  <si>
    <t>Hand railing</t>
  </si>
  <si>
    <t xml:space="preserve">Portland Cement </t>
  </si>
  <si>
    <t>Kerb Inlet</t>
  </si>
  <si>
    <t>Joint removal</t>
  </si>
  <si>
    <t>Kerbing - Fig 3</t>
  </si>
  <si>
    <t>Kerbing - Fig 8</t>
  </si>
  <si>
    <t>Kerbing - Edge Beam</t>
  </si>
  <si>
    <t>Manhole Components - 10/11/20</t>
  </si>
  <si>
    <t>Ring Beam (m3)</t>
  </si>
  <si>
    <t>Cutting to Fit Edge Restraints</t>
  </si>
  <si>
    <t>1000 x 250 Starter Rings</t>
  </si>
  <si>
    <t>Ring Beam (m3) (Excluding reinforcement, conc and FW)</t>
  </si>
  <si>
    <t>1000 x 250 Ring with Steps</t>
  </si>
  <si>
    <t>Granular Material</t>
  </si>
  <si>
    <t>Type 2A Covers</t>
  </si>
  <si>
    <t>Building Pipes into Concrete (500mm)</t>
  </si>
  <si>
    <t>Selected Fill</t>
  </si>
  <si>
    <t>Type 2A Concrete Frame</t>
  </si>
  <si>
    <t>Building Pipes into Concrete (600mm)</t>
  </si>
  <si>
    <t>Box out holes/form voids (1000mm x 1500mm)</t>
  </si>
  <si>
    <t>Concrete Strength 15/19</t>
  </si>
  <si>
    <t>Benching</t>
  </si>
  <si>
    <t>Wood float finish</t>
  </si>
  <si>
    <t>Steel Float Finish</t>
  </si>
  <si>
    <t>Rough Finish</t>
  </si>
  <si>
    <t>Plastic sheeting</t>
  </si>
  <si>
    <t>Open grid flooring</t>
  </si>
  <si>
    <t>Restricted Excavations</t>
  </si>
  <si>
    <t>0 - 2</t>
  </si>
  <si>
    <t xml:space="preserve">2 - 4 </t>
  </si>
  <si>
    <t>4 - 6</t>
  </si>
  <si>
    <t>Extra over for</t>
  </si>
  <si>
    <t>Hard Rock</t>
  </si>
  <si>
    <t>Step irons</t>
  </si>
  <si>
    <t>Double Transformer door</t>
  </si>
  <si>
    <t>Traffic Signs</t>
  </si>
  <si>
    <t>LOUVRE</t>
  </si>
  <si>
    <t>Industrial 590 x 590 Aluminium louvre with vermon proofing</t>
  </si>
  <si>
    <t>SECTION 1 - PRELIMINARY &amp; GENERAL</t>
  </si>
  <si>
    <t>ITEM NO</t>
  </si>
  <si>
    <t>PAYMENT CLAUSE</t>
  </si>
  <si>
    <t>DESCRIPTION</t>
  </si>
  <si>
    <t>UNIT</t>
  </si>
  <si>
    <t>QTY</t>
  </si>
  <si>
    <t>RATE</t>
  </si>
  <si>
    <t>AMOUNT</t>
  </si>
  <si>
    <t>SANS 1200A</t>
  </si>
  <si>
    <t>FIXED CHARGE AND VALUE RELATED ITEMS</t>
  </si>
  <si>
    <t>8.3.1</t>
  </si>
  <si>
    <t>Contractual Requirements</t>
  </si>
  <si>
    <t>1.1.1</t>
  </si>
  <si>
    <t>Surety or bank guarantee</t>
  </si>
  <si>
    <t>Sum</t>
  </si>
  <si>
    <t>1.1.2</t>
  </si>
  <si>
    <t>Insurance of Works</t>
  </si>
  <si>
    <t>1.1.3</t>
  </si>
  <si>
    <t>Common Law Liability insurance</t>
  </si>
  <si>
    <t>1.1.4</t>
  </si>
  <si>
    <t>Third Party insurance</t>
  </si>
  <si>
    <t>1.1.5</t>
  </si>
  <si>
    <t>Insurance of construction plant and equipment</t>
  </si>
  <si>
    <t>1.1.6</t>
  </si>
  <si>
    <t>Design and Drawings</t>
  </si>
  <si>
    <t>1.1.7</t>
  </si>
  <si>
    <t>Other (Detail ………………...................................................……….)</t>
  </si>
  <si>
    <t>(…................................................................................................)</t>
  </si>
  <si>
    <t>1.1.8</t>
  </si>
  <si>
    <t>Advance Payment Guarantee or Other Forms of Guarantee that may be required, to the value of R5 million</t>
  </si>
  <si>
    <t xml:space="preserve">Forward cover </t>
  </si>
  <si>
    <t>1.1.9</t>
  </si>
  <si>
    <t>In respect of the total value of imported content of goods used in the Treatment Works from page RD.24 Imported Content Sheet:</t>
  </si>
  <si>
    <t>R …...............................................................................................</t>
  </si>
  <si>
    <t>1.1.10</t>
  </si>
  <si>
    <t>Allow a Provisional Sum to cover variation in exchange rate prior to obtaining forward cover. Tenderer is to insert an amount = 20% of the above amount from Item 1.1.9</t>
  </si>
  <si>
    <t>Prov. Sum</t>
  </si>
  <si>
    <t>1.1.11</t>
  </si>
  <si>
    <t>Allow a Provisional Sum to cover the cost of forward cover. Tenderer is to insert an amount = 10% of the above amount from Item 1.1.9</t>
  </si>
  <si>
    <t>1.1.12</t>
  </si>
  <si>
    <t>Allowance as a percentage of the PC value of  Items under 1.1.10 and 1.1.11 for Contractor's  cost and profit. Tenderer to insert summed rate and state percentage.</t>
  </si>
  <si>
    <t>%</t>
  </si>
  <si>
    <t>Establish Facilities on the Site</t>
  </si>
  <si>
    <t>8.3.2.1</t>
  </si>
  <si>
    <t>Facilities for the Engineer</t>
  </si>
  <si>
    <t>1.1.13</t>
  </si>
  <si>
    <t>PSAB</t>
  </si>
  <si>
    <t>(c)  Nameboards (2 No) (PSAB 3.1)</t>
  </si>
  <si>
    <t>1.1.14</t>
  </si>
  <si>
    <t>8.3.9</t>
  </si>
  <si>
    <t>(g) Survey instruments</t>
  </si>
  <si>
    <t>1.1.15</t>
  </si>
  <si>
    <t>PSA 8.3.11</t>
  </si>
  <si>
    <t>Services for offices</t>
  </si>
  <si>
    <t>1.1.16</t>
  </si>
  <si>
    <t>8.8.7</t>
  </si>
  <si>
    <t>(h) Construction and setting out of survey beacons</t>
  </si>
  <si>
    <t>No.</t>
  </si>
  <si>
    <t>1.1.17</t>
  </si>
  <si>
    <t>PSAB 8.3.13</t>
  </si>
  <si>
    <t>(i) Personal Protection Equipment</t>
  </si>
  <si>
    <t>Facilities for the Contractor</t>
  </si>
  <si>
    <t>1.1.18</t>
  </si>
  <si>
    <t>8.3.2.2</t>
  </si>
  <si>
    <t>(a) Offices and storage sheds</t>
  </si>
  <si>
    <t>1.1.19</t>
  </si>
  <si>
    <t>(b) Workshops</t>
  </si>
  <si>
    <t>1.1.20</t>
  </si>
  <si>
    <t>(c) Laboratories</t>
  </si>
  <si>
    <t>1.1.21</t>
  </si>
  <si>
    <t>(d) Living accommodation</t>
  </si>
  <si>
    <t>1.1.22</t>
  </si>
  <si>
    <t>(e) Ablution and latrine facilities</t>
  </si>
  <si>
    <t>SUB-TOTAL CARRIED FORWARD</t>
  </si>
  <si>
    <t>brought forward</t>
  </si>
  <si>
    <t>1.1.23</t>
  </si>
  <si>
    <t>(f) Tools and equipment</t>
  </si>
  <si>
    <t>1.1.24</t>
  </si>
  <si>
    <t>(g) Water supplies, electric power &amp; communications</t>
  </si>
  <si>
    <t>1.1.25</t>
  </si>
  <si>
    <t>(h) Dealing with water</t>
  </si>
  <si>
    <t>1.1.26</t>
  </si>
  <si>
    <t xml:space="preserve">(i) Access </t>
  </si>
  <si>
    <t>1.1.27</t>
  </si>
  <si>
    <t>(j) Plant</t>
  </si>
  <si>
    <t>1.1.28</t>
  </si>
  <si>
    <t>8.3.3</t>
  </si>
  <si>
    <t>Other fixed charge obligations</t>
  </si>
  <si>
    <t>1.1.29</t>
  </si>
  <si>
    <t>8.3.4</t>
  </si>
  <si>
    <t>Removal of site establishment</t>
  </si>
  <si>
    <t>1.1.30</t>
  </si>
  <si>
    <t>Compliance with the Occupational Health and Safety Act and Specification</t>
  </si>
  <si>
    <t>1.1.31</t>
  </si>
  <si>
    <t>Compliance with the Environmental Management Plan</t>
  </si>
  <si>
    <t>1.1.32</t>
  </si>
  <si>
    <t>Hazard Identification and Risk Assessment (OHS Spec Clause 4.1)</t>
  </si>
  <si>
    <t>1.1.33</t>
  </si>
  <si>
    <t>Health &amp; Safety Plan (PS 7)</t>
  </si>
  <si>
    <t>1.1.34</t>
  </si>
  <si>
    <t>Construction Safety Officer and other appointments (OHS Spec Clause 4.3)</t>
  </si>
  <si>
    <t>1.1.35</t>
  </si>
  <si>
    <t>PSA 8.3.1</t>
  </si>
  <si>
    <t>Work Skills Plan and Implementation Report to CETA</t>
  </si>
  <si>
    <t>1.1.36</t>
  </si>
  <si>
    <t>Pre-employment medical examination (Clause 3.1 Annexure 2 of OHS Specification), including annual medicals and certificates, and exit medicals</t>
  </si>
  <si>
    <t>1.1.37</t>
  </si>
  <si>
    <t>Provision of Operating and Maintenance Manuals (Full version and Summary version for daily operator use)</t>
  </si>
  <si>
    <t>1.1.38</t>
  </si>
  <si>
    <t>Quality Control Plan and Compliance</t>
  </si>
  <si>
    <t>TIME RELATED ITEMS</t>
  </si>
  <si>
    <t>1.2.1</t>
  </si>
  <si>
    <t>8.4.1</t>
  </si>
  <si>
    <t>1.2.2</t>
  </si>
  <si>
    <t>Insurance of works</t>
  </si>
  <si>
    <t>1.2.3</t>
  </si>
  <si>
    <t>1.2.4</t>
  </si>
  <si>
    <t>1.2.5</t>
  </si>
  <si>
    <t>1.2.6</t>
  </si>
  <si>
    <t xml:space="preserve">Other </t>
  </si>
  <si>
    <t>(Detail …………………………….......................................................)</t>
  </si>
  <si>
    <t>8.4.2</t>
  </si>
  <si>
    <t>Operate and Maintain Facilities on the Site</t>
  </si>
  <si>
    <t>8.4.2.1</t>
  </si>
  <si>
    <t>Facilities for Engineer for the Duration of Construction</t>
  </si>
  <si>
    <t>1.2.7</t>
  </si>
  <si>
    <t>(c) Nameboards (2 No.)</t>
  </si>
  <si>
    <t>1.2.8</t>
  </si>
  <si>
    <t xml:space="preserve"> 8.3.9</t>
  </si>
  <si>
    <t>Survey instruments</t>
  </si>
  <si>
    <t>1.2.9</t>
  </si>
  <si>
    <t>8.3.10</t>
  </si>
  <si>
    <t>Survey assistants and materials</t>
  </si>
  <si>
    <t>1.2.10</t>
  </si>
  <si>
    <t>8.3.11</t>
  </si>
  <si>
    <t>1.2.11</t>
  </si>
  <si>
    <t>8.3.12</t>
  </si>
  <si>
    <t>Treatment and maintenance of areas surrounding offices</t>
  </si>
  <si>
    <t>8.4.2.2</t>
  </si>
  <si>
    <t>Facilities for Contractor for the Duration of Construction</t>
  </si>
  <si>
    <t>1.2.12</t>
  </si>
  <si>
    <t>1.2.13</t>
  </si>
  <si>
    <t>1.2.14</t>
  </si>
  <si>
    <t>1.2.15</t>
  </si>
  <si>
    <t>1.2.16</t>
  </si>
  <si>
    <t>1.2.17</t>
  </si>
  <si>
    <t>1.2.18</t>
  </si>
  <si>
    <t>(g) Water supplies, electric power and communications, dealing with water and access</t>
  </si>
  <si>
    <t>1.2.19</t>
  </si>
  <si>
    <t>1.2.20</t>
  </si>
  <si>
    <t>(i) Access</t>
  </si>
  <si>
    <t>1.2.21</t>
  </si>
  <si>
    <t>1.2.23</t>
  </si>
  <si>
    <t>PSA 8.4.2</t>
  </si>
  <si>
    <t>(k) Dust suppression</t>
  </si>
  <si>
    <t>1.2.22</t>
  </si>
  <si>
    <t>Other time-related obligations</t>
  </si>
  <si>
    <t>………………………………………………………</t>
  </si>
  <si>
    <t>1.2.24</t>
  </si>
  <si>
    <t>8.4.3</t>
  </si>
  <si>
    <t>Supervision for duration of construction</t>
  </si>
  <si>
    <t>1.2.25</t>
  </si>
  <si>
    <t>Project Management for the duration of the Contract</t>
  </si>
  <si>
    <t>1.2.26</t>
  </si>
  <si>
    <t>Quality Assurance and Quality Control</t>
  </si>
  <si>
    <t>1.2.27</t>
  </si>
  <si>
    <t>Servicing Visits during Defects Liability Period</t>
  </si>
  <si>
    <t>1.2.28</t>
  </si>
  <si>
    <t>8.4.4</t>
  </si>
  <si>
    <t>Company and head office overhead costs for the duration of the contract</t>
  </si>
  <si>
    <t>1.2.29</t>
  </si>
  <si>
    <t>8.4.5</t>
  </si>
  <si>
    <t>Other time-related obligations (list)</t>
  </si>
  <si>
    <t>…..................................................................................................</t>
  </si>
  <si>
    <t>Security for the duration of the contract</t>
  </si>
  <si>
    <t>1.2.30</t>
  </si>
  <si>
    <t>Dayshift (12 hours) - 6 no. of armed guards (grade of guard to be determined by Contractor, appropriate for the assignment at hand), including patrol vehicles (if required) for the duration of the contract</t>
  </si>
  <si>
    <t>Months</t>
  </si>
  <si>
    <t>1.2.31</t>
  </si>
  <si>
    <t>Nightshift (12 hours) - 6 no. of armed guards (grade of guard to be determined by Contractor, appropriate for the assignment at hand), including patrol vehicles (if required) for the duration of the contract</t>
  </si>
  <si>
    <t>1.2.32</t>
  </si>
  <si>
    <t>Compliance with the Occupational Health and Safety Act and Specification (Including compliance with COVID-19 Regulations)</t>
  </si>
  <si>
    <t>1.2.33</t>
  </si>
  <si>
    <t>Construction Safety Officer and Other Appointments</t>
  </si>
  <si>
    <t>1.2.34</t>
  </si>
  <si>
    <t>1.2.35</t>
  </si>
  <si>
    <t>Compliance with the Environmental Management Plan and Vegetation Management Plan</t>
  </si>
  <si>
    <t>1.2.36</t>
  </si>
  <si>
    <t>Workplace Skills Plan and Implementation Report to CETA</t>
  </si>
  <si>
    <t>1.2.37</t>
  </si>
  <si>
    <t>SUMS STATED PROVISIONALLY BY ENGINEER</t>
  </si>
  <si>
    <t>1.3.1</t>
  </si>
  <si>
    <t>8.5(b)(1)</t>
  </si>
  <si>
    <t>Cell phones (1) and Contract (1), including data, for the duration of the contract</t>
  </si>
  <si>
    <t>1.3.2</t>
  </si>
  <si>
    <t>Stationery, equipment and software required by Engineer and his staff</t>
  </si>
  <si>
    <t>(b) (3)</t>
  </si>
  <si>
    <t xml:space="preserve">Provisional sum for control testing to be carried out as required by the Employer's Agent including testing of the structure </t>
  </si>
  <si>
    <t>1.3.3</t>
  </si>
  <si>
    <t>Independent testing where ordered by Engineer</t>
  </si>
  <si>
    <t>1.3.4</t>
  </si>
  <si>
    <t>Monthly maintenance of IT Equipment</t>
  </si>
  <si>
    <t>1.3.5</t>
  </si>
  <si>
    <t>Aerial photographic record of progress  (aerial photos to be taken monthly, for the duration of the contract)</t>
  </si>
  <si>
    <t>1.3.6</t>
  </si>
  <si>
    <t>PSAB 8.3.14</t>
  </si>
  <si>
    <t>Community Liaison Officer (CLO) for the duration of the contract</t>
  </si>
  <si>
    <t>1.3.7</t>
  </si>
  <si>
    <t>Environmental Control Officer</t>
  </si>
  <si>
    <t>1.3.8</t>
  </si>
  <si>
    <t>Full time Environmental Liaison Officer</t>
  </si>
  <si>
    <t>1.3.9</t>
  </si>
  <si>
    <t>General Skills Development and Training</t>
  </si>
  <si>
    <t>1.3.10</t>
  </si>
  <si>
    <t>Electrical and Instrument Cable Diversions</t>
  </si>
  <si>
    <t>1.3.11</t>
  </si>
  <si>
    <t>Signage for Buildings</t>
  </si>
  <si>
    <t>1.3.12</t>
  </si>
  <si>
    <t>Approved Asbestos Specialist</t>
  </si>
  <si>
    <t>1.3.13</t>
  </si>
  <si>
    <t>Asbestos Removal Contractor</t>
  </si>
  <si>
    <t>1.3.14</t>
  </si>
  <si>
    <t>Existing Service Diversions</t>
  </si>
  <si>
    <t>1.3.15</t>
  </si>
  <si>
    <t>Emptying of water retaining structures for additional inspections, testing, flooding, etc., as ordered by the Engineer</t>
  </si>
  <si>
    <t>1.3.16</t>
  </si>
  <si>
    <t>Electrical and C&amp;I testing equipment</t>
  </si>
  <si>
    <t>1.3.17</t>
  </si>
  <si>
    <t>Pedestrian/Vehicle access control system at the northern and southern gates.</t>
  </si>
  <si>
    <t>1.3.18</t>
  </si>
  <si>
    <t>GPR survey</t>
  </si>
  <si>
    <t>1.3.19</t>
  </si>
  <si>
    <t>PS 17</t>
  </si>
  <si>
    <t>Tools and Spares</t>
  </si>
  <si>
    <t>1.3.20</t>
  </si>
  <si>
    <t>Ventilation fans for pump station</t>
  </si>
  <si>
    <t>1.3.21</t>
  </si>
  <si>
    <t xml:space="preserve">Operation and maintenance training for JW staff </t>
  </si>
  <si>
    <t>8.5(b)(2)</t>
  </si>
  <si>
    <t>(e)  Contractor's percentage to cover cost of handling for items 1.3.1 and 1.3.20</t>
  </si>
  <si>
    <t>PSA 8.7</t>
  </si>
  <si>
    <t>DAYWORK</t>
  </si>
  <si>
    <t>1.4.1</t>
  </si>
  <si>
    <t>8.7.1</t>
  </si>
  <si>
    <t>Expenditure on dayworks
(i.e. wages paid to workmen and invoiced cost of materials,
delivered on site)</t>
  </si>
  <si>
    <t>8.7.2</t>
  </si>
  <si>
    <t>Extra over item above for supervision, overheads and all other costs related to the daywork items under items below for the following:</t>
  </si>
  <si>
    <t>1.4.2</t>
  </si>
  <si>
    <t>Skilled artisans</t>
  </si>
  <si>
    <t>1.4.3</t>
  </si>
  <si>
    <t>Unskilled labourers</t>
  </si>
  <si>
    <t>1.4.4</t>
  </si>
  <si>
    <t>Material</t>
  </si>
  <si>
    <t>8.7.3</t>
  </si>
  <si>
    <t>Plant Hire Rates</t>
  </si>
  <si>
    <t>The appropriate types and sizes (T&amp;S) of the
plant shall be stated in the space provided:</t>
  </si>
  <si>
    <t>1.4.5</t>
  </si>
  <si>
    <t>Mobile cranes (Type &amp; Size ……………………………………..)</t>
  </si>
  <si>
    <t>hrs.</t>
  </si>
  <si>
    <t>1.4.6</t>
  </si>
  <si>
    <t>Front-end loaders (Type &amp; Size ……………………………………..)</t>
  </si>
  <si>
    <t>1.4.7</t>
  </si>
  <si>
    <t>Bulldozers (Type &amp; Size ………………………………………..)</t>
  </si>
  <si>
    <t>1.4.8</t>
  </si>
  <si>
    <t>Graders (Type &amp; Size ………………………………………………..)</t>
  </si>
  <si>
    <t>1.4.9</t>
  </si>
  <si>
    <t>Excavators (Type &amp; Size ……………………………………………..)</t>
  </si>
  <si>
    <t>1.4.10</t>
  </si>
  <si>
    <t>Tip Trucks (Type &amp; Size ……………………………….……………..)</t>
  </si>
  <si>
    <t>1.4.11</t>
  </si>
  <si>
    <t>TLB's (Type &amp; Size ……………………………….………….)</t>
  </si>
  <si>
    <t>1.4.12</t>
  </si>
  <si>
    <t>Rollers (Type &amp; Size ……………………………….……………..)</t>
  </si>
  <si>
    <t>1.4.13</t>
  </si>
  <si>
    <t>Water carts (Type &amp; Size …………………………….……………..)</t>
  </si>
  <si>
    <t>1.4.14</t>
  </si>
  <si>
    <t>Portable compressor and breakers etc. (Type &amp; Size ……………..)</t>
  </si>
  <si>
    <t>1.4.15</t>
  </si>
  <si>
    <t>Portable pumps and hoses (150mm self priming centrifugal pump coupled to diesel engine mounted on a trailer unit with an integrated 200l fuel tank)</t>
  </si>
  <si>
    <t>Others give full details</t>
  </si>
  <si>
    <t>1.4.16</t>
  </si>
  <si>
    <t>1.4.17</t>
  </si>
  <si>
    <t>TEMPORARY WORKS</t>
  </si>
  <si>
    <t>1.5.1</t>
  </si>
  <si>
    <t>8.8.2</t>
  </si>
  <si>
    <t>Dealing with traffic (or accommodation of traffic)</t>
  </si>
  <si>
    <t>8.8.4</t>
  </si>
  <si>
    <t>Existing Services</t>
  </si>
  <si>
    <t>1.5.2</t>
  </si>
  <si>
    <t>Location of existing services</t>
  </si>
  <si>
    <t>1.5.3</t>
  </si>
  <si>
    <t>Excavate by hand in all materials to expose existing services</t>
  </si>
  <si>
    <t>m³</t>
  </si>
  <si>
    <t>PSA 8.8.4</t>
  </si>
  <si>
    <t>Relocation of services</t>
  </si>
  <si>
    <t>Excavation for exposing services in the following depth ranges below ground level:</t>
  </si>
  <si>
    <t>(a) 0.0m up to 2.0m:</t>
  </si>
  <si>
    <t>1.5.4</t>
  </si>
  <si>
    <t>(i) Soft material</t>
  </si>
  <si>
    <t>1.5.5</t>
  </si>
  <si>
    <t>(ii) Intermediate material</t>
  </si>
  <si>
    <t>1.5.6</t>
  </si>
  <si>
    <t>(iii) Hard material</t>
  </si>
  <si>
    <t>(b) Exceeding 2.0m up 4.0m:</t>
  </si>
  <si>
    <t>1.5.7</t>
  </si>
  <si>
    <t>1.5.8</t>
  </si>
  <si>
    <t>1.5.9</t>
  </si>
  <si>
    <t xml:space="preserve">(iii) Hard material </t>
  </si>
  <si>
    <t>PSA 8.10</t>
  </si>
  <si>
    <t>SUBCONTRACTORS (SMME's)</t>
  </si>
  <si>
    <t>1.6.1</t>
  </si>
  <si>
    <t>PSA 8.10.4</t>
  </si>
  <si>
    <t>Provisional Sum to cover costs incurred by the Contractor when making payments of behalf of the sub-contractor (ref Contract Data) or to provide ad-hoc services on behalf of the sub-contractor</t>
  </si>
  <si>
    <t>Prov.Sum</t>
  </si>
  <si>
    <t xml:space="preserve">PSAB </t>
  </si>
  <si>
    <t>1.6.2</t>
  </si>
  <si>
    <t>8.3.15</t>
  </si>
  <si>
    <t>Training of targeted labour and SMME's</t>
  </si>
  <si>
    <t>PSA 8.9</t>
  </si>
  <si>
    <t>DELAYS</t>
  </si>
  <si>
    <t>1.7.1</t>
  </si>
  <si>
    <t>Delay due to total work stoppage, for labour unrest, plant shutdowns, etc. The Daily rate must equal the total of the Daily Time Related P&amp;G Cost. Only this Daily rate will be paid in the event of ANY approved delays to the Due Completion Date of the Contract</t>
  </si>
  <si>
    <t>days</t>
  </si>
  <si>
    <t>TOTAL FOR SECTION 1 (Carried to Summary)</t>
  </si>
  <si>
    <t>SECTION 2 - ACCESS ROADS</t>
  </si>
  <si>
    <t>SECTION NO</t>
  </si>
  <si>
    <t>ACCESS ROADS</t>
  </si>
  <si>
    <t>A</t>
  </si>
  <si>
    <t>SANS 1200C</t>
  </si>
  <si>
    <t>CLEARING AND GRUBBING</t>
  </si>
  <si>
    <t>8.2.1</t>
  </si>
  <si>
    <t>Clearing and grubbing including all rubble</t>
  </si>
  <si>
    <t>Prov Sum</t>
  </si>
  <si>
    <t>B</t>
  </si>
  <si>
    <t>SAN 1200ME</t>
  </si>
  <si>
    <t>GENERAL REQUIREMENTS AND PROVISIONS</t>
  </si>
  <si>
    <t>Excavate material within the following depth ranges below ground level exposing of/or searching for services:</t>
  </si>
  <si>
    <t>(a) 0m to 2m:</t>
  </si>
  <si>
    <t>(ii) Hard material</t>
  </si>
  <si>
    <t>Backfilling:</t>
  </si>
  <si>
    <t>(a) Using the excavated material</t>
  </si>
  <si>
    <t>(b) Using imported selected material</t>
  </si>
  <si>
    <t>C</t>
  </si>
  <si>
    <t>CRACK SEALING (ASPHALT ROADS)</t>
  </si>
  <si>
    <t>Crack seal using hot polymer/rubberised bitumen</t>
  </si>
  <si>
    <t>m</t>
  </si>
  <si>
    <t>D</t>
  </si>
  <si>
    <t>ROAD REPAIRS</t>
  </si>
  <si>
    <t>Mill out to spoil existing surfacing and crushed stone base where road is badly cracked</t>
  </si>
  <si>
    <r>
      <t>m</t>
    </r>
    <r>
      <rPr>
        <vertAlign val="superscript"/>
        <sz val="10"/>
        <rFont val="Arial"/>
        <family val="2"/>
      </rPr>
      <t>2</t>
    </r>
  </si>
  <si>
    <t>Construct new base course 150mm thick</t>
  </si>
  <si>
    <t>Provisional Sum for Modifications to existing</t>
  </si>
  <si>
    <t>SANS 1200MG</t>
  </si>
  <si>
    <t>Prime coat:</t>
  </si>
  <si>
    <t>(a) Quick drying MSP1 or equivalent @ 0.8l/m2</t>
  </si>
  <si>
    <t>Road repairs using :</t>
  </si>
  <si>
    <t>(a) Continuously graded:</t>
  </si>
  <si>
    <t xml:space="preserve">(i)  40mm medium grade </t>
  </si>
  <si>
    <t>Double seal over the whole site using :</t>
  </si>
  <si>
    <t>8.4.3(a)</t>
  </si>
  <si>
    <t>(a) 20,0 mm and 10,0 mm aggregate (grade 1 aggregate) with 80/100 penetration grade bitumen</t>
  </si>
  <si>
    <t>Application of fog spray consisting of:</t>
  </si>
  <si>
    <t>(b) 30% spray-grade emulsion (cationic)</t>
  </si>
  <si>
    <t>litre</t>
  </si>
  <si>
    <t>E</t>
  </si>
  <si>
    <t>SANS 1200G</t>
  </si>
  <si>
    <t>CONCRETE SLABS</t>
  </si>
  <si>
    <t xml:space="preserve">Remove and dispose broken concrete slabs </t>
  </si>
  <si>
    <t>Supply and install new 35MPa concrete slabs including shuttering</t>
  </si>
  <si>
    <t>Remove and dispose existing joint sealing and replace with new polyurethane joint sealing</t>
  </si>
  <si>
    <t>F</t>
  </si>
  <si>
    <t>SANS 1200MJ</t>
  </si>
  <si>
    <t>WALKWAYS AND BLOCK PAVING</t>
  </si>
  <si>
    <t>Remove and dispose of all the broken concrete paving along the pedestrian walkways</t>
  </si>
  <si>
    <t>8.2.2</t>
  </si>
  <si>
    <t>Supply and install new 60mm concrete interlocking paving blocks along the walkways</t>
  </si>
  <si>
    <t xml:space="preserve">(b) Re-slope the batter to grade and compact to 90% Mod AASTO density &amp; replace any supporting base where necessary </t>
  </si>
  <si>
    <t>(e ) Take from stockpile and relay interlocking blocks with riversand jointing</t>
  </si>
  <si>
    <t>(i) Take up block paving to stockpile</t>
  </si>
  <si>
    <t xml:space="preserve">(ii) Reinstate base to correct levels and compact to 90% Mod AASHTO density &amp; replace any supporting base where necessary    </t>
  </si>
  <si>
    <t>(g) Supply and apply to all paving areas "Roundup" or other approved environmentally friendly weed killer</t>
  </si>
  <si>
    <t>G</t>
  </si>
  <si>
    <t>MISCELLANEOUS ITEMS</t>
  </si>
  <si>
    <t>8.2.3</t>
  </si>
  <si>
    <t>Remove trees</t>
  </si>
  <si>
    <t>SANS 1200MK</t>
  </si>
  <si>
    <t>CONCRETE KERBING</t>
  </si>
  <si>
    <t>(a) Remove and dispose of  broken kerbs at registered disposal site</t>
  </si>
  <si>
    <t>(b) Supply and install new kerbs (Figure 3)</t>
  </si>
  <si>
    <t>(c) Supply and install new kerbs (Figure 8b)</t>
  </si>
  <si>
    <t>PSVB 8.1</t>
  </si>
  <si>
    <t xml:space="preserve">Supply and install new 1200mm high 6 strand stockproof fencing including galvanised straining posts and standards </t>
  </si>
  <si>
    <t>Remove existing damaged grating and replace with new 40mm high galvanised grating</t>
  </si>
  <si>
    <t>LS</t>
  </si>
  <si>
    <t>Allowance for stormwater infrastructure</t>
  </si>
  <si>
    <t>PSVA8.4</t>
  </si>
  <si>
    <t>Landscaping and grassing</t>
  </si>
  <si>
    <t>(a) Clean the whole site of excess grass and shrubs</t>
  </si>
  <si>
    <t>Hazard markers at culverts/structures:</t>
  </si>
  <si>
    <t>(a) W401 or W402:</t>
  </si>
  <si>
    <t>(i)  800mm x 200mm</t>
  </si>
  <si>
    <t>Retro-reflective road marking paint:</t>
  </si>
  <si>
    <t>(d) White lettering and symbols</t>
  </si>
  <si>
    <t>Reinstating footway and filling hole next to pavement</t>
  </si>
  <si>
    <t>SECTION 3 - HEAD OF WORKS</t>
  </si>
  <si>
    <t>WASHWATER BOOSTER PUMPS</t>
  </si>
  <si>
    <t>8.2.4</t>
  </si>
  <si>
    <t>Reclearing of surfaces (only on instruction from the Engineer)</t>
  </si>
  <si>
    <t>8.2.5</t>
  </si>
  <si>
    <t>Removal and relocation of existing fence</t>
  </si>
  <si>
    <t>SANS 1200D</t>
  </si>
  <si>
    <t>EARTHWORKS</t>
  </si>
  <si>
    <t>Restricted Excavation</t>
  </si>
  <si>
    <t>8.3.3(a)</t>
  </si>
  <si>
    <t>Excavate for footings and plinths and dispose</t>
  </si>
  <si>
    <r>
      <t>m</t>
    </r>
    <r>
      <rPr>
        <vertAlign val="superscript"/>
        <sz val="10"/>
        <rFont val="Arial"/>
        <family val="2"/>
      </rPr>
      <t>3</t>
    </r>
  </si>
  <si>
    <t>8.3.3 (b)</t>
  </si>
  <si>
    <t>Extra-over item 3.1.3 for additional excavation required by the engineer after the excavations have been completed</t>
  </si>
  <si>
    <t>Intermediate material</t>
  </si>
  <si>
    <t>Hard rock material</t>
  </si>
  <si>
    <t>CONCRETE (STRUCTURAL)</t>
  </si>
  <si>
    <t>Formwork</t>
  </si>
  <si>
    <t>Smooth Formwork</t>
  </si>
  <si>
    <t>Plane Vertical</t>
  </si>
  <si>
    <t>Sides of all plinths (pump, accumulator, pressure vessel)</t>
  </si>
  <si>
    <r>
      <t>m</t>
    </r>
    <r>
      <rPr>
        <vertAlign val="superscript"/>
        <sz val="10"/>
        <color theme="1"/>
        <rFont val="Arial"/>
        <family val="2"/>
      </rPr>
      <t>2</t>
    </r>
  </si>
  <si>
    <t>Narrow width (up to 300mm wide)</t>
  </si>
  <si>
    <t>Sides of footings</t>
  </si>
  <si>
    <t>m²</t>
  </si>
  <si>
    <t>Reinforcement</t>
  </si>
  <si>
    <t>High Tensile steel bars</t>
  </si>
  <si>
    <t>8.1.2.2</t>
  </si>
  <si>
    <t>25 mm dia. - Basic price</t>
  </si>
  <si>
    <t>t</t>
  </si>
  <si>
    <t>Mild steel bars</t>
  </si>
  <si>
    <t>25 mm dia. : Basic price</t>
  </si>
  <si>
    <t>Concrete</t>
  </si>
  <si>
    <t>Blinding Layer in Grade 15/20 concrete with 50mm thickness</t>
  </si>
  <si>
    <t>Underneath footing</t>
  </si>
  <si>
    <t>Strength Concrete 35/20</t>
  </si>
  <si>
    <t xml:space="preserve">Footings for Wash Water Tank </t>
  </si>
  <si>
    <r>
      <t>m</t>
    </r>
    <r>
      <rPr>
        <vertAlign val="superscript"/>
        <sz val="10"/>
        <color theme="1"/>
        <rFont val="Arial"/>
        <family val="2"/>
      </rPr>
      <t>3</t>
    </r>
  </si>
  <si>
    <t>Plinths for pumps</t>
  </si>
  <si>
    <t>8.4.4 a)</t>
  </si>
  <si>
    <t>Wood float finish for upper surfaces of:</t>
  </si>
  <si>
    <t>Wash Water Tank plinths</t>
  </si>
  <si>
    <t>Pump plinths</t>
  </si>
  <si>
    <t xml:space="preserve">PSG 8.7 </t>
  </si>
  <si>
    <t>Grouting</t>
  </si>
  <si>
    <t>8.7 ( c )</t>
  </si>
  <si>
    <t>Grouting in of equipment supplied and installed by the plant suppliers</t>
  </si>
  <si>
    <t>( i )</t>
  </si>
  <si>
    <t xml:space="preserve">using non-shrink grout </t>
  </si>
  <si>
    <t>( ii )</t>
  </si>
  <si>
    <t>using dry-packed grout</t>
  </si>
  <si>
    <t>COARSE SCREENS MOD 1</t>
  </si>
  <si>
    <t>CLEARING AND REMOVAL OF STRUCTURES</t>
  </si>
  <si>
    <t>PSU 8.16</t>
  </si>
  <si>
    <t>Clearing of concrete channel from inlet sluice gate to coarse screens.</t>
  </si>
  <si>
    <t>Demolish old concrete in coarse screen area and dispose of material</t>
  </si>
  <si>
    <t>Excavate for extension of bunded area at compactors and dispose</t>
  </si>
  <si>
    <t>Extra-over item 3.2.3 for additional excavation required by the engineer after the excavations have been completed</t>
  </si>
  <si>
    <t>CONCRETE - STRUCTURAL</t>
  </si>
  <si>
    <t>Sides of bund walls</t>
  </si>
  <si>
    <t>Sides of plinths</t>
  </si>
  <si>
    <t>Edge of floor slab</t>
  </si>
  <si>
    <t>25 mm dia. : basic price</t>
  </si>
  <si>
    <t>Resurfacing of concrete channel from inlet sluice gate to coarse screens</t>
  </si>
  <si>
    <t>Saw-cut 120mm deep into existing concrete floor to get straight transition piece</t>
  </si>
  <si>
    <t>3.2.13</t>
  </si>
  <si>
    <t>Break down existing bund wall to floor level</t>
  </si>
  <si>
    <t>3.2.14</t>
  </si>
  <si>
    <t>Break 40mm deeper into existing concrete at reinforcing, cut reinforcing coat the reinforcing with zinc rich paint, apply wet to dry epoxy to old concrete surface and use an approved epoxy to repair concrete to final dimensions</t>
  </si>
  <si>
    <t>3.2.15</t>
  </si>
  <si>
    <t>Supply and install Diamond Dowels at 350mm c/c</t>
  </si>
  <si>
    <t>No</t>
  </si>
  <si>
    <t>3.2.16</t>
  </si>
  <si>
    <t>Supply and install R20 dowels, 400mm long, 200mm deep at 300mm c/c, incl of drilling , epoxy</t>
  </si>
  <si>
    <t>3.2.17</t>
  </si>
  <si>
    <t>Under floor for extension of bunded area</t>
  </si>
  <si>
    <t>3.2.18</t>
  </si>
  <si>
    <t>Floor of bunded area</t>
  </si>
  <si>
    <t>3.2.19</t>
  </si>
  <si>
    <t>Walls of bunded area</t>
  </si>
  <si>
    <t>3.2.20</t>
  </si>
  <si>
    <t>Top of plinths</t>
  </si>
  <si>
    <t>3.2.21</t>
  </si>
  <si>
    <t>Top of floor inside bunded area</t>
  </si>
  <si>
    <t>Steel float finish for upper surfaces of:</t>
  </si>
  <si>
    <t>3.2.22</t>
  </si>
  <si>
    <t>Top of bund walls</t>
  </si>
  <si>
    <t>3.2.23</t>
  </si>
  <si>
    <t>3.2.24</t>
  </si>
  <si>
    <t>PSG 8.5</t>
  </si>
  <si>
    <t>PSG 8.5.2</t>
  </si>
  <si>
    <t>Filled Joints (including formwork)</t>
  </si>
  <si>
    <t>Joint filler consisting of closed cell expanded polyethylene with density not less than 120kg/m3 including bullnose finish to both sides of joint and tear off strip</t>
  </si>
  <si>
    <t>3.2.25</t>
  </si>
  <si>
    <t>20 mm wide between 150 mm concrete floor and new bund walls</t>
  </si>
  <si>
    <t>PSG 8.5.3</t>
  </si>
  <si>
    <t>Sealed Joints</t>
  </si>
  <si>
    <t>Joint sealer (20 x 15 mm) consisting of a two component polyether based polyurethane sealing compound on visible face of joint including primer and bond breaker</t>
  </si>
  <si>
    <t>3.2.26</t>
  </si>
  <si>
    <t>20 mm joints between concrete members</t>
  </si>
  <si>
    <t>Replacement of existing joint sealer</t>
  </si>
  <si>
    <t>3.2.27</t>
  </si>
  <si>
    <t>8.14</t>
  </si>
  <si>
    <t xml:space="preserve">Remove and dispose of old joint sealer 20mm wide and 20mm deep  </t>
  </si>
  <si>
    <t>3.2.28</t>
  </si>
  <si>
    <t>Install new backing cord and polyurethane sealer in 20mm deep joint</t>
  </si>
  <si>
    <t>3.2.29</t>
  </si>
  <si>
    <t>8.15</t>
  </si>
  <si>
    <t>Concrete crack repair, saw cut along crack, clean, apply primer, insert polyurethane sealant</t>
  </si>
  <si>
    <t>SANS 1200HA</t>
  </si>
  <si>
    <t>SKIP RAILS (MOD 1 &amp; 2)</t>
  </si>
  <si>
    <t>Remove existing skip rails</t>
  </si>
  <si>
    <t>8.3.2</t>
  </si>
  <si>
    <t>Install 76,2 x 76,2 x 14.9kg/m mild steel rails including fastening clips @ 500mm c/c each with 2/12mm dia. Expanding bolts.</t>
  </si>
  <si>
    <t>Sundry Items</t>
  </si>
  <si>
    <t>Stop log to stop flow in main channel to HoW module 1 when refurbishing existing sluice gate</t>
  </si>
  <si>
    <t xml:space="preserve">GRIT HANDLING AREA </t>
  </si>
  <si>
    <t xml:space="preserve">Clean vortex degritters and grit handling transfer screws including disposal of waste </t>
  </si>
  <si>
    <t xml:space="preserve">Demolishing of existing concrete structure for conventional grit classifiers </t>
  </si>
  <si>
    <t>Demolishing of existing bundwall and dispose of material</t>
  </si>
  <si>
    <t>Excavate for extension of bunded area for classifier and dispose</t>
  </si>
  <si>
    <t>Extra-over item 3.3.4 for additional excavation required by the engineer after the excavations have been completed</t>
  </si>
  <si>
    <t>Concrete Work</t>
  </si>
  <si>
    <t>Saw cut 120mm deep into existing concrete floor to get straight transition piece</t>
  </si>
  <si>
    <t>Supply and install R20 dowels, 400mm long, 200mm deep at 300mm c/c, incl of drilling, epoxy.</t>
  </si>
  <si>
    <t xml:space="preserve">Resurfacing of corroded concrete </t>
  </si>
  <si>
    <t>8.5.2</t>
  </si>
  <si>
    <t>8.5.3</t>
  </si>
  <si>
    <t xml:space="preserve">Remove old Joint  Sealer 20mm wide and 20mm deep  </t>
  </si>
  <si>
    <t>SKIP RAILS</t>
  </si>
  <si>
    <t>Removal of existing skip rails</t>
  </si>
  <si>
    <t>76, 2 x 76, 2 x 14.9kg/m mild steel rails including fastening clips @ 500mm c/c each with 2/12mm dia. Expanding bolts.</t>
  </si>
  <si>
    <t>FINE SCREENS AND MACERATOR PUMP STATION</t>
  </si>
  <si>
    <t>Clearing of concrete channels in fine screens removal area and disposal of waste</t>
  </si>
  <si>
    <t>Demolish and removal of existing concrete plinths inside Macerator Pump Station</t>
  </si>
  <si>
    <t>Demolishing of old concrete outside Macerator Pump Station and disposal of waste</t>
  </si>
  <si>
    <t xml:space="preserve">Cleaning, preperation and painting of internal plastered brick walls of Pump Station </t>
  </si>
  <si>
    <t xml:space="preserve">Cleaning of internal concrete walls of Pump Station </t>
  </si>
  <si>
    <t>Sides of all plinths</t>
  </si>
  <si>
    <t>PSG 8.13</t>
  </si>
  <si>
    <t>Resurfacing of concrete in the channels and bunded area</t>
  </si>
  <si>
    <t>Supply and install R20 dowels, 400mm long, 200mm deep at 300mm c/c, incl of drilling, epoxy in existing concrete.</t>
  </si>
  <si>
    <t>New plinths for washer compactors</t>
  </si>
  <si>
    <t>New pump plinths in Macerator Pump Station</t>
  </si>
  <si>
    <t>Top of Compactor plinths</t>
  </si>
  <si>
    <t>Top of pump plinths</t>
  </si>
  <si>
    <t>PSG</t>
  </si>
  <si>
    <t>MISCELANEOUS</t>
  </si>
  <si>
    <t>Replace existing door at Macerator Pump Station</t>
  </si>
  <si>
    <t>Replace existing window at Macerator Pump Station</t>
  </si>
  <si>
    <t>Empty existing pump room</t>
  </si>
  <si>
    <t>Clean wall surfaces and prepare for repaint</t>
  </si>
  <si>
    <t>Paint of inside walls of pump station</t>
  </si>
  <si>
    <t xml:space="preserve">TRASH SCREEN </t>
  </si>
  <si>
    <t>Clear and grub</t>
  </si>
  <si>
    <t>8.3.3 a)</t>
  </si>
  <si>
    <t>Exacvate for restricted foundation, footings and trenches in all material and use for backfill or embankment or dispose.</t>
  </si>
  <si>
    <t>0m up to 2m</t>
  </si>
  <si>
    <t>2m up to 4m</t>
  </si>
  <si>
    <t>8.3.2 (b)</t>
  </si>
  <si>
    <t>Extra Over Items 3.1.5 to 3.1.8 for excavations in:</t>
  </si>
  <si>
    <t>8.3.3 b) 1)</t>
  </si>
  <si>
    <t xml:space="preserve">8.3.3 b) 2) </t>
  </si>
  <si>
    <t>SANS 1200DM</t>
  </si>
  <si>
    <t>ACCESS ROAD</t>
  </si>
  <si>
    <t>SUBGRADE</t>
  </si>
  <si>
    <t xml:space="preserve">Treatment of road bed </t>
  </si>
  <si>
    <t>Road Bed Preperation and compaction of material to:</t>
  </si>
  <si>
    <t>8.3.3 a) 2)</t>
  </si>
  <si>
    <t>Rip and recompact in-situ material to 150mm depth, moisten and compact to minimum of 93% Mod. AASHTO density.</t>
  </si>
  <si>
    <t>SANS 1200ME</t>
  </si>
  <si>
    <t xml:space="preserve">SUBBASE </t>
  </si>
  <si>
    <t>Construct the subbase course/ shoulder with material from commercial sources or designated borrow pits</t>
  </si>
  <si>
    <t>G7 material compacted in 150mm layer to 93% of modified AASHTO maximum density</t>
  </si>
  <si>
    <t>SANS 1200MF</t>
  </si>
  <si>
    <t>BASE</t>
  </si>
  <si>
    <t>Construct base with material from commercial sources or designated borrow areas</t>
  </si>
  <si>
    <t>Construct 150mm layer of G5 base compacted to 93% of MOD AASHTO from commercial sources</t>
  </si>
  <si>
    <t>8.3.5</t>
  </si>
  <si>
    <t>Process base material by the following processes, as relevant, and use in the base:</t>
  </si>
  <si>
    <t>8.3.5 d)</t>
  </si>
  <si>
    <t>Stabilisation</t>
  </si>
  <si>
    <t>8.3.8</t>
  </si>
  <si>
    <t>Stabilizing agent:</t>
  </si>
  <si>
    <t>8.3.8 b)</t>
  </si>
  <si>
    <t>Portland cement</t>
  </si>
  <si>
    <t>Rough Formwork</t>
  </si>
  <si>
    <t>Edge of concrete road slab</t>
  </si>
  <si>
    <t>Edge of floor of bunded area</t>
  </si>
  <si>
    <t>Sides of trash screen platform</t>
  </si>
  <si>
    <t>Sides of staircases</t>
  </si>
  <si>
    <t>Vertical risers of stairs</t>
  </si>
  <si>
    <t>Plane Horizontal</t>
  </si>
  <si>
    <t>Soffit of Trash screen platform over channel</t>
  </si>
  <si>
    <t>Plane Sloping</t>
  </si>
  <si>
    <t>Soffit of staircase</t>
  </si>
  <si>
    <t>25 mm dia. -  Basic price</t>
  </si>
  <si>
    <t>High Tensile Welded Mesh</t>
  </si>
  <si>
    <t>Ref. 888 for road slab</t>
  </si>
  <si>
    <t>Trash screen platform</t>
  </si>
  <si>
    <t>Road Slab</t>
  </si>
  <si>
    <t>Stairs</t>
  </si>
  <si>
    <t>Unformed Surface Finishes</t>
  </si>
  <si>
    <t>Wood Floated Finish</t>
  </si>
  <si>
    <t>Road Slab (One end bullnose)</t>
  </si>
  <si>
    <t>8.4.4 b)</t>
  </si>
  <si>
    <t>Steel Floated Finish</t>
  </si>
  <si>
    <t xml:space="preserve">Filled Joints </t>
  </si>
  <si>
    <t>20 mm wide between 200mm concrete members</t>
  </si>
  <si>
    <t>20 mm wide between 300mm concrete members</t>
  </si>
  <si>
    <t>20 mm x 15 mm joints between concrete members</t>
  </si>
  <si>
    <t>Stop log lifting hook</t>
  </si>
  <si>
    <t>TRASH SCREEN BYPASS CHANNEL</t>
  </si>
  <si>
    <t>Imported backfill material from:</t>
  </si>
  <si>
    <t>Stockpile or other excavation on site</t>
  </si>
  <si>
    <t>Commercial or off-site sources</t>
  </si>
  <si>
    <t>Internal and external faces of channel walls</t>
  </si>
  <si>
    <t>Narrow width (up to 300mm high)</t>
  </si>
  <si>
    <t>Edges of channel floor slab</t>
  </si>
  <si>
    <t>Sides of bundwalls</t>
  </si>
  <si>
    <t>High Tensile Steel Bars</t>
  </si>
  <si>
    <t>25mm dia - Basic Price</t>
  </si>
  <si>
    <t>Blinding layer in Grade 15/20 concrete with  50mm thickness</t>
  </si>
  <si>
    <t>Below channel</t>
  </si>
  <si>
    <t>Channel floor slab</t>
  </si>
  <si>
    <t>Channel walls</t>
  </si>
  <si>
    <t>Channel floor</t>
  </si>
  <si>
    <t>Channel wall</t>
  </si>
  <si>
    <t>8.5.4</t>
  </si>
  <si>
    <t>Joints with Waterstops</t>
  </si>
  <si>
    <t>8.5.4 (a)</t>
  </si>
  <si>
    <t>200 mm wide plasticized, flexible PVC Rearguard waterstop with centre hollow bulb and eyelets for fastening (straight)</t>
  </si>
  <si>
    <t>MODIFICATION TO EXISTING CHANNEL</t>
  </si>
  <si>
    <t>Cutting of opening in existing channel walls for connection of bypass channel to main channel including all modifications to existing channel walls</t>
  </si>
  <si>
    <t xml:space="preserve">Supply and installation of new precast concrete measuring flume assembly complete as per drawing </t>
  </si>
  <si>
    <t>SANS</t>
  </si>
  <si>
    <t>1200HA</t>
  </si>
  <si>
    <t>STRUCTURAL STEELWORK (SUNDRY  ITEMS)</t>
  </si>
  <si>
    <t>PSHA</t>
  </si>
  <si>
    <t>8.3.2(b)</t>
  </si>
  <si>
    <t>Stainless steel 304 handrail assembly complete</t>
  </si>
  <si>
    <t>TOTAL FOR SECTION 3 (Carried to Summary)</t>
  </si>
  <si>
    <t>SECTION 4 - SECONDARY TREATMENT</t>
  </si>
  <si>
    <t>PRIMARY SEDIMENTATION TANKS</t>
  </si>
  <si>
    <t>CLEARING OF MATERIAL IN STRUCTURE</t>
  </si>
  <si>
    <t>Removal and disposal of sludge in hopper</t>
  </si>
  <si>
    <t>Clean inside of launders</t>
  </si>
  <si>
    <t>Clean floor from sand and sludge</t>
  </si>
  <si>
    <t>PSG 8.15</t>
  </si>
  <si>
    <t xml:space="preserve">Remove old Joint  Sealer 20mm wide and 30mm deep  </t>
  </si>
  <si>
    <t>Install new backing cord and polyurethane sealer in 30mm deep joint</t>
  </si>
  <si>
    <t>Refurbish existing ground water pressure relief valves</t>
  </si>
  <si>
    <t>Remove existing grout at centre slip ring</t>
  </si>
  <si>
    <t>using non-shrink grout</t>
  </si>
  <si>
    <t>Re-install weir plates with new neoprene sealing material between concrete and plate and installation of new anchor bolts if required and adjusting after installation to obtain the correct level as shown on the drawing</t>
  </si>
  <si>
    <t>CCTV Inpections</t>
  </si>
  <si>
    <t>Allowance for CCTV Inspections of existing Underground Pipelines</t>
  </si>
  <si>
    <t>TOTAL FOR SECTION 4 (Carried to Summary)</t>
  </si>
  <si>
    <t>SECTION 5 - SECONDARY TREATMENT</t>
  </si>
  <si>
    <t>FERMENTERS</t>
  </si>
  <si>
    <t>Re-install weir plates with new neoprene sealing material between concrete and plate and installation of new anchor bolts if required and adjusting sfter installation to obtain the correct level as shown on the drawing</t>
  </si>
  <si>
    <t>TOTAL FOR SECTION 5 (Carried to Summary)</t>
  </si>
  <si>
    <t>SECTION 6 - SECONDARY TREATMENT</t>
  </si>
  <si>
    <t>CLARIFIERS</t>
  </si>
  <si>
    <t>Removal and disposal of sludge on Clarifier Floor</t>
  </si>
  <si>
    <t>Remove existing weir plates at launders</t>
  </si>
  <si>
    <t>BIO-REACTORS</t>
  </si>
  <si>
    <t>Removal and disposal of sand on floor of tank</t>
  </si>
  <si>
    <r>
      <t>Remove old grout after removal of existing mixers (Area of ±0.25m</t>
    </r>
    <r>
      <rPr>
        <vertAlign val="superscript"/>
        <sz val="10"/>
        <color theme="1"/>
        <rFont val="Arial"/>
        <family val="2"/>
      </rPr>
      <t xml:space="preserve">2 </t>
    </r>
    <r>
      <rPr>
        <sz val="10"/>
        <color theme="1"/>
        <rFont val="Arial"/>
        <family val="2"/>
      </rPr>
      <t>per mixer)</t>
    </r>
  </si>
  <si>
    <t>TOTAL FOR SECTION 6 (Carried to Summary)</t>
  </si>
  <si>
    <t>SECTION 7 - WASH WATER</t>
  </si>
  <si>
    <t>NEW WASH WATER FILTER STATION</t>
  </si>
  <si>
    <t>SANS 1200 C</t>
  </si>
  <si>
    <t xml:space="preserve">SITE CLEARANCE </t>
  </si>
  <si>
    <t xml:space="preserve">Clear and grub </t>
  </si>
  <si>
    <t>SANS 1200 D</t>
  </si>
  <si>
    <t>PSD 8.3.3</t>
  </si>
  <si>
    <t>8.3.3 (a) (ii)</t>
  </si>
  <si>
    <t>Extra-over Items 7.1.2 to for additional excavation required by the engineer after the excavations have been completed</t>
  </si>
  <si>
    <t>Internal and external faces of sump walls</t>
  </si>
  <si>
    <t>Sides of apron slab</t>
  </si>
  <si>
    <t>Sides of all plinths (incl. pump, accumulator, pressure vessel and filters)</t>
  </si>
  <si>
    <t>Edges of footings</t>
  </si>
  <si>
    <t>Edges of floor slab</t>
  </si>
  <si>
    <t>Internal sides of drainage trench floor</t>
  </si>
  <si>
    <t>Edges of sump floor</t>
  </si>
  <si>
    <t>Special Formwork</t>
  </si>
  <si>
    <t>8.2.6</t>
  </si>
  <si>
    <t>Box out holes/form voids</t>
  </si>
  <si>
    <t>8.2.6 (b)</t>
  </si>
  <si>
    <t>Cubical of volume</t>
  </si>
  <si>
    <t>Over and up to and including</t>
  </si>
  <si>
    <t>(ii) 0,01 m³  -  0,05 m³</t>
  </si>
  <si>
    <t>(iii) 0,05 m³  -  0,15 m³</t>
  </si>
  <si>
    <t>8.2.7</t>
  </si>
  <si>
    <t>Recesses and chamfers larger than 25x25mm</t>
  </si>
  <si>
    <t>100 x 100mm chamfers and vertical corners of cable channels</t>
  </si>
  <si>
    <t>Ref. 245 for apron slabs</t>
  </si>
  <si>
    <t>Ref. 617 for floor slabs</t>
  </si>
  <si>
    <t>8.1.3</t>
  </si>
  <si>
    <t>Underneath floor slabs and sumps of pump station</t>
  </si>
  <si>
    <t>Strip footing (900 mm wide, 300 mm thick)</t>
  </si>
  <si>
    <t>Floor slab</t>
  </si>
  <si>
    <t xml:space="preserve">Sump floor slab </t>
  </si>
  <si>
    <t>Sump walls</t>
  </si>
  <si>
    <t>Plinths</t>
  </si>
  <si>
    <t>Apron Slabs</t>
  </si>
  <si>
    <t>Floors and apron slabs</t>
  </si>
  <si>
    <t>Sump floor</t>
  </si>
  <si>
    <t>Filled Joints</t>
  </si>
  <si>
    <t>20 mm wide between 80 mm concrete apron</t>
  </si>
  <si>
    <t>20 mm wide between concrete floor slab and brickwork</t>
  </si>
  <si>
    <t>20 mm joint between brick and concrete</t>
  </si>
  <si>
    <t>Building Work</t>
  </si>
  <si>
    <t>SANS 1200PSLE</t>
  </si>
  <si>
    <t>Polyethylene Sheeting</t>
  </si>
  <si>
    <t>8.2.18</t>
  </si>
  <si>
    <t>250 micron polyethylene underneath strip footing and floor slab including ANT poison to SANS 618</t>
  </si>
  <si>
    <t>SANS 1200PSU</t>
  </si>
  <si>
    <t>Brickwork</t>
  </si>
  <si>
    <t>8.1 (b)</t>
  </si>
  <si>
    <t xml:space="preserve">230mm thick, both faces, face brick </t>
  </si>
  <si>
    <t>Air Bricks</t>
  </si>
  <si>
    <t>170 mm x 170 mm Standard vermin proof air bricks</t>
  </si>
  <si>
    <t>Ironmongery</t>
  </si>
  <si>
    <t>8.8.1</t>
  </si>
  <si>
    <t>Doors and Windows</t>
  </si>
  <si>
    <t xml:space="preserve">Steel doors, frames and windows </t>
  </si>
  <si>
    <t>8.8.1 (b)</t>
  </si>
  <si>
    <t>Double transformer door and frame (1830 wide x 2438 mm high)</t>
  </si>
  <si>
    <t>Standard single steel door and frame (915 wide x 2438 mm high)</t>
  </si>
  <si>
    <t>Roller Door</t>
  </si>
  <si>
    <t>8.8.1(d)</t>
  </si>
  <si>
    <t>Windows SS43 with burglar proofing</t>
  </si>
  <si>
    <t xml:space="preserve">No. </t>
  </si>
  <si>
    <t>Structural Timber</t>
  </si>
  <si>
    <t>8.9 (h)</t>
  </si>
  <si>
    <t>Roof trusses complete: Design, supply, erect and certify by supplier. To include all necessary plates, beams, joists, rafters, purlins, battens, brandering and bracing)</t>
  </si>
  <si>
    <t>Roof Covering</t>
  </si>
  <si>
    <t xml:space="preserve"> (c)</t>
  </si>
  <si>
    <t>Concrete roof tiles to match existing buildings</t>
  </si>
  <si>
    <t>225 mm x 10 mm F.C. facia boards</t>
  </si>
  <si>
    <t>225 mm x 10 mm F.C. barge boards</t>
  </si>
  <si>
    <t>SANS 1200HB</t>
  </si>
  <si>
    <t>CLADDING AND SHEETING</t>
  </si>
  <si>
    <t>Supply and install cladding and sheeting:</t>
  </si>
  <si>
    <t>Roof Sheeting(0.6 mm green chromadek)</t>
  </si>
  <si>
    <t>Gutters</t>
  </si>
  <si>
    <t>8.13 a)</t>
  </si>
  <si>
    <t>Gutters (size and type)</t>
  </si>
  <si>
    <t>8.13 b)</t>
  </si>
  <si>
    <t>Rain water down pipes (size and type)</t>
  </si>
  <si>
    <t>EXISTING WASHWATER PUMP STATION</t>
  </si>
  <si>
    <t>Break out part of existing pump plinths (±800x1250x300mm) and dispose of material (if required)</t>
  </si>
  <si>
    <t>Supply and install R20 dowels, 400mm long, 200mm deep at 300mm c/c, incl of drilling , epoxy in existing concrete as per detail</t>
  </si>
  <si>
    <t>Remove existing footings of water tank outside building and disdpose (if required)</t>
  </si>
  <si>
    <t>sum</t>
  </si>
  <si>
    <t>Footings for wash water tank</t>
  </si>
  <si>
    <t>Structural Timber (Repair)</t>
  </si>
  <si>
    <t>Inspection, reporting and repair of Roof Trusses</t>
  </si>
  <si>
    <t>SUNDRY ITEMS</t>
  </si>
  <si>
    <t>Erect a canopy over the newly installed emergency power generator next to the existing building</t>
  </si>
  <si>
    <t>Fencing</t>
  </si>
  <si>
    <t>Galvanised and PVC coated security fence including a gate around the new emergency generator to be maintenance free and carry a minimum 10 year anti corrosion guarantee.</t>
  </si>
  <si>
    <t>ROOF COVERING</t>
  </si>
  <si>
    <t>Inspection, reporting and repair of Roof Sheeting and Trusses</t>
  </si>
  <si>
    <t>Galvanised mild steel handrail assembly complete</t>
  </si>
  <si>
    <t>PSU 8.8</t>
  </si>
  <si>
    <t>Remove existing internal access door in the MCC Room and brick-up with similar face bricks</t>
  </si>
  <si>
    <t>Remove existing external roller shutter door in the MCC Room and modify brickwork to install double steel door</t>
  </si>
  <si>
    <t>Remove existing external window in the MCC Room and brick-up with face bricks</t>
  </si>
  <si>
    <t>Steel doors, frames and windows</t>
  </si>
  <si>
    <t>Install double transformer door and frame (1830 wide x 2438 mm high) in place of roller shutter door</t>
  </si>
  <si>
    <t>TOTAL FOR SECTION 7 (Carried to Summary)</t>
  </si>
  <si>
    <t>SECTION 8 - EMERGENCY DAM</t>
  </si>
  <si>
    <t>MODIFICATIONS TO OVERFLOW CHANNEL</t>
  </si>
  <si>
    <t xml:space="preserve">Excavate for new flow measuring channel in all materials and use for backfill or dispose </t>
  </si>
  <si>
    <t>0 to 2m deep</t>
  </si>
  <si>
    <t>Importing Materials</t>
  </si>
  <si>
    <t>8.3.4 a)</t>
  </si>
  <si>
    <t xml:space="preserve">Extra-over for importation of materials from commercial sources or from borrow pits </t>
  </si>
  <si>
    <t>SANS 1200 G</t>
  </si>
  <si>
    <t/>
  </si>
  <si>
    <t>Sides of manhole floor</t>
  </si>
  <si>
    <t>Sides of channel</t>
  </si>
  <si>
    <t>Internal and external sides of channel walls</t>
  </si>
  <si>
    <t xml:space="preserve">Internal and  external sides of access manhole </t>
  </si>
  <si>
    <t>25 mm dia - Basic price</t>
  </si>
  <si>
    <t>CONCRETE</t>
  </si>
  <si>
    <t>8.2.8</t>
  </si>
  <si>
    <t>Demolish and remove existing concrete in Emergency Dam outlet using diamond cutting</t>
  </si>
  <si>
    <t>Saw cut 150mm deep into existing concrete overflow to get a straight transition piece</t>
  </si>
  <si>
    <t>Break down existing concrete channel (150mm thick) where new channel are to be constructed</t>
  </si>
  <si>
    <t>Provisional Sum for Modifications to existing infrastructure</t>
  </si>
  <si>
    <t xml:space="preserve">Underneath outlet channel and access manhole </t>
  </si>
  <si>
    <t>Strength Concrete 15/20</t>
  </si>
  <si>
    <t>Mass concrete Benching</t>
  </si>
  <si>
    <t xml:space="preserve">Outlet channel </t>
  </si>
  <si>
    <t xml:space="preserve">Access manhole </t>
  </si>
  <si>
    <t>Unformed surface finishes</t>
  </si>
  <si>
    <t>Top of concrete walls</t>
  </si>
  <si>
    <t xml:space="preserve">Steps in access manhole </t>
  </si>
  <si>
    <t>SS 304 hand stop for opening of 300x200</t>
  </si>
  <si>
    <t>PSVC</t>
  </si>
  <si>
    <t>GRP PRODUCTS</t>
  </si>
  <si>
    <t xml:space="preserve">GRP weir plate 6mm thick </t>
  </si>
  <si>
    <t>TOTAL FOR SECTION 8 (Carried to Summary)</t>
  </si>
  <si>
    <t>SECTION 9 - MECHANICAL EQUIPMENT</t>
  </si>
  <si>
    <t>ITEM</t>
  </si>
  <si>
    <t>PAYMENT</t>
  </si>
  <si>
    <t>NO</t>
  </si>
  <si>
    <t>CLAUSE</t>
  </si>
  <si>
    <t>PSMW</t>
  </si>
  <si>
    <t>MECHANICAL EQUIPMENT</t>
  </si>
  <si>
    <t>Remove (to Contractor's workshop off site), Inspect and Conduct conditional assessment of exisitng equipment</t>
  </si>
  <si>
    <t xml:space="preserve">Coarse screens </t>
  </si>
  <si>
    <t>Fine screens</t>
  </si>
  <si>
    <t xml:space="preserve">Vortex degritter air lift pumps </t>
  </si>
  <si>
    <t>Biological reactor mixers</t>
  </si>
  <si>
    <t xml:space="preserve">Refurbishment of existing equipment </t>
  </si>
  <si>
    <t>Transport existing equipment from the Contractor's workshop back to site</t>
  </si>
  <si>
    <t xml:space="preserve">Disposal of existing equipment </t>
  </si>
  <si>
    <t xml:space="preserve">Design, Manufacture and Delivery of screenings equipment in accordance with the specification </t>
  </si>
  <si>
    <t>Complete mechanically front raked coarse screen with 12mm aperture in accordance with the specification</t>
  </si>
  <si>
    <r>
      <t xml:space="preserve">Complete mechanically front raked fine screens with </t>
    </r>
    <r>
      <rPr>
        <sz val="10"/>
        <rFont val="Arial"/>
        <family val="2"/>
      </rPr>
      <t>6mm</t>
    </r>
    <r>
      <rPr>
        <sz val="10"/>
        <color indexed="8"/>
        <rFont val="Arial"/>
        <family val="2"/>
      </rPr>
      <t xml:space="preserve"> aperture in accordance with the specification </t>
    </r>
  </si>
  <si>
    <t xml:space="preserve">Complete trash screen accordance with the specification </t>
  </si>
  <si>
    <t xml:space="preserve">Design, Manufacture and Delivery of screenings handling equipment in accordance with the specification </t>
  </si>
  <si>
    <t xml:space="preserve">Complete screenings hydro-conveyor in accordance with the specification </t>
  </si>
  <si>
    <t xml:space="preserve">Complete washer compactor in accordance with the specification </t>
  </si>
  <si>
    <t xml:space="preserve">Complete screenings screw conveyor in accordance with the specification </t>
  </si>
  <si>
    <t>Design, Manufacture and Delivery of Mechanical Equipment for the Emergency Overflow Dam Pump Station In accordance with the Specification</t>
  </si>
  <si>
    <t>9.1.1</t>
  </si>
  <si>
    <t>Centrifugal pumps complete with motor, base plate, coupling, and coupling guard.</t>
  </si>
  <si>
    <t>9.1.2</t>
  </si>
  <si>
    <t>Suction and Discharge pipe work, valves, fittings and pipe supports.</t>
  </si>
  <si>
    <t>9.1.3</t>
  </si>
  <si>
    <t>Pump Station sump drainage pump</t>
  </si>
  <si>
    <t>Installation, testing and commissioning of Mechanically operated penstocks in accordance with the Specification</t>
  </si>
  <si>
    <t>9.1.4</t>
  </si>
  <si>
    <t>Manually operated penstocks complete as specified - to be mounted on concrete wall to suit a 1500 x 1500 opening (See drawing 10367-04-08)</t>
  </si>
  <si>
    <t>9.2</t>
  </si>
  <si>
    <t>Design, Manufacture and Delivery of Mechanical Equipment for the Secondary Scum Pump Station In accordance with the Specification</t>
  </si>
  <si>
    <t>9.2.1</t>
  </si>
  <si>
    <t>Centrifugal pumps complete with motor, base plate, coupling and coupling guard.</t>
  </si>
  <si>
    <t>9.2.2</t>
  </si>
  <si>
    <t>9.2.3</t>
  </si>
  <si>
    <t>9.2.4</t>
  </si>
  <si>
    <t>Mixers</t>
  </si>
  <si>
    <t>Sand Filters</t>
  </si>
  <si>
    <t>Wash water storage tanks (Volume: m3)</t>
  </si>
  <si>
    <t>9.3</t>
  </si>
  <si>
    <t>Design, Manufacture and Delivery of Mechanical Equipment for the Subsoil Drainage and Leak Detection Manholes In accordance with the Specification</t>
  </si>
  <si>
    <t>9.3.1</t>
  </si>
  <si>
    <t>Submersible pumps complete with motor and level control.</t>
  </si>
  <si>
    <t>9.3.2</t>
  </si>
  <si>
    <t>Discharge pipe work, valves, fittings and pipe supports.</t>
  </si>
  <si>
    <t>INSTALLATION AND COMMISSIONING OF THE MECHANICAL EQUIPMENT AT PUMP STATIONS</t>
  </si>
  <si>
    <t>Installation, testing and commissioning of equipment for the Mechanical Equipment for the Pump Stations  in accordance with the Specification</t>
  </si>
  <si>
    <t>9.4.1</t>
  </si>
  <si>
    <t>Complete Equipment as supplied under item 9.1.1</t>
  </si>
  <si>
    <t>9.4.2</t>
  </si>
  <si>
    <t>Complete Equipment as supplied under item 9.1.3</t>
  </si>
  <si>
    <t>9.4.3</t>
  </si>
  <si>
    <t>Complete Equipment as supplied under item 9.2.1</t>
  </si>
  <si>
    <t>9.4.4</t>
  </si>
  <si>
    <t>Complete Equipment as supplied under item 9.2.3</t>
  </si>
  <si>
    <t>Complete Equipment as supplied under item 9.2.4</t>
  </si>
  <si>
    <t>9.4.5</t>
  </si>
  <si>
    <t>Complete Equipment as supplied under item 9.3.1</t>
  </si>
  <si>
    <t>TOTAL FOR SECTION 9 (Carried to Summary)</t>
  </si>
  <si>
    <t>SECTION 10 - ELECTRICAL AND CONTROL AND INSTRUMENTATION</t>
  </si>
  <si>
    <t>TENDER COST</t>
  </si>
  <si>
    <t>Final Account Estimate</t>
  </si>
  <si>
    <t>ITEM
NO</t>
  </si>
  <si>
    <t>PAYMENT
CLAUSE</t>
  </si>
  <si>
    <t xml:space="preserve">SUPPLY AND DELIVERY </t>
  </si>
  <si>
    <t>(INSTRUMENTATION WORKS)</t>
  </si>
  <si>
    <t>Supply and delivery of Instrumentation</t>
  </si>
  <si>
    <t>10.1.1</t>
  </si>
  <si>
    <t>Area-Velocity flow meters</t>
  </si>
  <si>
    <t>10.1.2</t>
  </si>
  <si>
    <t>Instrument junction boxes for area-velocity flow meters</t>
  </si>
  <si>
    <t>10.1.3</t>
  </si>
  <si>
    <t>Ultrasonic level meter</t>
  </si>
  <si>
    <t>10.1.4</t>
  </si>
  <si>
    <t>Instrument junction boxes for ultrasonic level meters</t>
  </si>
  <si>
    <t>10.1.5</t>
  </si>
  <si>
    <t>Electromagnetic flow meters</t>
  </si>
  <si>
    <t>10.1.6</t>
  </si>
  <si>
    <t>Instrument junction boxes for electromagnetic flow meters</t>
  </si>
  <si>
    <t>10.1.7</t>
  </si>
  <si>
    <t>Instrument junction box for Instrument cable Interface</t>
  </si>
  <si>
    <t>PLCs</t>
  </si>
  <si>
    <t>Supply and delivery of PLC Equipment :-</t>
  </si>
  <si>
    <t>10.2.1</t>
  </si>
  <si>
    <t>32-Channel, relay digital output  card for Schneider Premium PLC, complete with sub-bases and connecting cables</t>
  </si>
  <si>
    <t>10.2.2</t>
  </si>
  <si>
    <t>8-Channel, 4-20mA analogue input card for Schneider Premium PLC, complete with sub-base &amp; connecting cable</t>
  </si>
  <si>
    <t>10.2.3</t>
  </si>
  <si>
    <t>16-Channel, 230V AC digital input cards for Schneider Premium PLC, complete with terminal block</t>
  </si>
  <si>
    <t>64-Channel, 24V DC digital input cards for Schneider Premium PLC, complete with terminal block</t>
  </si>
  <si>
    <t>C&amp;I CABLE</t>
  </si>
  <si>
    <t>Supply and delivery of C&amp;I cable :-</t>
  </si>
  <si>
    <t>10.3.1</t>
  </si>
  <si>
    <t>1.5 mm², 37-core PVC, SWA, PVC, PVC, Cu</t>
  </si>
  <si>
    <t>10.3.2</t>
  </si>
  <si>
    <t>1.5 mm², 12-core PVC, SWA, PVC, PVC, Cu</t>
  </si>
  <si>
    <t>10.3.3</t>
  </si>
  <si>
    <t>1.5 mm², 4-core PVC, SWA, PVC, PVC, Cu</t>
  </si>
  <si>
    <t>10.3.4</t>
  </si>
  <si>
    <t>2.5 mm², 3-core PVC, SWA, PVC, PVC, Cu</t>
  </si>
  <si>
    <t>10.3.5</t>
  </si>
  <si>
    <r>
      <t>2-pair, 0.5 mm</t>
    </r>
    <r>
      <rPr>
        <vertAlign val="superscript"/>
        <sz val="11"/>
        <rFont val="Arial"/>
        <family val="2"/>
      </rPr>
      <t>2</t>
    </r>
    <r>
      <rPr>
        <sz val="11"/>
        <rFont val="Arial"/>
        <family val="2"/>
      </rPr>
      <t>, PVC, SWA, PVC, IOS</t>
    </r>
  </si>
  <si>
    <t>10.3.6</t>
  </si>
  <si>
    <r>
      <t>12-pair, 0.5 mm</t>
    </r>
    <r>
      <rPr>
        <vertAlign val="superscript"/>
        <sz val="11"/>
        <rFont val="Arial"/>
        <family val="2"/>
      </rPr>
      <t>2</t>
    </r>
    <r>
      <rPr>
        <sz val="11"/>
        <rFont val="Arial"/>
        <family val="2"/>
      </rPr>
      <t>, PVC, SWA, PVC, IOS</t>
    </r>
  </si>
  <si>
    <t>10.3.7</t>
  </si>
  <si>
    <t>CAT-6 Cable</t>
  </si>
  <si>
    <t>5m lengths</t>
  </si>
  <si>
    <t>10.3.8</t>
  </si>
  <si>
    <t>C&amp;I CABLE RACKING</t>
  </si>
  <si>
    <t>Supply and delivery of C&amp;I cable racking:-</t>
  </si>
  <si>
    <t>10.4.1</t>
  </si>
  <si>
    <t>1000mm wide cable rack</t>
  </si>
  <si>
    <t>10.4.2</t>
  </si>
  <si>
    <t>800mm wide cable rack</t>
  </si>
  <si>
    <t>10.4.3</t>
  </si>
  <si>
    <t>600mm wide cable rack</t>
  </si>
  <si>
    <t>10.4.4</t>
  </si>
  <si>
    <t>300mm wide cable rack</t>
  </si>
  <si>
    <t>10.4.5</t>
  </si>
  <si>
    <t>150mm wide cable rack</t>
  </si>
  <si>
    <t>10.4.6</t>
  </si>
  <si>
    <t>1000mm T-pieces</t>
  </si>
  <si>
    <t>No.ch</t>
  </si>
  <si>
    <t>10.4.7</t>
  </si>
  <si>
    <t>1000mm 90degree bends</t>
  </si>
  <si>
    <t>10.4.8</t>
  </si>
  <si>
    <t>800mm T-pieces</t>
  </si>
  <si>
    <t>10.4.9</t>
  </si>
  <si>
    <t>800mm 90degree bends</t>
  </si>
  <si>
    <t>10.4.10</t>
  </si>
  <si>
    <t>600mm T-pieces</t>
  </si>
  <si>
    <t>10.4.11</t>
  </si>
  <si>
    <t>600mm 90degree bends</t>
  </si>
  <si>
    <t>10.4.12</t>
  </si>
  <si>
    <t>300mm T-pieces</t>
  </si>
  <si>
    <t>10.4.13</t>
  </si>
  <si>
    <t>300mm 90degree bends</t>
  </si>
  <si>
    <t>10.4.14</t>
  </si>
  <si>
    <t>150mm T-pieces</t>
  </si>
  <si>
    <t>10.4.15</t>
  </si>
  <si>
    <t>150mm 90degree bends</t>
  </si>
  <si>
    <t>TRAINING</t>
  </si>
  <si>
    <t>Training of C&amp;I Personnel</t>
  </si>
  <si>
    <t>10.5.1</t>
  </si>
  <si>
    <t>Allow a cost for training of site staff as specified</t>
  </si>
  <si>
    <t>SPARES</t>
  </si>
  <si>
    <t>C&amp;I Maintenance Spares</t>
  </si>
  <si>
    <t>10.6.1</t>
  </si>
  <si>
    <t>Allow a cost for recommended list of C&amp;I maintenance spares as specified</t>
  </si>
  <si>
    <t>C&amp;I Trenching (Supply &amp; Deliver)</t>
  </si>
  <si>
    <t>10.7.1</t>
  </si>
  <si>
    <t>Trenching with sleeves, soft sand backfill, tiles, danger tape and route markers.</t>
  </si>
  <si>
    <t xml:space="preserve"> INSTALL, TEST AND COMMISSION</t>
  </si>
  <si>
    <t>Installation Testing And Commissioning of Instrumentation</t>
  </si>
  <si>
    <t>10.8.1</t>
  </si>
  <si>
    <t>10.8.2</t>
  </si>
  <si>
    <t>10.8.3</t>
  </si>
  <si>
    <t>10.8.4</t>
  </si>
  <si>
    <t>10.8.5</t>
  </si>
  <si>
    <t>10.8.6</t>
  </si>
  <si>
    <t>10.8.7</t>
  </si>
  <si>
    <t>Instrument junction boxes for Instrument Interface</t>
  </si>
  <si>
    <t>Installation Testing And Commissioning of PLC Equipment :-</t>
  </si>
  <si>
    <t>10.9.1</t>
  </si>
  <si>
    <t>32-Channel, relay digital output  card for Schneider Premium PLC, complete with sub-bases, connecting cables, surge protection, terminals, etc.</t>
  </si>
  <si>
    <t>10.9.2</t>
  </si>
  <si>
    <t>8-Channel, 4-20mA analogue input card for Schneider Premium PLC, complete with sub-base, connecting cable, surge protection, terminals, etc.</t>
  </si>
  <si>
    <t>10.9.3</t>
  </si>
  <si>
    <t>16-Channel, 230V AC digital input cards for Schneider Premium PLC, complete with terminal block, surge protection, terminals, etc.</t>
  </si>
  <si>
    <t>Installation Testing And Commissioning of C&amp;I cable :-</t>
  </si>
  <si>
    <t>10.10.1</t>
  </si>
  <si>
    <t>10.10.2</t>
  </si>
  <si>
    <t>10.10.3</t>
  </si>
  <si>
    <t>10.10.4</t>
  </si>
  <si>
    <t>10.10.5</t>
  </si>
  <si>
    <t>10.10.6</t>
  </si>
  <si>
    <t>10.10.7</t>
  </si>
  <si>
    <t>10.10.8</t>
  </si>
  <si>
    <t>Termination of C&amp;I cable :-</t>
  </si>
  <si>
    <t>10.11.1</t>
  </si>
  <si>
    <t>Ends</t>
  </si>
  <si>
    <t>10.11.2</t>
  </si>
  <si>
    <t>10.11.3</t>
  </si>
  <si>
    <t>10.11.4</t>
  </si>
  <si>
    <t>10.11.5</t>
  </si>
  <si>
    <t>10.11.6</t>
  </si>
  <si>
    <t>10.11.7</t>
  </si>
  <si>
    <t>INSTALL, TEST AND COMMISSION</t>
  </si>
  <si>
    <t>Installation, Testing &amp; Commissioning of C&amp;I Cable Racking:-</t>
  </si>
  <si>
    <t>10.12.1</t>
  </si>
  <si>
    <t>10.12.2</t>
  </si>
  <si>
    <t>10.12.3</t>
  </si>
  <si>
    <t>10.12.4</t>
  </si>
  <si>
    <t>10.12.5</t>
  </si>
  <si>
    <t>10.12.6</t>
  </si>
  <si>
    <t>10.12.7</t>
  </si>
  <si>
    <t>10.12.8</t>
  </si>
  <si>
    <t>10.12.9</t>
  </si>
  <si>
    <t>10.12.10</t>
  </si>
  <si>
    <t>10.12.11</t>
  </si>
  <si>
    <t>10.12.12</t>
  </si>
  <si>
    <t>10.12.13</t>
  </si>
  <si>
    <t>10.12.14</t>
  </si>
  <si>
    <t>10.12.15</t>
  </si>
  <si>
    <t>C&amp;I Trenching (Install, Test &amp; Commission)</t>
  </si>
  <si>
    <t>10.13.1</t>
  </si>
  <si>
    <t>SUPPLY AND DELIVERY (ELECTRICAL WORKS)</t>
  </si>
  <si>
    <t>EQUIPMENT</t>
  </si>
  <si>
    <t>Supply and delivery of the following equipment:-</t>
  </si>
  <si>
    <t>10.14.1</t>
  </si>
  <si>
    <t>PSY 1.3</t>
  </si>
  <si>
    <t>New Emergency Dam Pump Station MCC</t>
  </si>
  <si>
    <t>10.14.2</t>
  </si>
  <si>
    <t>New Scum Pump Station MCC</t>
  </si>
  <si>
    <t>10.14.3</t>
  </si>
  <si>
    <t>Stop/Start Isolator Stations</t>
  </si>
  <si>
    <t>10.14.4</t>
  </si>
  <si>
    <t xml:space="preserve">New 150A Moulded Case Circuit Breaker at the Bio Reactor MCC </t>
  </si>
  <si>
    <t>10.14.5</t>
  </si>
  <si>
    <t>New 630A Moulded Case Circuit Breaker at the Balancing Tank Mini-Sub</t>
  </si>
  <si>
    <t>10.14.6</t>
  </si>
  <si>
    <t>New 400A Moulded Case Circuit Breaker at the Balancing Tank Mini-Sub</t>
  </si>
  <si>
    <t>EARTHING AND LIGHTING PROTECTION</t>
  </si>
  <si>
    <t>10.15.1</t>
  </si>
  <si>
    <t>PSY 1.5</t>
  </si>
  <si>
    <t>Earthing and Lightning Protection Emergency Dam Pump Station</t>
  </si>
  <si>
    <t>10.15.2</t>
  </si>
  <si>
    <t>Earthing and Lightning Protection Scum Pump Station</t>
  </si>
  <si>
    <t>SMALL POWER AND LIGHTING EQUIPMENT</t>
  </si>
  <si>
    <t>10.16.1</t>
  </si>
  <si>
    <t>PSY 1.7</t>
  </si>
  <si>
    <t>Emergency Overflow Dam Pump Station Small Power and Lighting DB</t>
  </si>
  <si>
    <t>10.16.2</t>
  </si>
  <si>
    <t>New Scum Pump Station Small Power and Lighting DB</t>
  </si>
  <si>
    <t>10.16.3</t>
  </si>
  <si>
    <t>250 W MH Floodlight (IP65 ingress protection wide beam, hail proof, corrosion proof and vandal resistant) complete with mounting accessories</t>
  </si>
  <si>
    <t>10.16.4</t>
  </si>
  <si>
    <t>150 W HPS Bulkhead (IP65 ingress protection, glass diffuser) complete with mounting accessories</t>
  </si>
  <si>
    <t>10.16.5</t>
  </si>
  <si>
    <t>2 x 58 W industrial corrosion resistant fluorescent (IP65 ingress protection) complete with mounting accessories</t>
  </si>
  <si>
    <t>10.16.6</t>
  </si>
  <si>
    <t>2 x 58 W industrial corrosion resistant fluorescent (IP65 ingress protection) with built in emergency back-up -1hour with 50% light output - complete with mounting accessories</t>
  </si>
  <si>
    <t>10.16.7</t>
  </si>
  <si>
    <t>Photocell (Rated for 16 A at 230 V)</t>
  </si>
  <si>
    <t>10.16.8</t>
  </si>
  <si>
    <t>16 A industrial type single socket outlet</t>
  </si>
  <si>
    <t>10.16.9</t>
  </si>
  <si>
    <t>16 A industrial type switch socket outlet</t>
  </si>
  <si>
    <t>10.16.10</t>
  </si>
  <si>
    <t>16 A industrial type double switch socket outlet</t>
  </si>
  <si>
    <t>10.16.11</t>
  </si>
  <si>
    <t>63 A welding socket outlet, 4 pin round type, IP65</t>
  </si>
  <si>
    <t>10.16.12</t>
  </si>
  <si>
    <t>1-way industrial light switch</t>
  </si>
  <si>
    <t>10.16.13</t>
  </si>
  <si>
    <t>2-way industrial type light switch</t>
  </si>
  <si>
    <t>10.16.14</t>
  </si>
  <si>
    <t>25 mm Bosal (Galvanised Steel) conduit (c/w with mounting saddles and mounting accessories)</t>
  </si>
  <si>
    <t>CABLE RACKING</t>
  </si>
  <si>
    <t>Supply and delivery of the following cable racks and accessories-</t>
  </si>
  <si>
    <t>10.17.1</t>
  </si>
  <si>
    <t>PSY 1.9</t>
  </si>
  <si>
    <t>800 mm wide heavy duty cable rack (including all mounting accessories)</t>
  </si>
  <si>
    <t>10.17.2</t>
  </si>
  <si>
    <t>800 mm wide heavy duty T-Pieces (including all mounting accessories)</t>
  </si>
  <si>
    <t>10.17.3</t>
  </si>
  <si>
    <r>
      <t>800 mm wide heavy duty 90</t>
    </r>
    <r>
      <rPr>
        <vertAlign val="superscript"/>
        <sz val="11"/>
        <rFont val="Arial"/>
        <family val="2"/>
      </rPr>
      <t>o</t>
    </r>
    <r>
      <rPr>
        <sz val="11"/>
        <rFont val="Arial"/>
        <family val="2"/>
      </rPr>
      <t xml:space="preserve"> Bends (including all mounting accessories)</t>
    </r>
  </si>
  <si>
    <t>10.17.4</t>
  </si>
  <si>
    <t>400 mm wide heavy duty cable rack (including all mounting accessories)</t>
  </si>
  <si>
    <t>10.17.5</t>
  </si>
  <si>
    <t>400 mm wide heavy duty T-Pieces (including all mounting accessories)</t>
  </si>
  <si>
    <t>10.17.6</t>
  </si>
  <si>
    <r>
      <t>400 mm wide heavy duty 90</t>
    </r>
    <r>
      <rPr>
        <vertAlign val="superscript"/>
        <sz val="11"/>
        <rFont val="Arial"/>
        <family val="2"/>
      </rPr>
      <t>o</t>
    </r>
    <r>
      <rPr>
        <sz val="11"/>
        <rFont val="Arial"/>
        <family val="2"/>
      </rPr>
      <t xml:space="preserve"> Bends (including all mounting accessories)</t>
    </r>
  </si>
  <si>
    <t>10.17.7</t>
  </si>
  <si>
    <t>300 mm wide heavy duty cable rack (including all mounting accessories)</t>
  </si>
  <si>
    <t>10.17.8</t>
  </si>
  <si>
    <t>300 mm wide heavy duty T-Pieces (including all mounting accessories)</t>
  </si>
  <si>
    <t>10.17.9</t>
  </si>
  <si>
    <r>
      <t>300 mm wide heavy duty 90</t>
    </r>
    <r>
      <rPr>
        <vertAlign val="superscript"/>
        <sz val="11"/>
        <rFont val="Arial"/>
        <family val="2"/>
      </rPr>
      <t>o</t>
    </r>
    <r>
      <rPr>
        <sz val="11"/>
        <rFont val="Arial"/>
        <family val="2"/>
      </rPr>
      <t xml:space="preserve"> Bends (including all mounting accessories)</t>
    </r>
  </si>
  <si>
    <t>200 mm wide heavy duty cable rack (including all mounting accessories)</t>
  </si>
  <si>
    <t>200 mm wide heavy duty T-Pieces (including all mounting accessories)</t>
  </si>
  <si>
    <r>
      <t>200 mm wide heavy duty 90</t>
    </r>
    <r>
      <rPr>
        <vertAlign val="superscript"/>
        <sz val="11"/>
        <rFont val="Arial"/>
        <family val="2"/>
      </rPr>
      <t>o</t>
    </r>
    <r>
      <rPr>
        <sz val="11"/>
        <rFont val="Arial"/>
        <family val="2"/>
      </rPr>
      <t xml:space="preserve"> Bends (including all mounting accessories)</t>
    </r>
  </si>
  <si>
    <t>10.17.10</t>
  </si>
  <si>
    <t>PSY 1.10</t>
  </si>
  <si>
    <t>Cable rack covers</t>
  </si>
  <si>
    <t xml:space="preserve">CABLES </t>
  </si>
  <si>
    <t>Supply and delivery of electrical cables :-</t>
  </si>
  <si>
    <t>10.18.1</t>
  </si>
  <si>
    <t>PSY 1.6</t>
  </si>
  <si>
    <t>120 mm², 4-core PVC/SWA/PVC/PVC/Cu 600/1000V</t>
  </si>
  <si>
    <t>10.18.2</t>
  </si>
  <si>
    <t>95 mm², 4-core PVC/SWA/PVC/PVC/Cu 600/1000V</t>
  </si>
  <si>
    <t>10.18.3</t>
  </si>
  <si>
    <t>50 mm², 4-core PVC/SWA/PVC/PVC/Cu 600/1000V</t>
  </si>
  <si>
    <t>25 mm², 4-core PVC/SWA/PVC/PVC/Cu 600/1000V</t>
  </si>
  <si>
    <t>16 mm², 4-core PVC/SWA/PVC/PVC/Cu 600/1000V</t>
  </si>
  <si>
    <t>10.18.4</t>
  </si>
  <si>
    <t>10 mm², 4-core PVC/SWA/PVC/PVC/Cu 600/1000V</t>
  </si>
  <si>
    <t>10.18.5</t>
  </si>
  <si>
    <t>2.5 mm², 4-core PVC/SWA/PVC/PVC/Cu 600/1000V</t>
  </si>
  <si>
    <t>10.18.6</t>
  </si>
  <si>
    <t>2.5 mm², 3-core PVC/SWA/PVC/PVC/Cu 600/1000V</t>
  </si>
  <si>
    <t>10.18.7</t>
  </si>
  <si>
    <t>2.5 mm², 12-core PVC/SWA/PVC/PVC/Cu 600/1000V</t>
  </si>
  <si>
    <t>10.18.8</t>
  </si>
  <si>
    <t>2.5 mm², 19-core PVC/SWA/PVC/PVC/Cu 600/1000V</t>
  </si>
  <si>
    <t>10.18.9</t>
  </si>
  <si>
    <t>2.5 mm², 1-core Insulated Copper Earth Wire</t>
  </si>
  <si>
    <t>10.18.10</t>
  </si>
  <si>
    <t>6 mm², 1-core Insulated Copper Earth Wire</t>
  </si>
  <si>
    <t>10 mm², 1-core Insulated Copper Earth Wire</t>
  </si>
  <si>
    <t>16 mm², 1-core Insulated Copper Earth Wire</t>
  </si>
  <si>
    <t>10.18.11</t>
  </si>
  <si>
    <t>25 mm², 1-core Insulated Copper Earth Wire</t>
  </si>
  <si>
    <t>10.18.12</t>
  </si>
  <si>
    <t>50 mm², 1-core Insulated Copper Earth Wire</t>
  </si>
  <si>
    <t>10.18.13</t>
  </si>
  <si>
    <t>95 mm², 1-core Insulated Copper Earth Wire</t>
  </si>
  <si>
    <t>COMMISSIONING</t>
  </si>
  <si>
    <t>Supply and delivery of spares :-</t>
  </si>
  <si>
    <t>10.19.1</t>
  </si>
  <si>
    <t>Commissioning Spares</t>
  </si>
  <si>
    <t>10.19.2</t>
  </si>
  <si>
    <t>Commissioning Assistance</t>
  </si>
  <si>
    <t>hours</t>
  </si>
  <si>
    <t>DOCUMENTATION</t>
  </si>
  <si>
    <t>Certificates, Manuals and QA</t>
  </si>
  <si>
    <t>10.20.1</t>
  </si>
  <si>
    <t xml:space="preserve">Certificate of Compliance </t>
  </si>
  <si>
    <t>10.20.2</t>
  </si>
  <si>
    <t>QA documentation for all equipment supplied</t>
  </si>
  <si>
    <t>INSTALL, TEST AND COMMISSION (ELECTRICAL WORKS)</t>
  </si>
  <si>
    <t>Installation Testing And Commissioning of the following equipment:-</t>
  </si>
  <si>
    <t>10.21.2</t>
  </si>
  <si>
    <t>New Emergency Overflow Dam Pump Station MCC</t>
  </si>
  <si>
    <t>10.21.3</t>
  </si>
  <si>
    <t>10.21.4</t>
  </si>
  <si>
    <t>10.21.5</t>
  </si>
  <si>
    <t>10.21.6</t>
  </si>
  <si>
    <t>10.21.7</t>
  </si>
  <si>
    <t>Installation Testing And Commissioning  of the following equipment:-</t>
  </si>
  <si>
    <t>10.22.1</t>
  </si>
  <si>
    <t>10.22.2</t>
  </si>
  <si>
    <t>10.22.3</t>
  </si>
  <si>
    <t>Removal of g-block paving to allow for the entire Earthing and lightning protection installation</t>
  </si>
  <si>
    <t>lot</t>
  </si>
  <si>
    <t>Installation Testing And Commissioning the following equipment:-</t>
  </si>
  <si>
    <t>10.23.1</t>
  </si>
  <si>
    <t>10.23.2</t>
  </si>
  <si>
    <t>10.23.3</t>
  </si>
  <si>
    <t>10.23.4</t>
  </si>
  <si>
    <t>150 W HPS Floodlight (IP65 ingress protection, wide beam, hail proof, corrosion proof and vandal resistant) complete with mounting accessories</t>
  </si>
  <si>
    <t>10.23.5</t>
  </si>
  <si>
    <t>10.23.6</t>
  </si>
  <si>
    <t>10.23.7</t>
  </si>
  <si>
    <t>10.23.8</t>
  </si>
  <si>
    <t>2 x 18 W CFL Bulkhead with built in emergency back-up -1 hour with 30% light output - complete with mounting accessories</t>
  </si>
  <si>
    <t>10.23.9</t>
  </si>
  <si>
    <t>10.23.10</t>
  </si>
  <si>
    <t>10.23.11</t>
  </si>
  <si>
    <t>10.23.12</t>
  </si>
  <si>
    <t>10.23.13</t>
  </si>
  <si>
    <t>10.23.14</t>
  </si>
  <si>
    <t>63 A welding socket outlet, 5 pin round type, IP65</t>
  </si>
  <si>
    <t>10.23.15</t>
  </si>
  <si>
    <t>10.23.16</t>
  </si>
  <si>
    <t>SMALL POWER AND LIGHTING EQUIPMENT (CONTINUED)</t>
  </si>
  <si>
    <t>10.24.1</t>
  </si>
  <si>
    <t>CABLE TRENCHING</t>
  </si>
  <si>
    <t>Excavation (and supply and installation of materials) of the following cable trenches and road crossings:-</t>
  </si>
  <si>
    <t>10.25.1</t>
  </si>
  <si>
    <t>PSY 1.8</t>
  </si>
  <si>
    <t>500 wide, 1000 deep trench pickable soil (Including making good of surface afterwards)</t>
  </si>
  <si>
    <t>10.25.2</t>
  </si>
  <si>
    <t>200 wide, 500 deep trench pickable soil (Including making good of surface afterwards)</t>
  </si>
  <si>
    <t>10.25.6</t>
  </si>
  <si>
    <t>Allow a provisional sum for dealing with services (crossing of services and/or moving of services)</t>
  </si>
  <si>
    <t>Prov.</t>
  </si>
  <si>
    <t>10.25.7</t>
  </si>
  <si>
    <t>Allow a provisional sum for interfacing with existing electrical installations</t>
  </si>
  <si>
    <t>Installation of the following cable racks and accessories:-</t>
  </si>
  <si>
    <t>10.26.1</t>
  </si>
  <si>
    <t>10.26.2</t>
  </si>
  <si>
    <t>10.26.3</t>
  </si>
  <si>
    <t>10.26.4</t>
  </si>
  <si>
    <t>10.26.5</t>
  </si>
  <si>
    <t>10.26.6</t>
  </si>
  <si>
    <t>10.26.7</t>
  </si>
  <si>
    <t>10.26.8</t>
  </si>
  <si>
    <t>10.26.9</t>
  </si>
  <si>
    <t>10.26.10</t>
  </si>
  <si>
    <t>10.26.11</t>
  </si>
  <si>
    <t>10.26.12</t>
  </si>
  <si>
    <t>10.26.13</t>
  </si>
  <si>
    <t>CABLES (CONTINUED)</t>
  </si>
  <si>
    <t>Installation, Testing and Commissioning of the following electrical cables:-</t>
  </si>
  <si>
    <t>10.27.1</t>
  </si>
  <si>
    <t>10.27.2</t>
  </si>
  <si>
    <t>10.27.3</t>
  </si>
  <si>
    <t>10.27.4</t>
  </si>
  <si>
    <t>10.27.5</t>
  </si>
  <si>
    <t>10.27.6</t>
  </si>
  <si>
    <t>10.27.7</t>
  </si>
  <si>
    <t>10.27.8</t>
  </si>
  <si>
    <t>10.27.9</t>
  </si>
  <si>
    <t>10.27.10</t>
  </si>
  <si>
    <t>10.27.11</t>
  </si>
  <si>
    <t>10.27.12</t>
  </si>
  <si>
    <t>10.27.13</t>
  </si>
  <si>
    <t>Termination of the following electrical cables:-</t>
  </si>
  <si>
    <t>10.28.1</t>
  </si>
  <si>
    <t>ends</t>
  </si>
  <si>
    <t>10.28.2</t>
  </si>
  <si>
    <t>10.28.3</t>
  </si>
  <si>
    <t>10.28.4</t>
  </si>
  <si>
    <t>10.28.5</t>
  </si>
  <si>
    <t>10.28.6</t>
  </si>
  <si>
    <t>10.28.7</t>
  </si>
  <si>
    <t>10.28.8</t>
  </si>
  <si>
    <t>10.28.9</t>
  </si>
  <si>
    <t>10.28.10</t>
  </si>
  <si>
    <t>10.28.11</t>
  </si>
  <si>
    <t>10.28.12</t>
  </si>
  <si>
    <t>TOTAL FOR SECTION 10 (Carried to Summary)</t>
  </si>
  <si>
    <t>ELECTRICAL</t>
  </si>
  <si>
    <t>CONTROL AND INSTRUMENTATION</t>
  </si>
  <si>
    <t>PRELIMINARY AND GENERAL</t>
  </si>
  <si>
    <t>VARIATION ORDERS</t>
  </si>
  <si>
    <t>Variation Orders</t>
  </si>
  <si>
    <t>Amount</t>
  </si>
  <si>
    <t>V01</t>
  </si>
  <si>
    <t>MOVE EXISTING F/M PANELS APPROX</t>
  </si>
  <si>
    <t>V02</t>
  </si>
  <si>
    <t>INTERLOCK PANEL</t>
  </si>
  <si>
    <t>V03</t>
  </si>
  <si>
    <t>STANDS</t>
  </si>
  <si>
    <t>V04</t>
  </si>
  <si>
    <t>PLC CARD</t>
  </si>
  <si>
    <t>V05</t>
  </si>
  <si>
    <t>37KW START STOP APPROX</t>
  </si>
  <si>
    <t>V06</t>
  </si>
  <si>
    <t>VFA Screens</t>
  </si>
  <si>
    <t>V07</t>
  </si>
  <si>
    <t>Scum Pump station Lights</t>
  </si>
  <si>
    <t>V08</t>
  </si>
  <si>
    <t>V09</t>
  </si>
  <si>
    <t>V10</t>
  </si>
  <si>
    <t>V11</t>
  </si>
  <si>
    <t>V12</t>
  </si>
  <si>
    <t>V13</t>
  </si>
  <si>
    <t>V14</t>
  </si>
  <si>
    <t>SECTION 9 - LIME PLANT</t>
  </si>
  <si>
    <t>LIME PLANT</t>
  </si>
  <si>
    <t>Break out part of existing Lime Silo plinths (±300x300x500mm) and dispose of material</t>
  </si>
  <si>
    <t>Excavate for new Lime Silo bunded area and use for backfill or dispose</t>
  </si>
  <si>
    <t xml:space="preserve">Extra-over for </t>
  </si>
  <si>
    <t xml:space="preserve">Intermediate excavation </t>
  </si>
  <si>
    <t xml:space="preserve">Hard rock excavation </t>
  </si>
  <si>
    <t>Demolish Exisiting Road</t>
  </si>
  <si>
    <t>Stabilisation with 3% Normal Portland Cement</t>
  </si>
  <si>
    <t>SANS 1200 MJ</t>
  </si>
  <si>
    <t>PAVING</t>
  </si>
  <si>
    <t xml:space="preserve"> 300 x 150mm Barrier Kerb (Straight) Fig 3</t>
  </si>
  <si>
    <t>Complete construction of paving using 80mm thick concrete blocks including 25mm river sand</t>
  </si>
  <si>
    <t>Cutting units to fit edge restraints</t>
  </si>
  <si>
    <t>Internal and external faces of bund walls</t>
  </si>
  <si>
    <t xml:space="preserve">Plinths </t>
  </si>
  <si>
    <t>Sides of Staircase platform</t>
  </si>
  <si>
    <t xml:space="preserve">Internal and external sump walls </t>
  </si>
  <si>
    <t xml:space="preserve">Plane Horizontal </t>
  </si>
  <si>
    <t>Soffit of staircase platform</t>
  </si>
  <si>
    <t>(i) 0 m³  -  0,01 m³</t>
  </si>
  <si>
    <t>Ref 395 in 150mm thick slab</t>
  </si>
  <si>
    <t>Blinding Layer in Grade 15/20 concrete with 75mm thickness</t>
  </si>
  <si>
    <t xml:space="preserve">Underneath bunded area </t>
  </si>
  <si>
    <t>Strength Concrete 15/10</t>
  </si>
  <si>
    <t xml:space="preserve">Screed on top of floor </t>
  </si>
  <si>
    <t xml:space="preserve">Benching sump &amp; floors </t>
  </si>
  <si>
    <t>Strength Concrete 25/20</t>
  </si>
  <si>
    <t>Bunded area floors</t>
  </si>
  <si>
    <t xml:space="preserve">Bunded area walls </t>
  </si>
  <si>
    <t xml:space="preserve">Bunded area stairs </t>
  </si>
  <si>
    <t>Top of concrete slabs</t>
  </si>
  <si>
    <t>Platforms &amp; Stairs</t>
  </si>
  <si>
    <t>H</t>
  </si>
  <si>
    <t>I</t>
  </si>
  <si>
    <t>8.1</t>
  </si>
  <si>
    <t>Supply and install GRP open grid flooring complete with frame and supports</t>
  </si>
  <si>
    <t>J</t>
  </si>
  <si>
    <t>PROVISIONAL SUMS</t>
  </si>
  <si>
    <t>Provisional Sum for Demolision of existing constrete structures</t>
  </si>
  <si>
    <t>Provisional Sum for Concrete Repairs and Epoxy Coating</t>
  </si>
  <si>
    <t>SECTION 10 - MINOR STRUCTURES</t>
  </si>
  <si>
    <t>NEW BLOWER HOUSE</t>
  </si>
  <si>
    <t>Excavate for restricted foundations, footings and pipe trenches in all materials and use for backfill or embankment or dispose</t>
  </si>
  <si>
    <t>Foundations</t>
  </si>
  <si>
    <t>Cable trench</t>
  </si>
  <si>
    <t>Pipe trench</t>
  </si>
  <si>
    <t>Extra-over Items 10.1.2 to 10.1.4 for additional excavation required by the engineer after the excavations have been completed</t>
  </si>
  <si>
    <t>Sides of air receiver and compressor plinth</t>
  </si>
  <si>
    <t>Internal sides of cable trench walls</t>
  </si>
  <si>
    <t>Edges of apron slab</t>
  </si>
  <si>
    <t>Sides of pipe trench floor</t>
  </si>
  <si>
    <t>Blinding Layer in Grade 15/20 concrete with 50 mm thickness</t>
  </si>
  <si>
    <t>Underneath floorslab</t>
  </si>
  <si>
    <t>Blower plinths</t>
  </si>
  <si>
    <t>Air reciever and compressor plinth</t>
  </si>
  <si>
    <t>Top of floors and apron slabs</t>
  </si>
  <si>
    <t>20 mm wide between concrete and brickwork</t>
  </si>
  <si>
    <t>BUILDING WORK</t>
  </si>
  <si>
    <t>POLYETHYLENE SHEETING</t>
  </si>
  <si>
    <t xml:space="preserve"> 8.2.18</t>
  </si>
  <si>
    <t>250 micron polyethylene underneath floor slab including ANT poison to SANS 618</t>
  </si>
  <si>
    <t>BRICKWORK</t>
  </si>
  <si>
    <t>230mm thick, both faces, face brick (external &amp; internal walls)</t>
  </si>
  <si>
    <t>Removal of existing infrastructure</t>
  </si>
  <si>
    <t>Double shutter door with louvres and frame (2350 wide x 2513 mm high)</t>
  </si>
  <si>
    <t>Industrial louvre (590 wide x 590 mm high)</t>
  </si>
  <si>
    <t>Windows SS34 with burglar proofing</t>
  </si>
  <si>
    <t>EXISTING BLOWER HOUSE</t>
  </si>
  <si>
    <t>Demolish and removal of existing plinths and dispose of material</t>
  </si>
  <si>
    <t xml:space="preserve"> NEW GUARD HOUSE (HOW)</t>
  </si>
  <si>
    <t>Excavate for foundations in all materials and use for backfill or embankment or dispose</t>
  </si>
  <si>
    <t xml:space="preserve">Strip Footings </t>
  </si>
  <si>
    <t>PSD 8.3.3 (b)</t>
  </si>
  <si>
    <t>Extra-over items for excavating in</t>
  </si>
  <si>
    <t>Extra over items 10.3.2 to 10.3.3 for additional excavations required by the Engineer after excavation has been completed</t>
  </si>
  <si>
    <t>Edge of roof slab</t>
  </si>
  <si>
    <t>Soffit of Roof slab</t>
  </si>
  <si>
    <t>PSG 8.3</t>
  </si>
  <si>
    <t>High tensile steel bars</t>
  </si>
  <si>
    <t>Ref. 245 for floor slabs</t>
  </si>
  <si>
    <t>Ref. 193 for apron slabs</t>
  </si>
  <si>
    <t>Strength Concrete 25MPa</t>
  </si>
  <si>
    <t>Strip footing (600 mm wide, 250 mm thick)</t>
  </si>
  <si>
    <t>Apron Slabs (80mm thick)</t>
  </si>
  <si>
    <r>
      <t>Joint filler consisting of closed cell expanded polyethylene with density not less than 120kg/m</t>
    </r>
    <r>
      <rPr>
        <b/>
        <vertAlign val="superscript"/>
        <sz val="10"/>
        <color theme="1"/>
        <rFont val="Arial"/>
        <family val="2"/>
      </rPr>
      <t>3</t>
    </r>
    <r>
      <rPr>
        <b/>
        <sz val="10"/>
        <color theme="1"/>
        <rFont val="Arial"/>
        <family val="2"/>
      </rPr>
      <t xml:space="preserve"> including bullnose finish to both sides of joint and tear off strip</t>
    </r>
  </si>
  <si>
    <t>10 mm wide between 100 mm concrete apron</t>
  </si>
  <si>
    <t>10 mm joint between concrete apron</t>
  </si>
  <si>
    <t>PSU</t>
  </si>
  <si>
    <t>SANS HA</t>
  </si>
  <si>
    <t>STRUCTURAL STEELWORK - SUNDRY ITEMS</t>
  </si>
  <si>
    <t>Structural Steel</t>
  </si>
  <si>
    <t>PSU8.8.1(b)</t>
  </si>
  <si>
    <t xml:space="preserve">1000mm x 2000mm High Single Panel Steel Combination Door &amp; Frame </t>
  </si>
  <si>
    <t>PSU 8.8.3</t>
  </si>
  <si>
    <t>1000mm x 2000mm High Single Panel Steel Security Gate.</t>
  </si>
  <si>
    <t>800mm x 2100mm High standard semi-solid door to be supplied with frame, cabin hook and a level 3 lock set complete with two keys. All fittings, door restraints and hinges solid brass</t>
  </si>
  <si>
    <t>1020mm x 950mm Windows SSF43 with burglar proofing</t>
  </si>
  <si>
    <t>410mm x 610mm - M fixed with trim. Including 12mm diameter MS burglar proofing on full face of window, glazed and painted to system A2.</t>
  </si>
  <si>
    <t>PSU 8.15(b)</t>
  </si>
  <si>
    <t>Painting of doors and windows</t>
  </si>
  <si>
    <t>PSU 8.15(c)</t>
  </si>
  <si>
    <t>Painting of windows</t>
  </si>
  <si>
    <t>PSLE</t>
  </si>
  <si>
    <t xml:space="preserve">POLYETHYLENE SHEETING </t>
  </si>
  <si>
    <t>PSU 8.1(b)</t>
  </si>
  <si>
    <t>230mm thick, both faces, face brick Exterior wall</t>
  </si>
  <si>
    <t>PSU 8.1(c)</t>
  </si>
  <si>
    <t xml:space="preserve">115mm thick, face brick Interior Wall </t>
  </si>
  <si>
    <t>SANS 1200AA</t>
  </si>
  <si>
    <t>GENERAL - FIXTURES</t>
  </si>
  <si>
    <t>Installation of Wall Mounted Wahsbasin with Basin Taps</t>
  </si>
  <si>
    <t>Installation of Front Flush Toilet Suite</t>
  </si>
  <si>
    <t xml:space="preserve">8.3.5 </t>
  </si>
  <si>
    <t>EXISTING SERVICES</t>
  </si>
  <si>
    <t>Water supply to guard house</t>
  </si>
  <si>
    <t>SANS 1200LD</t>
  </si>
  <si>
    <t>SEWERS</t>
  </si>
  <si>
    <t>Supply, Lay, Joint and test uPVC Pipes</t>
  </si>
  <si>
    <t>110mm  Diameter</t>
  </si>
  <si>
    <t>Installation of new sewer system from Guard House</t>
  </si>
  <si>
    <t>Building Pipes into Brickwork</t>
  </si>
  <si>
    <t>SUPPLYING AND BUILDING HDPE OR uPVC PIPES AS SPECIFIED INTO BRICKWORK (FOR CABLE SLEEVES OR PIPE SLEEVES)</t>
  </si>
  <si>
    <t>50 mm dia.  uPVC Tee piece</t>
  </si>
  <si>
    <t>110 mm dia.  uPVC Tee piece</t>
  </si>
  <si>
    <t>EXISTING GUARD HOUSE (MAIN ENTRANCE)</t>
  </si>
  <si>
    <t>Replacement of covers on security doors</t>
  </si>
  <si>
    <t>SECTION 11 - INTERCONNECTING PIPEWORK</t>
  </si>
  <si>
    <t>WASH WATER PUMP STATION TO HOW</t>
  </si>
  <si>
    <t>SANS 1200DB</t>
  </si>
  <si>
    <t>PIPE TRENCHES</t>
  </si>
  <si>
    <t>8.3.2 a)</t>
  </si>
  <si>
    <t>Excavate in all materials for trenches, backfill and compact, including disposal of surplus unsuitable material for pipes and cable ducts</t>
  </si>
  <si>
    <t xml:space="preserve">Up to 300mm diameter for depths over and up to </t>
  </si>
  <si>
    <t>0.0 m - 1.0 m</t>
  </si>
  <si>
    <t>1.0 m - 2.0 m</t>
  </si>
  <si>
    <t>Extra over items 11.1.1 to 11.1.2 for excavations</t>
  </si>
  <si>
    <t>8.3.2 (I)</t>
  </si>
  <si>
    <t>8.3.2 (ii)</t>
  </si>
  <si>
    <t>Road Crossing</t>
  </si>
  <si>
    <t>8.3.3.3</t>
  </si>
  <si>
    <t>Compaction in road reserve (provisional)</t>
  </si>
  <si>
    <t>8.3.6</t>
  </si>
  <si>
    <t>Reinstate road surface complete with all courses at pipe crossings</t>
  </si>
  <si>
    <t>(a)</t>
  </si>
  <si>
    <t>Services that Intersect a pipe trench</t>
  </si>
  <si>
    <t>Control cables (irrespective of diameter)</t>
  </si>
  <si>
    <t>Electrical cables (irrespective of diameter)</t>
  </si>
  <si>
    <t>Pipeline (irrespective of diameter)</t>
  </si>
  <si>
    <t>(b)</t>
  </si>
  <si>
    <t>Services that adjoin a pipe trench</t>
  </si>
  <si>
    <t>SANS 1200LB</t>
  </si>
  <si>
    <t>BEDDING</t>
  </si>
  <si>
    <t>8.2.2.1</t>
  </si>
  <si>
    <t>Provision of bedding material from trench or other excavations within the freehaul distance</t>
  </si>
  <si>
    <t xml:space="preserve">(a) </t>
  </si>
  <si>
    <t>Selected granular material</t>
  </si>
  <si>
    <t>Selected fill blanket</t>
  </si>
  <si>
    <t>8.2.2.3</t>
  </si>
  <si>
    <t>Provision of bedding material by importation from commercial sources</t>
  </si>
  <si>
    <t>SANS 1200L</t>
  </si>
  <si>
    <t>MEDIUM PRESSURE PIPELINES</t>
  </si>
  <si>
    <t>Supply, lay and bed pipes complete with coupling:</t>
  </si>
  <si>
    <t>160 dia. uPVC pipeline on Class B bedding</t>
  </si>
  <si>
    <t>Tie-into existing 160 PE100PN12.5 HDPE pipeline</t>
  </si>
  <si>
    <t>PSL</t>
  </si>
  <si>
    <t>PIPE SPECIALS</t>
  </si>
  <si>
    <t>Supplying, testing and installation of pipes, fittings and specials brought forward from the Pipe Schedule.</t>
  </si>
  <si>
    <t>Provisional Sum for Modifications to existing pipework</t>
  </si>
  <si>
    <t>8.3.1 (a)</t>
  </si>
  <si>
    <t>Clear vegetation and trees of girth up to 1m</t>
  </si>
  <si>
    <t>2.0 m - 3.0 m</t>
  </si>
  <si>
    <t>Extra over item 11.2.2 to 11.2.4 for excavations</t>
  </si>
  <si>
    <t>200 dia. PE100PN10 HDPE pipeline on Class B bedding</t>
  </si>
  <si>
    <t>315 dia. class 12 uPVC pipeline on Class B bedding</t>
  </si>
  <si>
    <t>Tie-into existing 315 uPVC pipeline</t>
  </si>
  <si>
    <t>TOTAL FOR SECTION 11 (Carried to Summary)</t>
  </si>
  <si>
    <t>SECTION 12 - SECURITY UPGRADES</t>
  </si>
  <si>
    <t>MAIN GATE</t>
  </si>
  <si>
    <t>CCTV Surveillance System</t>
  </si>
  <si>
    <t>Complete installation of surveillance systems(20 No. off Thermal Network Bullet Camera with 25mm lens. 384X288 Resolution; DeepinView, Smart Features, Advanced Fire Detection; Field of View: 14.88 x 11.19; H.264/MJPEG/MPEG4, H.264+; Support mirror image; Audio &amp; Alarm I/O; SD card Slot; Poer: POE, 24VAC, 12VDC; IP66 PC, 42" FHD monitor, multiplexer.</t>
  </si>
  <si>
    <t>12 Way flush mounted DB, complete with all switchgear</t>
  </si>
  <si>
    <t>Testing and commissioning of complete installation as specified in 12.1.1</t>
  </si>
  <si>
    <t>64 - Channel Professional Embedded NVR. HDMI1 output at 4K &amp; VGA1 output @ 2K resolution; HDMI2/VGA2 output resolution @108p; Incoming / Outgoing bandwidth: 320/256 Mbps; Hard disk: 8 SATA interfaces( with expansion bracket), 1 x Two-way audio input</t>
  </si>
  <si>
    <t>10 TB 3.5" SATA Hard Drive</t>
  </si>
  <si>
    <t>Maintenance (12-month maintenance contract on all new &amp; existing equipment specified in 12.1.1 and 12.1.2)</t>
  </si>
  <si>
    <t>Provisional Sum for Modifications to existing, as well as additional security equipment that may be required</t>
  </si>
  <si>
    <t>Access Control</t>
  </si>
  <si>
    <t>Provision for the maintenance of existing automated boom gates</t>
  </si>
  <si>
    <t>Ramp - Existing Guard Hut</t>
  </si>
  <si>
    <t>Construct reinforced concrete ramp onto existing guard house for wheel chair access</t>
  </si>
  <si>
    <t>Guard Monitoring System</t>
  </si>
  <si>
    <t>Supply, delivery, installation, testing and commissioning of security guard control and monitoring system complete including all equipment and software subscriptions.</t>
  </si>
  <si>
    <t>Light Fittings</t>
  </si>
  <si>
    <t>Supply and complete electrical installation on structures within Head of Works area</t>
  </si>
  <si>
    <t>Area lighting fitting</t>
  </si>
  <si>
    <t>CCTV Cameras</t>
  </si>
  <si>
    <t>Thermal Network Bullet Camera with 25mm lens. 384X288 Resolution; DeepinView, Smart Features, Advanced Fire Detection; Field of View: 14.88 x 11.19; H.264/MJPEG/MPEG4, H.264+; Support mirror image; Audio &amp; Alarm I/O; SD card Slot; Poer: POE, 24VAC, 12VDC; IP66</t>
  </si>
  <si>
    <t>New Access Control</t>
  </si>
  <si>
    <t>Supply, installation and testing of boom gate at access control</t>
  </si>
  <si>
    <t>Erection of reinforced concrete speed hump</t>
  </si>
  <si>
    <t>Supply and install sliding gate at the Gate 2 (HoW)</t>
  </si>
  <si>
    <t>BLOWER BUILDING</t>
  </si>
  <si>
    <t>Supply and complete electrical installation on Blower House building</t>
  </si>
  <si>
    <t>Area lighting fittings</t>
  </si>
  <si>
    <t>PSVB</t>
  </si>
  <si>
    <t>FENCING</t>
  </si>
  <si>
    <t>Supply and erection of concrete palisade fence</t>
  </si>
  <si>
    <t>8.7(a)</t>
  </si>
  <si>
    <t>Concrete Palisade fencing complete including 200 x 200 mm concrete ground beam below fence</t>
  </si>
  <si>
    <t>TOTAL FOR SECTION 12 (Carried to Summary)</t>
  </si>
  <si>
    <t>the non-slip flooring in the belt press building</t>
  </si>
  <si>
    <t>SECTION 13 - MECHANICAL EQUIPMENT: HEAD OF WORKS</t>
  </si>
  <si>
    <t>PSX1</t>
  </si>
  <si>
    <t>MECHANICAL EQUIPMENT: HEAD OF WORKS</t>
  </si>
  <si>
    <t>PART A: CONDITIONAL ASSESSMENT OF EXISTING MECHANICAL EQUIPMENT</t>
  </si>
  <si>
    <t>Dismantle and remove (to Contractor's workshop off site), Inspect and Conduct conditional assessment of exisitng equipment</t>
  </si>
  <si>
    <t xml:space="preserve">Module 1 Coarse screens </t>
  </si>
  <si>
    <t>Module 1 Fine screens</t>
  </si>
  <si>
    <t>Module 2 Fine screens</t>
  </si>
  <si>
    <t>Sluice gates</t>
  </si>
  <si>
    <t xml:space="preserve">Storage of Mechanical Equipment while Engineer assesses the Contractor's conditional assessment report </t>
  </si>
  <si>
    <t>Off site storage of equipment being assessed under Item 13.1</t>
  </si>
  <si>
    <t xml:space="preserve">Sluice gates </t>
  </si>
  <si>
    <t xml:space="preserve">Sluice Gates </t>
  </si>
  <si>
    <t>Provisional Sum for Modifications to Existing Equipment</t>
  </si>
  <si>
    <t>Deliver to client storage area of existing equipment not to be refurbished</t>
  </si>
  <si>
    <t>Grit classifier - screw type</t>
  </si>
  <si>
    <t>Grit classifier - settler type</t>
  </si>
  <si>
    <t>Grit classifier - paddle type</t>
  </si>
  <si>
    <t>Macerator pumps and piping</t>
  </si>
  <si>
    <t>Screenings Compactor</t>
  </si>
  <si>
    <t>PART B: SUPPLY, DELIVERY, INSTALLATION AND COMMISIONING OF MECHANICAL EQUIPMENT</t>
  </si>
  <si>
    <t>Design, supply and delivery of the following equipment to Site including storage (where applicable), quality assurance and painting (where specified)</t>
  </si>
  <si>
    <t xml:space="preserve">Screenings equipment for Modules 1 &amp; 2 in accordance with the specification </t>
  </si>
  <si>
    <t>PSX1.2</t>
  </si>
  <si>
    <t>PSX1.1</t>
  </si>
  <si>
    <t>Complete trash screen in accordance with the specification (Note: The  Contractor shall provide a method statement that clearly indicates how the screen will be installed in the channel under full flow conditions)</t>
  </si>
  <si>
    <t xml:space="preserve">Screenings handling equipment for Module 1 &amp; 2 in accordance with the specification </t>
  </si>
  <si>
    <t xml:space="preserve">Complete 20m screenings hydro-conveyor for the Mod 1 coarse screens including actuated swing gate valve in accordance with the specification </t>
  </si>
  <si>
    <t xml:space="preserve">Complete 17.5m screenings hydro-conveyor for the Mod 1 fine screens including actuated swing gate valve in accordance with the specification </t>
  </si>
  <si>
    <t xml:space="preserve">Complete washer compactor (including trough and chute) for the Mod 1 coarse screens in accordance with the specification </t>
  </si>
  <si>
    <t xml:space="preserve">Complete washer compactor (including trough and chute) for the Mod 2 coarse screens in accordance with the specification </t>
  </si>
  <si>
    <t xml:space="preserve">Complete washer compactor (including trough and chute) for the MOD 1 fine screens in accordance with the specification </t>
  </si>
  <si>
    <t xml:space="preserve">Swivel screw conveyor from the washer compactor to the three waste bins at the Mod 1 coarse screen area in accordance with the specification </t>
  </si>
  <si>
    <t xml:space="preserve">Swivel screw conveyor from the washer compactor to the three waste bins at the Mod 2 coarse screen area in accordance with the specification </t>
  </si>
  <si>
    <t xml:space="preserve">Swivel screw conveyor from the washer compactor to the three waste bins at the Mod 1 fine screen area in accordance with the specification </t>
  </si>
  <si>
    <t>Complete automated winch system to pull the waste bins at the Mod 1 coarse screens including rails, bin dolleys, SS cables, motors and drive units</t>
  </si>
  <si>
    <t>Complete automated winch system to pull the waste bins at Mod 1 fine screens including rails, bin dolleys, SS cables, motors and drive units</t>
  </si>
  <si>
    <t>Complete automated winch system to pull the waste bins at Mod 2 coarse screens including rails, bin dolleys, SS cables, motors and drive units</t>
  </si>
  <si>
    <t>PSX1.3</t>
  </si>
  <si>
    <t xml:space="preserve">Grit handling equipment for Module 1 &amp; 2 in accordance with the specification </t>
  </si>
  <si>
    <r>
      <rPr>
        <sz val="10"/>
        <rFont val="Arial"/>
        <family val="2"/>
      </rPr>
      <t>Eight (8) no.</t>
    </r>
    <r>
      <rPr>
        <sz val="10"/>
        <color indexed="8"/>
        <rFont val="Arial"/>
        <family val="2"/>
      </rPr>
      <t xml:space="preserve"> off air blowers for the vortex degritters complete with all pipework (including separation and dedicated lines to Module 1 Head of Works), valves and supports from the existing blower room to each of the four vortex degritter chambers</t>
    </r>
  </si>
  <si>
    <t xml:space="preserve">Sum </t>
  </si>
  <si>
    <t>Eight (8) no. off air blowers for the vortex degritters complete with all pipework (including separation and dedicated lines to Module 2 Head of Works), valves and supports from the blower room to each of the four vortex degritter chambers</t>
  </si>
  <si>
    <t>Replace the Two (2) no. off air compressors in the existing Compressor Room with all pipework, valves and supports</t>
  </si>
  <si>
    <t>Two (2) no. off air compressors and one (1) no. off air receiver complete with all pipework, valves and supports from the new blower room to connect to the existing pipework at the Module 2 Vortex Degritters</t>
  </si>
  <si>
    <t>Two new washer classifiers and feed troughs with actuated swing gate valve at Module 1 including piping from each of the four vortex degritters</t>
  </si>
  <si>
    <t>Two new washer classifiers and feed troughs with actuated swing gate valve at Module 2 including piping from each of the four vortex degritters</t>
  </si>
  <si>
    <t xml:space="preserve">New swivel screw conveyor to skips at the Module 1 degritter area in accordance with the specification </t>
  </si>
  <si>
    <t xml:space="preserve">New swivel screw conveyor to skips at the Module 2 degritter area in accordance with the specification </t>
  </si>
  <si>
    <t>Complete automated winch system to pull the four no. waste bins at Module 1 grit handling including rails, bin dolleys, SS cables, motors and drive units</t>
  </si>
  <si>
    <t>Complete automated winch system to pull the three no. waste bins at Module 2 grit handling including rails, bin dolleys, SS cables, motors and drive units</t>
  </si>
  <si>
    <t>Complete wash water network including solenoid valves at each degritter at Module 1</t>
  </si>
  <si>
    <t>Complete wash water network including solenoid valves at each degritter at Module 2</t>
  </si>
  <si>
    <t>PSX1.8</t>
  </si>
  <si>
    <t>Macerator Pump Station</t>
  </si>
  <si>
    <t xml:space="preserve">New pumps complete in accordance with the specification </t>
  </si>
  <si>
    <t xml:space="preserve">New 304 Stainless Steel suction and delivery piping for the two Macerator pumps complete in accordance with the specification </t>
  </si>
  <si>
    <t xml:space="preserve">New submersible floor drainage pump complete with 304 Stainless Steel delivery piping in accordance with the specification </t>
  </si>
  <si>
    <t>Handling (including double handling if stored), erection, installation, painting (if applicable) and quality assurance of the following plant, including transportation and accommodation for personnel</t>
  </si>
  <si>
    <t>Plant supplied under Item 13.6.1</t>
  </si>
  <si>
    <t>Plant supplied under Item 13.6.2</t>
  </si>
  <si>
    <t>Plant supplied under Item 13.6.3</t>
  </si>
  <si>
    <t>Plant supplied under Item 13.6.4</t>
  </si>
  <si>
    <t>Plant supplied under Item 13.7.1</t>
  </si>
  <si>
    <t>Plant supplied under Item 13.7.2</t>
  </si>
  <si>
    <t>Plant supplied under Item 13.7.3</t>
  </si>
  <si>
    <t>Plant supplied under Item 13.7.4</t>
  </si>
  <si>
    <t>Plant supplied under Item 13.7.5</t>
  </si>
  <si>
    <t>Plant supplied under Item 13.7.6</t>
  </si>
  <si>
    <t>Plant supplied under Item 13.7.7</t>
  </si>
  <si>
    <t>Plant supplied under Item 13.7.8</t>
  </si>
  <si>
    <t>Plant supplied under Item 13.7.9</t>
  </si>
  <si>
    <t>Plant supplied under Item 13.7.10</t>
  </si>
  <si>
    <t>Plant supplied under Item 13.7.11</t>
  </si>
  <si>
    <t>Plant supplied under Item 13.8.1</t>
  </si>
  <si>
    <t>Plant supplied under Item 13.8.2</t>
  </si>
  <si>
    <t>Plant supplied under Item 13.8.3</t>
  </si>
  <si>
    <t>Plant supplied under Item 13.8.4</t>
  </si>
  <si>
    <t>Plant supplied under Item 13.8.5</t>
  </si>
  <si>
    <t>Plant supplied under Item 13.8.6</t>
  </si>
  <si>
    <t>Plant supplied under Item 13.8.7</t>
  </si>
  <si>
    <t>Plant supplied under Item 13.8.8</t>
  </si>
  <si>
    <t>Plant supplied under Item 13.8.9</t>
  </si>
  <si>
    <t>Plant supplied under Item 13.8.10</t>
  </si>
  <si>
    <t>Plant supplied under Item 13.8.11</t>
  </si>
  <si>
    <t>Plant supplied under Item 13.8.12</t>
  </si>
  <si>
    <t>Plant supplied under Item 13.9.1 to 13.9.3</t>
  </si>
  <si>
    <t xml:space="preserve">Refurbished plant under item 13.3.1 </t>
  </si>
  <si>
    <t>Refurbished plant under item 13.3.2</t>
  </si>
  <si>
    <t>Refurbished plant under item 13.3.3</t>
  </si>
  <si>
    <t>Commissioning, testing and adjusting the following plant as a completely separate operation some time after completion of erection and installation, including transportation and accommodation for personnel</t>
  </si>
  <si>
    <t>Plant installed under Item 13.10.1</t>
  </si>
  <si>
    <t>Plant installed under Item 13.10.2</t>
  </si>
  <si>
    <t>Plant installed under Item 13.10.3</t>
  </si>
  <si>
    <t>Plant installed under Item 13.10.4</t>
  </si>
  <si>
    <t>Plant installed under Item 13.10.5</t>
  </si>
  <si>
    <t>Plant installed under Item 13.10.6</t>
  </si>
  <si>
    <t>Plant installed under Item 13.10.7</t>
  </si>
  <si>
    <t>Plant installed under Item 13.10.8</t>
  </si>
  <si>
    <t>Plant installed under Item 13.10.9</t>
  </si>
  <si>
    <t>Plant installed under Item 13.10.10</t>
  </si>
  <si>
    <t>Plant installed under Item 13.10.11</t>
  </si>
  <si>
    <t>Plant installed under Item 13.10.12</t>
  </si>
  <si>
    <t>Plant installed under Item 13.10.13</t>
  </si>
  <si>
    <t>Plant installed under Item 13.10.14</t>
  </si>
  <si>
    <t>Plant installed under Item 13.10.15</t>
  </si>
  <si>
    <t>Plant installed under Item 13.10.16</t>
  </si>
  <si>
    <t>Plant installed under Item 13.10.17</t>
  </si>
  <si>
    <t>Plant installed under Item 13.10.18</t>
  </si>
  <si>
    <t>Plant installed under Item 13.10.19</t>
  </si>
  <si>
    <t>Plant installed under Item 13.10.20</t>
  </si>
  <si>
    <t>Plant installed under Item 13.10.21</t>
  </si>
  <si>
    <t>Plant installed under Item 13.10.22</t>
  </si>
  <si>
    <t>Plant installed under Item 13.10.23</t>
  </si>
  <si>
    <t>Plant installed under Item 13.10.24</t>
  </si>
  <si>
    <t>Plant installed under Item 13.10.25</t>
  </si>
  <si>
    <t>Plant installed under Item 13.10.26</t>
  </si>
  <si>
    <t>Plant installed under Item 13.10.27</t>
  </si>
  <si>
    <t>Allowance for spares for Mechanical, Electrical and C&amp;I</t>
  </si>
  <si>
    <t>TOTAL FOR SECTION 13 (Carried to Summary)</t>
  </si>
  <si>
    <t>SECTION 14 - MECHANICAL EQUIPMENT: PST's</t>
  </si>
  <si>
    <t>PSX1.4 &amp; 1.5</t>
  </si>
  <si>
    <t>MECHANICAL EQUIPMENT: PST's &amp; PRIMARY SLUDGE PUMPS</t>
  </si>
  <si>
    <t>PSX1.5</t>
  </si>
  <si>
    <t>Primary Sedimentation Tank Bridges, including scum and floor scraper mechanism, scum troughs and piping, weir and baffle plates at launder</t>
  </si>
  <si>
    <t>Sluice Gate at Division Box</t>
  </si>
  <si>
    <t>Primary Sludge Pumps and piping that required to be replaced</t>
  </si>
  <si>
    <t>Off site storage of equipment being assessed under Item 14.1</t>
  </si>
  <si>
    <t>Primary Sedimentation Tank Bridges, including scum and floor scraper mechanism, scum troughs and piping</t>
  </si>
  <si>
    <t>Primary Sedimentation Tank Bridges, including sand blasting, Hot Dipped Galvanising and Epoxy Coating</t>
  </si>
  <si>
    <t>Knife Gate valves on scum discharge</t>
  </si>
  <si>
    <t>Primary Sedimentation Tank Bridges, including scum and floor scraper mechanism, scum troughs and piping &amp; Scum Knife Gate Valve &amp; Sluice Gate</t>
  </si>
  <si>
    <t>Primary Sedimentation Tank Bridges</t>
  </si>
  <si>
    <t>Primary Sedimentation Tank scum and sludge scraper mechanism</t>
  </si>
  <si>
    <t>Knife Gate Valve on Scum discharge</t>
  </si>
  <si>
    <t xml:space="preserve">Mechanical equipment for the Primary Sedimentation Tank Division Box in accordance with the specification </t>
  </si>
  <si>
    <t>Actuator for Sluice Gate</t>
  </si>
  <si>
    <t xml:space="preserve">Mechanical equipment for the Primary Sedimentation Tanks in accordance with the specification </t>
  </si>
  <si>
    <t xml:space="preserve">New Sludge full floor scraper mechanism with support and control system </t>
  </si>
  <si>
    <t xml:space="preserve">New scum trough, scum scraper and piping complete </t>
  </si>
  <si>
    <t>New Primary Sedimentation Tank maintenance platform added to bridges complete</t>
  </si>
  <si>
    <t>New SS304 handrailing around Bridge and maintenance platform with SS304 kickplate and SS304 access ladder, walkway on Bridge with SS304 open steel flooring</t>
  </si>
  <si>
    <t>New SS304 Bridge</t>
  </si>
  <si>
    <t xml:space="preserve">Mechanical equipment for the Primary Sludge Pump Stations in accordance with the specification </t>
  </si>
  <si>
    <t>New Primary Sludge Pump, including motor, couplings and base frame</t>
  </si>
  <si>
    <t xml:space="preserve">New piping and valves required </t>
  </si>
  <si>
    <t>Plant supplied under Item 14.6.1</t>
  </si>
  <si>
    <t>Plant supplied under Item 14.6.2</t>
  </si>
  <si>
    <t>Plant supplied under Item 14.7.1</t>
  </si>
  <si>
    <t>Plant supplied under Item 14.7.2</t>
  </si>
  <si>
    <t>Plant supplied under Item 14.7.3</t>
  </si>
  <si>
    <t>Plant supplied under Item 14.7.4</t>
  </si>
  <si>
    <t>Plant supplied under Item 14.7.5</t>
  </si>
  <si>
    <t>Plant supplied under Item 14.8.1</t>
  </si>
  <si>
    <t>Plant supplied under Item 14.8.2</t>
  </si>
  <si>
    <t>Refurbished Plant under Item 14.3.1</t>
  </si>
  <si>
    <t>Refurbished Plant under Item 14.3.2</t>
  </si>
  <si>
    <t>Refurbished Plant under Item 14.3.3</t>
  </si>
  <si>
    <t>Plant installed under Item 14.9.1 &amp; 14.9.2</t>
  </si>
  <si>
    <t>Plant installed under Item 14.9.3 to 14.9.6</t>
  </si>
  <si>
    <t>Plant installed under Item 14.9.7</t>
  </si>
  <si>
    <t>Plant installed under Item 14.9.8 &amp; 14.9.9</t>
  </si>
  <si>
    <t>Plant installed under Item 14.9.10</t>
  </si>
  <si>
    <t>Plant installed under Item 14.9.11</t>
  </si>
  <si>
    <t>Plant installed under Item 14.9.12</t>
  </si>
  <si>
    <t>TOTAL FOR SECTION 14 (Carried to Summary)</t>
  </si>
  <si>
    <t>SECTION 15 - MECHANICAL EQUIPMENT: PST's</t>
  </si>
  <si>
    <t>MECHANICAL EQUIPMENT: Fermenters</t>
  </si>
  <si>
    <t>Fermenter Bridges, including scum and floor scraper mechanism, scum troughs and piping, weir and baffle plates at launder</t>
  </si>
  <si>
    <t>Fermented Sludge Pump</t>
  </si>
  <si>
    <t>Off site storage of equipment being assessed under Item 15.1</t>
  </si>
  <si>
    <t>Fermenter Bridges, including scum and floor scraper mechanism, scum troughs and piping</t>
  </si>
  <si>
    <t>Fermenter Bridges, including sand blasting, Hot Dipped Galvanising and Epoxy Coating</t>
  </si>
  <si>
    <t>Fermenter Bridges, including scum and floor scraper mechanism, scum troughs and piping &amp; Scum Knife Gate Valve</t>
  </si>
  <si>
    <t>Fermenter Bridges</t>
  </si>
  <si>
    <t>Fermenter scum and sludge scraper mechanism</t>
  </si>
  <si>
    <t xml:space="preserve">Mechanical equipment for the Fermented Sludge Pump Station in accordance with the specification </t>
  </si>
  <si>
    <t xml:space="preserve">Mechanical equipment for the Fermenters in accordance with the specification </t>
  </si>
  <si>
    <t>New Sludge full floor scraper mechanism with support and control system in SS304</t>
  </si>
  <si>
    <t>New scum trough, scum scraper and piping complete in SS304</t>
  </si>
  <si>
    <t>New Fermenter maintenance platform added to bridges complete in SS304</t>
  </si>
  <si>
    <t>Plant supplied under Item 15.6.1</t>
  </si>
  <si>
    <t>Plant supplied under Item 15.7.1</t>
  </si>
  <si>
    <t>Plant supplied under Item 15.7.2</t>
  </si>
  <si>
    <t>Plant supplied under Item 15.7.3</t>
  </si>
  <si>
    <t>Plant supplied under Item 15.7.4</t>
  </si>
  <si>
    <t>Plant supplied under Item 15.7.5</t>
  </si>
  <si>
    <t>Refurbished Plant under Item 15.3.1</t>
  </si>
  <si>
    <t>Refurbished Plant under Item 15.3.2</t>
  </si>
  <si>
    <t>Refurbished Plant under Item 15.3.3</t>
  </si>
  <si>
    <t>Plant installed under Item 15.8.1 &amp; 15.8.2</t>
  </si>
  <si>
    <t>Plant installed under Item 15.8.3 to 15.8.6</t>
  </si>
  <si>
    <t>Plant installed under Item 15.8.7</t>
  </si>
  <si>
    <t>Plant installed under Item 15.8.8</t>
  </si>
  <si>
    <t>Plant installed under Item 15.8.9</t>
  </si>
  <si>
    <t>Plant installed under Item 15.8.10</t>
  </si>
  <si>
    <t>SECTION 16 - MECHANICAL EQUIPMENT: SECONDARY TREATMENT</t>
  </si>
  <si>
    <t>MECHANICAL EQUIPMENT: SECONDARY TREATMENT</t>
  </si>
  <si>
    <t>PSX1.4</t>
  </si>
  <si>
    <t>Biological reactor mixers, including motors, gear boxes, shafts and impellors</t>
  </si>
  <si>
    <t>Clarifier Bridges, including scum and floor scraper mechanism, scum troughs and piping</t>
  </si>
  <si>
    <t>Off site storage of equipment being assessed under Item 16.1</t>
  </si>
  <si>
    <t>Biological reactor mixer gear boxes</t>
  </si>
  <si>
    <t>Clarifier Bridges, including sand blasting, Hot Dipped Galvanising and Epoxy Coating</t>
  </si>
  <si>
    <t>Clarifier Bridges</t>
  </si>
  <si>
    <t>Clarifier scum and sludge scraper mechanism</t>
  </si>
  <si>
    <t xml:space="preserve">Mechanical equipment for the Biological Reactors in accordance with the specification </t>
  </si>
  <si>
    <t>Vertical shaft mounted mixers complete with motor, gearbox, base plate, coupling and holding down bolts</t>
  </si>
  <si>
    <t>Replace bottom bearings of screw pumps at four existing screw pump stations with sealed bearings</t>
  </si>
  <si>
    <t xml:space="preserve">Mechanical equipment for the Clarifiers in accordance with the specification </t>
  </si>
  <si>
    <t xml:space="preserve">New floor scraper mechanism hanging from the bridge complete </t>
  </si>
  <si>
    <t xml:space="preserve">New inner and outer scum troughs, scum scrapers and piping complete </t>
  </si>
  <si>
    <t>New clarifier maintenance platform added to bridges complete</t>
  </si>
  <si>
    <t>Plant supplied under Item 16.6.1</t>
  </si>
  <si>
    <t>Plant supplied under Item 16.6.2</t>
  </si>
  <si>
    <t>Plant supplied under Item 16.7.1</t>
  </si>
  <si>
    <t>Plant supplied under Item 16.7.2</t>
  </si>
  <si>
    <t>Plant supplied under Item 16.7.3</t>
  </si>
  <si>
    <t>Refurbished Plant under Item 16.3.1</t>
  </si>
  <si>
    <t>Refurbished Plant under Item 16.3.2</t>
  </si>
  <si>
    <t>Plant installed under Item 16.8.1</t>
  </si>
  <si>
    <t>Plant installed under Item 16.8.2</t>
  </si>
  <si>
    <t>Plant installed under Item 16.8.3 to 16.8.5</t>
  </si>
  <si>
    <t>Plant installed under Item 16.8.6</t>
  </si>
  <si>
    <t>Plant installed under Item 16.8.7</t>
  </si>
  <si>
    <t>TOTAL FOR SECTION 16 (Carried to Summary)</t>
  </si>
  <si>
    <t>SECTION 17 - MECHANICAL EQUIPMENT: WASHWATER</t>
  </si>
  <si>
    <t>MECHANICAL EQUIPMENT: WASHWATER</t>
  </si>
  <si>
    <t>PSX1.6.1</t>
  </si>
  <si>
    <t>MECHANICAL EQUIPMENT: EXISTING WASH WATER SYSTEM</t>
  </si>
  <si>
    <t>PART A: REMOVAL OF EXISTING MECHANICAL EQUIPMENT</t>
  </si>
  <si>
    <t>Dismantle and remove of exisitng equipment and deliver to client storage</t>
  </si>
  <si>
    <t>Existing two sand filter booster pumps and pipework</t>
  </si>
  <si>
    <t>Existing four sand filters and pipework</t>
  </si>
  <si>
    <t>Existing three wash water pumps and pipework</t>
  </si>
  <si>
    <t>Existing filtered water tank outside the building</t>
  </si>
  <si>
    <t>Existing sump pump inside the dry well in the building</t>
  </si>
  <si>
    <t>PART B: SUPPLY, DELIVER, INSTALLATION AND COMMISSIONING</t>
  </si>
  <si>
    <t>Design, supply and delivery of the following equipment to site including storage (where applicable), quality assurance and painting (where specified)</t>
  </si>
  <si>
    <t xml:space="preserve">Mechanical equipment for the wash water system in accordance with the specification </t>
  </si>
  <si>
    <t xml:space="preserve">New sand filter booster pumps complete in accordance with the specification </t>
  </si>
  <si>
    <t xml:space="preserve">Suction and discharge pipework, valves, fittings and pipe supports for sand filter booster pumps </t>
  </si>
  <si>
    <t xml:space="preserve">New sand filters complete, including piping and valves in accordance with the specification </t>
  </si>
  <si>
    <t xml:space="preserve">New blowers for sand filters complete, including piping and valves in accordance with the specification </t>
  </si>
  <si>
    <t xml:space="preserve">Replace the existing filtered water storage tank at the wash water pump station complete in accordance with SANS 10329:2004 with a tank with capacity of 125,000L </t>
  </si>
  <si>
    <t xml:space="preserve">New wash water supply pumps complete in accordance with the specification </t>
  </si>
  <si>
    <t>Suction and discharge pipework, valves, fittings and pipe supports for wash water supply pumps to HoW</t>
  </si>
  <si>
    <t>New submersible pump to replace the existing sump pump inside wash water pump station</t>
  </si>
  <si>
    <t>240,000L cold pressed galvanised steel tank at the Head of Works complete including Inlet, Overflow and Outlet pipework in accordance with the specification</t>
  </si>
  <si>
    <t xml:space="preserve">Two wash water booster pumps for Head of Works Module 1 including pressure vessel complete in accordance with the specification </t>
  </si>
  <si>
    <t>Suction and discharge pipework, valves, fittings and pipe supports for wash water booster pumps (Item 17.1.12)</t>
  </si>
  <si>
    <t xml:space="preserve">Two wash water booster pumps for Head of Works Module 2 including pressure vessel complete in accordance with the specification </t>
  </si>
  <si>
    <t>Suction and discharge pipework, valves, fittings and pipe supports for wash water booster pumps (Item 17.1.14)</t>
  </si>
  <si>
    <t>Plant supplied under Item 17.1.6 and 17.1.7</t>
  </si>
  <si>
    <t>Plant supplied under Item 17.1.8</t>
  </si>
  <si>
    <t>Plant supplied under Item 17.1.9</t>
  </si>
  <si>
    <t>Plant supplied under Item 17.1.10</t>
  </si>
  <si>
    <t>Plant supplied under Item 17.1.11 and 17.1.12</t>
  </si>
  <si>
    <t>Plant supplied under Item 17.1.13</t>
  </si>
  <si>
    <t>Plant supplied under Item 17.1.14</t>
  </si>
  <si>
    <t>Plant supplied under Item 17.1.15 and 17.1.16</t>
  </si>
  <si>
    <t>Plant supplied under Item 17.1.17 and 17.1.18</t>
  </si>
  <si>
    <t>Plant installed under Item 17.1.19 to 17.1.21</t>
  </si>
  <si>
    <t>Plant installed under Item 17.1.22</t>
  </si>
  <si>
    <t>Plant installed under Item 17.1.23</t>
  </si>
  <si>
    <t>Plant installed under Item 17.1.24</t>
  </si>
  <si>
    <t>Plant installed under Item 17.1.25</t>
  </si>
  <si>
    <t>Plant installed under Item 17.1.26</t>
  </si>
  <si>
    <t>Plant installed under Item 17.1.27</t>
  </si>
  <si>
    <t>PSX1.6.2</t>
  </si>
  <si>
    <t>MECHANICAL EQUIPMENT: NEW WASH WATER BUILDING</t>
  </si>
  <si>
    <t>PART A: SUPPLY, DELIVER, INSTALLATION AND COMMISSIONING</t>
  </si>
  <si>
    <t xml:space="preserve">Sand filter booster pumps complete in accordance with the specification </t>
  </si>
  <si>
    <t xml:space="preserve">Sand filters complete, including piping and valves in accordance with the specification </t>
  </si>
  <si>
    <t xml:space="preserve">Blowers for sand filters complete, including piping and valves in accordance with the specification </t>
  </si>
  <si>
    <t>Dewatering Building Wash Water Supply Pumps</t>
  </si>
  <si>
    <t>Plant supplied under Item 17.2.1 and 17.2.2</t>
  </si>
  <si>
    <t>Plant supplied under Item 17.2.3</t>
  </si>
  <si>
    <t>Plant supplied under Item 17.2.4</t>
  </si>
  <si>
    <t>Plant supplied under Item 17.2.5</t>
  </si>
  <si>
    <t>Plant installed under Item 17.2.6 to 17.2.8</t>
  </si>
  <si>
    <t>Plant installed under Item 17.2.9</t>
  </si>
  <si>
    <t>TOTAL FOR SECTION 17 (Carried to Summary)</t>
  </si>
  <si>
    <t>SECTION 18 - MECHANICAL EQUIPMENT - LIME PLANT</t>
  </si>
  <si>
    <t>PSX1.7</t>
  </si>
  <si>
    <t>MECHANICAL EQUIPMENT: LIME PLANT</t>
  </si>
  <si>
    <t>Lime Rotary Vane Feeders</t>
  </si>
  <si>
    <t>Lime Silo Isolation valves</t>
  </si>
  <si>
    <t>Mixers at Lime Reactor</t>
  </si>
  <si>
    <t>Lime Clarifier Bridge, Scum and Floor Scrapers</t>
  </si>
  <si>
    <t>Off site storage of equipment being assessed under Item 18.1</t>
  </si>
  <si>
    <t>Lime Clarifier Bridge</t>
  </si>
  <si>
    <t>PART B: RELOCATION OF EXISTING MECHANICAL EQUIPMENT</t>
  </si>
  <si>
    <t>Unbolting and disconnecting of mechanical equipment</t>
  </si>
  <si>
    <t>Lime Silo with four supports and four load cells</t>
  </si>
  <si>
    <t>Emergency shower and eyewash</t>
  </si>
  <si>
    <t>Installation of mechanical equipment in new position</t>
  </si>
  <si>
    <t>Lime filter system at top of Silo</t>
  </si>
  <si>
    <t>PART C: SUPPLY, DELIVERY, INSTALLATION AND COMMISSIONING</t>
  </si>
  <si>
    <t xml:space="preserve">Mechanical equipment for the lime plant in accordance with the specification </t>
  </si>
  <si>
    <t>Flash Mixer at Lime Reactor</t>
  </si>
  <si>
    <t xml:space="preserve">New rotary vane feeders with isolation valves as per existing equipment </t>
  </si>
  <si>
    <t>New lime screw feeders from Silo to Lime Make-up tanks</t>
  </si>
  <si>
    <t>Lime make up tanks 5,000L mild steel epoxy coated with lockable cat ladder, reinforced roof, access manhole for maintenance, roof handrailing, inlet, outlet and drain pipes with assoicated valves and fittings for ultrasonic level instrumentation</t>
  </si>
  <si>
    <t>Washwater pipework and valves to both lime make-up tanks</t>
  </si>
  <si>
    <t>Lime slurry piping from Lime Make-up tanks to Lime Reactor including actuated knife gate valves</t>
  </si>
  <si>
    <t>New 500mm dia. knife gate valve with electric actuator and 500mm dia epoxy coated mild steel spool piece</t>
  </si>
  <si>
    <t>New Lime Clarifier Scum and Floor Scraper complete</t>
  </si>
  <si>
    <t>New Lime Clarifier maintenance platform added to bridges complete</t>
  </si>
  <si>
    <t>New 3CR12 handrailing around Bridge and maintenance platform with 3CR12 kickplate and 3CR12 access ladder, walkway on Bridge with 3CR12 open steel flooring</t>
  </si>
  <si>
    <t>New 3CR12 Lime Clarifier Bridge</t>
  </si>
  <si>
    <t>Plant supplied under Item 18.8.1</t>
  </si>
  <si>
    <t>Plant supplied under Item 18.8.2</t>
  </si>
  <si>
    <t>Plant supplied under Item 18.8.3</t>
  </si>
  <si>
    <t>Plant supplied under Item 18.8.4</t>
  </si>
  <si>
    <t>Plant supplied under Item 18.8.5</t>
  </si>
  <si>
    <t>Plant supplied under Item 18.8.6</t>
  </si>
  <si>
    <t>Plant supplied under Item 18.8.7</t>
  </si>
  <si>
    <t>Plant supplied under Item 18.8.8 (including removing of existing steel pipe at the Lime Clarifier Overflow Pumps inside the Olifantsvlei Sludge Transfer Pump Station)</t>
  </si>
  <si>
    <t>Plant supplied under Item 18.8.9 to 18.8.11</t>
  </si>
  <si>
    <t>Plant supplied under Item 18.8.12</t>
  </si>
  <si>
    <t>Plant installed under Item 18.9.1 &amp; 18.9.2</t>
  </si>
  <si>
    <t>Plant installed under Item 18.9.3 to 18.9.7</t>
  </si>
  <si>
    <t>Plant installed under Item 18.9.8</t>
  </si>
  <si>
    <t>Plant installed under Item 18.9.9</t>
  </si>
  <si>
    <t>Plant installed under Item 18.9.10</t>
  </si>
  <si>
    <t>TOTAL FOR SECTION 18 (Carried to Summary)</t>
  </si>
  <si>
    <t>SECTION 19 - ELECTRICAL EQUIPMENT</t>
  </si>
  <si>
    <t>ELECTRICAL EQUIPMENT</t>
  </si>
  <si>
    <t>UPGRADE OF 11kV NETWORK</t>
  </si>
  <si>
    <t>19.1.1</t>
  </si>
  <si>
    <t>ACTOM 11kV 800A withdrawable SBV4E/5E incomer / transformer panels.</t>
  </si>
  <si>
    <t>19.1.2</t>
  </si>
  <si>
    <t>11kV termination / joint</t>
  </si>
  <si>
    <t>19.1.3</t>
  </si>
  <si>
    <r>
      <t>185mm</t>
    </r>
    <r>
      <rPr>
        <vertAlign val="superscript"/>
        <sz val="10"/>
        <color indexed="8"/>
        <rFont val="SWISS"/>
      </rPr>
      <t xml:space="preserve">2 </t>
    </r>
    <r>
      <rPr>
        <sz val="10"/>
        <color indexed="8"/>
        <rFont val="SWISS"/>
      </rPr>
      <t>11kV cable including installation</t>
    </r>
  </si>
  <si>
    <t>19.1.4</t>
  </si>
  <si>
    <t>110V DC BTU per substation</t>
  </si>
  <si>
    <t>19.1.5</t>
  </si>
  <si>
    <t>LV cable, cable ladder &amp; circuit breaker per substation for item 15.1.4</t>
  </si>
  <si>
    <t>19.1.6</t>
  </si>
  <si>
    <t>Set of tools per substation</t>
  </si>
  <si>
    <t>19.1.7</t>
  </si>
  <si>
    <t>Programming of circuit breaker protection relays</t>
  </si>
  <si>
    <t>19.1.8</t>
  </si>
  <si>
    <t>Umbicical cord, socket &amp; control station</t>
  </si>
  <si>
    <t>STONE TRAP / TRASH SCREEN AT THE INLET CHANNEL</t>
  </si>
  <si>
    <t>19.2.1</t>
  </si>
  <si>
    <t>3 pole circuit breaker for the trash screen to be installed into the existing MCC.</t>
  </si>
  <si>
    <t>19.2.2</t>
  </si>
  <si>
    <t>LV cable, cable ladder &amp; trenching for item 15.2.1</t>
  </si>
  <si>
    <t>19.2.3</t>
  </si>
  <si>
    <t>Trash screen remote control panel/starter drive</t>
  </si>
  <si>
    <t>HOW MODULE 1 COARSE SCREENS</t>
  </si>
  <si>
    <t>19.3.1</t>
  </si>
  <si>
    <t>Additional starter drives &amp; aux items</t>
  </si>
  <si>
    <t>19.3.2</t>
  </si>
  <si>
    <t>Cables &amp; cable ladders</t>
  </si>
  <si>
    <t>19.3.3</t>
  </si>
  <si>
    <t>Control panels</t>
  </si>
  <si>
    <t>19.3.4</t>
  </si>
  <si>
    <t>Skip electrics</t>
  </si>
  <si>
    <t>19.3.5</t>
  </si>
  <si>
    <t xml:space="preserve">Local motor isolators </t>
  </si>
  <si>
    <t>HOW MODULE 1 GRIT HANDLING INCLUDING BLOWERS</t>
  </si>
  <si>
    <t>19.4.1</t>
  </si>
  <si>
    <t>Upgrade of starter drives &amp; aux items</t>
  </si>
  <si>
    <t>19.4.2</t>
  </si>
  <si>
    <t>19.4.3</t>
  </si>
  <si>
    <t>19.4.4</t>
  </si>
  <si>
    <t>19.4.5</t>
  </si>
  <si>
    <t>HOW MODULE 1 FINE SCREENS</t>
  </si>
  <si>
    <t>19.5.1</t>
  </si>
  <si>
    <t>19.5.2</t>
  </si>
  <si>
    <t>19.5.3</t>
  </si>
  <si>
    <t>19.5.4</t>
  </si>
  <si>
    <t>19.5.5</t>
  </si>
  <si>
    <t>HOW MODULE 2 GRIT HANDLING TO NEW SKIPS / BINS</t>
  </si>
  <si>
    <t>19.6.1</t>
  </si>
  <si>
    <t>19.6.2</t>
  </si>
  <si>
    <t>19.6.3</t>
  </si>
  <si>
    <t>19.6.4</t>
  </si>
  <si>
    <t>Aux items</t>
  </si>
  <si>
    <t>EXISTING WASH WATER PUMP STATION</t>
  </si>
  <si>
    <t>19.7.1</t>
  </si>
  <si>
    <t>MCC</t>
  </si>
  <si>
    <t>19.7.2</t>
  </si>
  <si>
    <t>Generator</t>
  </si>
  <si>
    <t>19.7.3</t>
  </si>
  <si>
    <t>19.7.4</t>
  </si>
  <si>
    <t>Pressurising fan</t>
  </si>
  <si>
    <t>19.7.5</t>
  </si>
  <si>
    <t>CB installed at sub 0</t>
  </si>
  <si>
    <t>19.7.6</t>
  </si>
  <si>
    <t>19.7.7</t>
  </si>
  <si>
    <t>Luminaires etc</t>
  </si>
  <si>
    <t>MIXERS AT THE BIO REACTORS</t>
  </si>
  <si>
    <t>19.8.1</t>
  </si>
  <si>
    <t>Replacement of mixer starter drives</t>
  </si>
  <si>
    <t>19.8.2</t>
  </si>
  <si>
    <t>19.8.3</t>
  </si>
  <si>
    <t>SECONDARY CLARIFIERS</t>
  </si>
  <si>
    <t>19.9.1</t>
  </si>
  <si>
    <t>Replacement of clarifier starter drives</t>
  </si>
  <si>
    <t>19.9.2</t>
  </si>
  <si>
    <t>19.9.3</t>
  </si>
  <si>
    <t>Local emergency stop stations</t>
  </si>
  <si>
    <t>19.10.</t>
  </si>
  <si>
    <t>19.10.1</t>
  </si>
  <si>
    <t>Additional starter drive</t>
  </si>
  <si>
    <t>19.10.2</t>
  </si>
  <si>
    <t>19.10.3</t>
  </si>
  <si>
    <t>NEW HOW BLOWER ROOM STATION</t>
  </si>
  <si>
    <t>19.11.1</t>
  </si>
  <si>
    <t>19.11.2</t>
  </si>
  <si>
    <t>19.11.3</t>
  </si>
  <si>
    <t>19.11.4</t>
  </si>
  <si>
    <t>CB installed at sub 3</t>
  </si>
  <si>
    <t>19.11.5</t>
  </si>
  <si>
    <t>19.11.6</t>
  </si>
  <si>
    <t>19.11.7</t>
  </si>
  <si>
    <t>NEW WASH WATER FILTER BUILDING</t>
  </si>
  <si>
    <t>19.12.1</t>
  </si>
  <si>
    <t>19.12.2</t>
  </si>
  <si>
    <t>19.12.3</t>
  </si>
  <si>
    <t>19.12.4</t>
  </si>
  <si>
    <t>19.12.5</t>
  </si>
  <si>
    <t>19.12.6</t>
  </si>
  <si>
    <t>19.12.7</t>
  </si>
  <si>
    <t>HOW MODULE 2 COARSE SCREENS</t>
  </si>
  <si>
    <t>19.13.1</t>
  </si>
  <si>
    <t>19.13.2</t>
  </si>
  <si>
    <t>19.13.3</t>
  </si>
  <si>
    <t>19.13.4</t>
  </si>
  <si>
    <t>19.13.5</t>
  </si>
  <si>
    <t>EMERGENCY DAM MINI SUBSTATION and MCC</t>
  </si>
  <si>
    <t>19.14.1</t>
  </si>
  <si>
    <t>Replacement of Mini Substation</t>
  </si>
  <si>
    <t>19.14.2</t>
  </si>
  <si>
    <t>Refurbishment of MCC</t>
  </si>
  <si>
    <t>19.14.3</t>
  </si>
  <si>
    <t>Supply and install "self levelling screed" (Engineer approved, to manufacturer's instructions) for electrical panels and control panels</t>
  </si>
  <si>
    <r>
      <t>m</t>
    </r>
    <r>
      <rPr>
        <vertAlign val="superscript"/>
        <sz val="10"/>
        <color rgb="FF000000"/>
        <rFont val="SWISS"/>
      </rPr>
      <t>2</t>
    </r>
  </si>
  <si>
    <t>PROVISIONAL SUMS FOR REFURBISHMENT OF EXISTING ELECTRICAL EQUIPMENT</t>
  </si>
  <si>
    <t>19.15.1</t>
  </si>
  <si>
    <t xml:space="preserve">Replacement of Vandalised Power Supply Cables, MCC's and associated equipment </t>
  </si>
  <si>
    <t>19.15.2</t>
  </si>
  <si>
    <t>PST's Electrical refurbishment</t>
  </si>
  <si>
    <t>19.15.3</t>
  </si>
  <si>
    <t>Fermenters Electrical refurbishment</t>
  </si>
  <si>
    <t>19.15.4</t>
  </si>
  <si>
    <t>Primary Sludge Pumps (1to3) Refurbishment</t>
  </si>
  <si>
    <t>19.15.5</t>
  </si>
  <si>
    <t>Fermented Sludge Pumps (1to3) Refurbishment</t>
  </si>
  <si>
    <t>19.15.6</t>
  </si>
  <si>
    <t>Lime Clarifier Electrical refurbishment</t>
  </si>
  <si>
    <t>19.15.7</t>
  </si>
  <si>
    <t>Replacement of Emergency Generator</t>
  </si>
  <si>
    <t>19.15.8</t>
  </si>
  <si>
    <t>Allowance for work at existing infrastructure</t>
  </si>
  <si>
    <t>TOTAL FOR SECTION 19 (Carried to Summary)</t>
  </si>
  <si>
    <t>SECTION 19 - Electrical Equipment</t>
  </si>
  <si>
    <t xml:space="preserve">PAYMENT CLAUSE </t>
  </si>
  <si>
    <r>
      <t xml:space="preserve">Tenderers must note that </t>
    </r>
    <r>
      <rPr>
        <b/>
        <u/>
        <sz val="10"/>
        <color rgb="FF000000"/>
        <rFont val="Arial"/>
        <family val="2"/>
      </rPr>
      <t>PSY3, 4 &amp; 5</t>
    </r>
    <r>
      <rPr>
        <u/>
        <sz val="10"/>
        <color indexed="8"/>
        <rFont val="Arial"/>
        <family val="2"/>
      </rPr>
      <t xml:space="preserve"> must be read in conjunction with all payment clauses.</t>
    </r>
  </si>
  <si>
    <t>PSY 6</t>
  </si>
  <si>
    <t>11kV SUBSTATIONS</t>
  </si>
  <si>
    <t>Note: The programming / grading of protection relays must achieve the correct relay co-ordination that will ensure the correct discrimination.</t>
  </si>
  <si>
    <t>SUBSTATION 0</t>
  </si>
  <si>
    <t>a</t>
  </si>
  <si>
    <t>11kV RMU panel including 2 x motorised 11kV 630A switch disconnectors &amp; 3 x motorised 11kV 630A vacuum circuit breakers as specifications and drawings.</t>
  </si>
  <si>
    <t>b</t>
  </si>
  <si>
    <t>Programming of circuit breaker protection relays during the FAT.</t>
  </si>
  <si>
    <t>c</t>
  </si>
  <si>
    <t>Umbilical cord including male socket and control station for the remote operation of the 11kV switch disconnectors and 11kV vacuum circuit breakers.</t>
  </si>
  <si>
    <t>d</t>
  </si>
  <si>
    <t>PSY 17</t>
  </si>
  <si>
    <t>30V DC 3A, Battery Tripping Unit including 10AH Nickel Cadium Batteries.</t>
  </si>
  <si>
    <t>e</t>
  </si>
  <si>
    <t>PSY 7</t>
  </si>
  <si>
    <t>10A single pole 10kA circuit breaker to be installed into the existing small power DB.</t>
  </si>
  <si>
    <t>f</t>
  </si>
  <si>
    <t>PSY 11</t>
  </si>
  <si>
    <t>PVC/SWA/PVC copper conductor cables pulled through 25mm galvanised conduit. (conduitand cable terminations measured elsewhere).</t>
  </si>
  <si>
    <r>
      <t>2.5mm</t>
    </r>
    <r>
      <rPr>
        <vertAlign val="superscript"/>
        <sz val="10"/>
        <rFont val="Arial"/>
        <family val="2"/>
      </rPr>
      <t>2</t>
    </r>
    <r>
      <rPr>
        <sz val="10"/>
        <color theme="1"/>
        <rFont val="Arial"/>
        <family val="2"/>
      </rPr>
      <t xml:space="preserve"> x 3 core (BTU) </t>
    </r>
  </si>
  <si>
    <t>g</t>
  </si>
  <si>
    <t>PVC/SWA/PVC Exe corrosion guard cable glands (IP68) complete including conductor &amp; earth termination, lugs, tapes, drilling etc.</t>
  </si>
  <si>
    <t>h</t>
  </si>
  <si>
    <t>PSY 3 &amp; 4</t>
  </si>
  <si>
    <t>25mm galvanised conduit, surface mounted to brick walling including saddles and aux items.</t>
  </si>
  <si>
    <t>i</t>
  </si>
  <si>
    <t>PSY 10</t>
  </si>
  <si>
    <r>
      <t>185mm</t>
    </r>
    <r>
      <rPr>
        <vertAlign val="superscript"/>
        <sz val="10"/>
        <rFont val="Arial"/>
        <family val="2"/>
      </rPr>
      <t>2</t>
    </r>
    <r>
      <rPr>
        <sz val="10"/>
        <rFont val="Arial"/>
        <family val="2"/>
      </rPr>
      <t xml:space="preserve"> x 3 core, 11kV PILC copper cable to table 18 to be installed in cable trench. (trenches and cable terminations measured elsewhere)</t>
    </r>
  </si>
  <si>
    <t>j</t>
  </si>
  <si>
    <r>
      <t>185mm</t>
    </r>
    <r>
      <rPr>
        <vertAlign val="superscript"/>
        <sz val="10"/>
        <rFont val="Arial"/>
        <family val="2"/>
      </rPr>
      <t>2</t>
    </r>
    <r>
      <rPr>
        <sz val="10"/>
        <color theme="1"/>
        <rFont val="Arial"/>
        <family val="2"/>
      </rPr>
      <t xml:space="preserve"> x 3 core, 11kV PILC copper cable </t>
    </r>
    <r>
      <rPr>
        <sz val="10"/>
        <rFont val="Arial"/>
        <family val="2"/>
      </rPr>
      <t>joint</t>
    </r>
  </si>
  <si>
    <t>k</t>
  </si>
  <si>
    <r>
      <t>185mm</t>
    </r>
    <r>
      <rPr>
        <vertAlign val="superscript"/>
        <sz val="10"/>
        <rFont val="Arial"/>
        <family val="2"/>
      </rPr>
      <t>2</t>
    </r>
    <r>
      <rPr>
        <sz val="10"/>
        <color theme="1"/>
        <rFont val="Arial"/>
        <family val="2"/>
      </rPr>
      <t xml:space="preserve"> x 3 core, 11kV PILC copper cable </t>
    </r>
    <r>
      <rPr>
        <sz val="10"/>
        <rFont val="Arial"/>
        <family val="2"/>
      </rPr>
      <t>internal termination.</t>
    </r>
  </si>
  <si>
    <t>l</t>
  </si>
  <si>
    <r>
      <t>50mm</t>
    </r>
    <r>
      <rPr>
        <vertAlign val="superscript"/>
        <sz val="10"/>
        <rFont val="Arial"/>
        <family val="2"/>
      </rPr>
      <t>2</t>
    </r>
    <r>
      <rPr>
        <sz val="10"/>
        <rFont val="Arial"/>
        <family val="2"/>
      </rPr>
      <t xml:space="preserve"> x 3 core, 11kV PILC copper cable to table 18 to be installed in cable trench. (trenches and cable terminations measured elsewhere)</t>
    </r>
  </si>
  <si>
    <r>
      <t>50mm</t>
    </r>
    <r>
      <rPr>
        <vertAlign val="superscript"/>
        <sz val="10"/>
        <rFont val="Arial"/>
        <family val="2"/>
      </rPr>
      <t>2</t>
    </r>
    <r>
      <rPr>
        <sz val="10"/>
        <color theme="1"/>
        <rFont val="Arial"/>
        <family val="2"/>
      </rPr>
      <t xml:space="preserve"> x 3 core, 11kV PILC copper cable </t>
    </r>
    <r>
      <rPr>
        <sz val="10"/>
        <rFont val="Arial"/>
        <family val="2"/>
      </rPr>
      <t>joint</t>
    </r>
  </si>
  <si>
    <t>n</t>
  </si>
  <si>
    <r>
      <t>50mm</t>
    </r>
    <r>
      <rPr>
        <vertAlign val="superscript"/>
        <sz val="10"/>
        <rFont val="Arial"/>
        <family val="2"/>
      </rPr>
      <t>2</t>
    </r>
    <r>
      <rPr>
        <sz val="10"/>
        <color theme="1"/>
        <rFont val="Arial"/>
        <family val="2"/>
      </rPr>
      <t xml:space="preserve"> x 3 core, 11kV PILC copper cable </t>
    </r>
    <r>
      <rPr>
        <sz val="10"/>
        <rFont val="Arial"/>
        <family val="2"/>
      </rPr>
      <t>internal termination.</t>
    </r>
  </si>
  <si>
    <t>SUBSTATION 1</t>
  </si>
  <si>
    <t>11kV RMU panel including 2 x motorised 11kV 630A switch disconnectors &amp; 2 x motorised 11kV 630A vacuum circuit breakers as specifications and drawings.</t>
  </si>
  <si>
    <t>PVC/SWA/PVC Exe corrosion guard cable glands (IP68) complete including conductor &amp; earth termination, lugs, tapes, drilling etc</t>
  </si>
  <si>
    <t>SUBSTATION 2</t>
  </si>
  <si>
    <t>SUBSTATION 3</t>
  </si>
  <si>
    <t xml:space="preserve">HOW SUBSTATION </t>
  </si>
  <si>
    <t>11kV RMU panel including 1 x motorised 11kV 630A switch disconnectors &amp; 3 x motorised 11kV 630A vacuum circuit breakers as specifications and drawings.</t>
  </si>
  <si>
    <t xml:space="preserve">BLOWER SUBSTATION </t>
  </si>
  <si>
    <t>11kV metal clad switchgear panel including 2 x 11kV 800A incomer vacuum spring actuated circuit breakers, 4 x 11kV 800A feeder vacuum spring actuated circuit breakers, 5 x 11kV 800A vacuum magnetic actuated circuit breakers &amp; 1 x 11kV/110V 200VA class 1 busbar VT panel as specifications and drawings.</t>
  </si>
  <si>
    <t xml:space="preserve">Umbilical cord including male socket and control station for the remote operation of the 11kV vacuum circuit breakers. </t>
  </si>
  <si>
    <t>110V DC 10A, Battery Tripping Unit including 60AH Nickel Cadium Batteries.</t>
  </si>
  <si>
    <t xml:space="preserve">EMERGENCY DAM MINI SUBSTATION </t>
  </si>
  <si>
    <t>315kVA, 11kV / 400V mini substation including 1 x 630A 11kV CB RMU. The mini sub must include the following: Main 3 ph 400V circuit breaker 4 x 250A 3ph circuit breakers. Instrumentation and switchgear as listed in Johannesburg Water's specification. The mini substation must be in accordance with Johannesburg Water's particular  specification E18.</t>
  </si>
  <si>
    <t>Precast concrete plinth including LV &amp; MV cable appertures to correspond with the mini substation's switchgear.</t>
  </si>
  <si>
    <t>Disconnect, removal and transporting of the existing 315kVA mini substation to a destination of the contractor's choice.</t>
  </si>
  <si>
    <t>TRASH SCREEN</t>
  </si>
  <si>
    <t>LV CABLE</t>
  </si>
  <si>
    <t>PVC/SWA/PVC copper conductor cables strapped to cable ladders or laid in trenches. (trenches, sleeves and cable terminations measured elsewhere).</t>
  </si>
  <si>
    <r>
      <t>2.5mm</t>
    </r>
    <r>
      <rPr>
        <vertAlign val="superscript"/>
        <sz val="10"/>
        <rFont val="Arial"/>
        <family val="2"/>
      </rPr>
      <t>2</t>
    </r>
    <r>
      <rPr>
        <sz val="10"/>
        <color theme="1"/>
        <rFont val="Arial"/>
        <family val="2"/>
      </rPr>
      <t xml:space="preserve"> x 4 core (HOW New Blower Room </t>
    </r>
    <r>
      <rPr>
        <sz val="10"/>
        <rFont val="Arial"/>
        <family val="2"/>
      </rPr>
      <t>MCC - Sluice Gate Actuator)</t>
    </r>
  </si>
  <si>
    <r>
      <t>4mm</t>
    </r>
    <r>
      <rPr>
        <vertAlign val="superscript"/>
        <sz val="10"/>
        <rFont val="Arial"/>
        <family val="2"/>
      </rPr>
      <t>2</t>
    </r>
    <r>
      <rPr>
        <sz val="10"/>
        <color theme="1"/>
        <rFont val="Arial"/>
        <family val="2"/>
      </rPr>
      <t xml:space="preserve"> x 4 core (HOW New Blower Room </t>
    </r>
    <r>
      <rPr>
        <sz val="10"/>
        <rFont val="Arial"/>
        <family val="2"/>
      </rPr>
      <t>MCC - Crawl motor)</t>
    </r>
  </si>
  <si>
    <r>
      <t>4mm</t>
    </r>
    <r>
      <rPr>
        <vertAlign val="superscript"/>
        <sz val="10"/>
        <rFont val="Arial"/>
        <family val="2"/>
      </rPr>
      <t>2</t>
    </r>
    <r>
      <rPr>
        <sz val="10"/>
        <color theme="1"/>
        <rFont val="Arial"/>
        <family val="2"/>
      </rPr>
      <t xml:space="preserve"> x 4 core (HOW New Blower Room MCC</t>
    </r>
    <r>
      <rPr>
        <sz val="10"/>
        <rFont val="Arial"/>
        <family val="2"/>
      </rPr>
      <t xml:space="preserve"> '-Inlet Works Trash Screen motor)</t>
    </r>
  </si>
  <si>
    <t>LV CABLE TERMINATION</t>
  </si>
  <si>
    <r>
      <t>2.5mm</t>
    </r>
    <r>
      <rPr>
        <vertAlign val="superscript"/>
        <sz val="10"/>
        <rFont val="Arial"/>
        <family val="2"/>
      </rPr>
      <t>2</t>
    </r>
    <r>
      <rPr>
        <sz val="10"/>
        <color theme="1"/>
        <rFont val="Arial"/>
        <family val="2"/>
      </rPr>
      <t xml:space="preserve"> x 4 core (Sluice Gate Actuator) </t>
    </r>
  </si>
  <si>
    <r>
      <t>2.5mm</t>
    </r>
    <r>
      <rPr>
        <vertAlign val="superscript"/>
        <sz val="10"/>
        <rFont val="Arial"/>
        <family val="2"/>
      </rPr>
      <t>2</t>
    </r>
    <r>
      <rPr>
        <sz val="10"/>
        <color theme="1"/>
        <rFont val="Arial"/>
        <family val="2"/>
      </rPr>
      <t xml:space="preserve"> x 4 core (Crawl motor) </t>
    </r>
  </si>
  <si>
    <r>
      <t>4mm</t>
    </r>
    <r>
      <rPr>
        <vertAlign val="superscript"/>
        <sz val="10"/>
        <rFont val="Arial"/>
        <family val="2"/>
      </rPr>
      <t>2</t>
    </r>
    <r>
      <rPr>
        <sz val="10"/>
        <color theme="1"/>
        <rFont val="Arial"/>
        <family val="2"/>
      </rPr>
      <t xml:space="preserve"> x 4 core (Trash Screen motor)</t>
    </r>
  </si>
  <si>
    <t>CABLE EXCAVATION</t>
  </si>
  <si>
    <t>PSY 16</t>
  </si>
  <si>
    <t>Pickable material</t>
  </si>
  <si>
    <t>Backfilling of cable trenches.</t>
  </si>
  <si>
    <t>CABLE ROUTE MARKERS</t>
  </si>
  <si>
    <t>PSY 14</t>
  </si>
  <si>
    <t>Concrete cable route markers.</t>
  </si>
  <si>
    <t>CABLE LADDER AND TRAY</t>
  </si>
  <si>
    <t>PSY 15</t>
  </si>
  <si>
    <t xml:space="preserve">OL55 duplex coating (exterior polyester) 3CR12 cable ladder including all accessories mounted to concrete slabs / railing. </t>
  </si>
  <si>
    <t>100mm cable ladder</t>
  </si>
  <si>
    <t>200mm cable ladder</t>
  </si>
  <si>
    <r>
      <t>100mm 90</t>
    </r>
    <r>
      <rPr>
        <vertAlign val="superscript"/>
        <sz val="10"/>
        <color indexed="8"/>
        <rFont val="Arial"/>
        <family val="2"/>
      </rPr>
      <t xml:space="preserve">o </t>
    </r>
    <r>
      <rPr>
        <sz val="10"/>
        <color indexed="8"/>
        <rFont val="Arial"/>
        <family val="2"/>
      </rPr>
      <t>bends</t>
    </r>
  </si>
  <si>
    <r>
      <t>200mm 90</t>
    </r>
    <r>
      <rPr>
        <vertAlign val="superscript"/>
        <sz val="10"/>
        <color indexed="8"/>
        <rFont val="Arial"/>
        <family val="2"/>
      </rPr>
      <t xml:space="preserve">o </t>
    </r>
    <r>
      <rPr>
        <sz val="10"/>
        <color indexed="8"/>
        <rFont val="Arial"/>
        <family val="2"/>
      </rPr>
      <t>bends</t>
    </r>
  </si>
  <si>
    <t>JUNCTION BOXES</t>
  </si>
  <si>
    <t>PVC/SWA/PVC Exe 4 way ezee / fit junction box (IP68) complete including terminals, lugs, tapes, drilling etc (glands measured elsewhere).</t>
  </si>
  <si>
    <t>LOCAL MOTOR ISOLATORS / STOP - START STATIONS</t>
  </si>
  <si>
    <t>PSY 19</t>
  </si>
  <si>
    <t>Local IP65 2.2kW 3 phase motor isolator / stop - start stations (Trash screen motor) (Drawing 18056-73-12-131)</t>
  </si>
  <si>
    <t>3CR12 support stands for the above item.</t>
  </si>
  <si>
    <t xml:space="preserve">HoW MODULE 1 &amp; HoW GENERATOR </t>
  </si>
  <si>
    <t>MV CABLE SUBSTATION 3</t>
  </si>
  <si>
    <t>LV OVERHEAD BUSBARS</t>
  </si>
  <si>
    <t>PSY 26</t>
  </si>
  <si>
    <t>Disconnect and transport the existing vandalised 1000A overhead copper busbar to the Electrical Workshop at Bushkoppie WwTW</t>
  </si>
  <si>
    <t>Supply and install</t>
  </si>
  <si>
    <t>Telemecanique Canalis KG2 (800A -1000A, 660V) Copper Busbar Trunking or similar approved.</t>
  </si>
  <si>
    <t>Copper busbar trunking including supports</t>
  </si>
  <si>
    <t>Transformer box.</t>
  </si>
  <si>
    <t>Set of flexibles</t>
  </si>
  <si>
    <t>Transformer end feed unit.</t>
  </si>
  <si>
    <t>Elbow</t>
  </si>
  <si>
    <t>Panel end feed unit.</t>
  </si>
  <si>
    <t>MOTOR CONTROL CENTRE</t>
  </si>
  <si>
    <t>PSY 8</t>
  </si>
  <si>
    <t>Disconnect and transport the existing vandalised HOW Module 1 MCC to the Electrical Workshop at Bushkoppie WwTW.</t>
  </si>
  <si>
    <t>Manufacture, supply and off loading of the HOW Module 1 MCC, including PLC marshalling tier as detailed in the specifications, single line diagram 18056-73-12-153 and associated motor starter drive schematic tender drawings.</t>
  </si>
  <si>
    <r>
      <t>95mm</t>
    </r>
    <r>
      <rPr>
        <vertAlign val="superscript"/>
        <sz val="10"/>
        <rFont val="Arial"/>
        <family val="2"/>
      </rPr>
      <t>2</t>
    </r>
    <r>
      <rPr>
        <sz val="10"/>
        <color theme="1"/>
        <rFont val="Arial"/>
        <family val="2"/>
      </rPr>
      <t xml:space="preserve"> x 4 core</t>
    </r>
  </si>
  <si>
    <r>
      <t>120mm</t>
    </r>
    <r>
      <rPr>
        <vertAlign val="superscript"/>
        <sz val="10"/>
        <rFont val="Arial"/>
        <family val="2"/>
      </rPr>
      <t>2</t>
    </r>
    <r>
      <rPr>
        <sz val="10"/>
        <color theme="1"/>
        <rFont val="Arial"/>
        <family val="2"/>
      </rPr>
      <t xml:space="preserve"> x 4 core </t>
    </r>
  </si>
  <si>
    <r>
      <t>150mm</t>
    </r>
    <r>
      <rPr>
        <vertAlign val="superscript"/>
        <sz val="10"/>
        <rFont val="Arial"/>
        <family val="2"/>
      </rPr>
      <t>2</t>
    </r>
    <r>
      <rPr>
        <sz val="10"/>
        <color theme="1"/>
        <rFont val="Arial"/>
        <family val="2"/>
      </rPr>
      <t xml:space="preserve"> x 4 core </t>
    </r>
  </si>
  <si>
    <r>
      <t>35mm</t>
    </r>
    <r>
      <rPr>
        <vertAlign val="superscript"/>
        <sz val="10"/>
        <rFont val="Arial"/>
        <family val="2"/>
      </rPr>
      <t>2</t>
    </r>
    <r>
      <rPr>
        <sz val="10"/>
        <color theme="1"/>
        <rFont val="Arial"/>
        <family val="2"/>
      </rPr>
      <t xml:space="preserve"> Bare Copper Earth Wire</t>
    </r>
  </si>
  <si>
    <r>
      <t>70mm</t>
    </r>
    <r>
      <rPr>
        <vertAlign val="superscript"/>
        <sz val="10"/>
        <rFont val="Arial"/>
        <family val="2"/>
      </rPr>
      <t>2</t>
    </r>
    <r>
      <rPr>
        <sz val="10"/>
        <color theme="1"/>
        <rFont val="Arial"/>
        <family val="2"/>
      </rPr>
      <t xml:space="preserve"> Bare Copper Earth Wire</t>
    </r>
  </si>
  <si>
    <t xml:space="preserve">OL76 duplex coating (exterior polyester) 3CR12 cable ladder including all accessories mounted to concrete slabs / railing. </t>
  </si>
  <si>
    <t>300mm cable ladder</t>
  </si>
  <si>
    <t>400mm cable ladder</t>
  </si>
  <si>
    <r>
      <t>300mm 90</t>
    </r>
    <r>
      <rPr>
        <vertAlign val="superscript"/>
        <sz val="10"/>
        <color indexed="8"/>
        <rFont val="Arial"/>
        <family val="2"/>
      </rPr>
      <t xml:space="preserve">o </t>
    </r>
    <r>
      <rPr>
        <sz val="10"/>
        <color indexed="8"/>
        <rFont val="Arial"/>
        <family val="2"/>
      </rPr>
      <t>bends</t>
    </r>
  </si>
  <si>
    <r>
      <t>400mm 90</t>
    </r>
    <r>
      <rPr>
        <vertAlign val="superscript"/>
        <sz val="10"/>
        <color indexed="8"/>
        <rFont val="Arial"/>
        <family val="2"/>
      </rPr>
      <t xml:space="preserve">o </t>
    </r>
    <r>
      <rPr>
        <sz val="10"/>
        <color indexed="8"/>
        <rFont val="Arial"/>
        <family val="2"/>
      </rPr>
      <t>bends</t>
    </r>
  </si>
  <si>
    <t>INDOOR STANDBY EMERGENCY GENERATOR</t>
  </si>
  <si>
    <t>PSY 23</t>
  </si>
  <si>
    <t>Transport the existing CAT 300kVA emergency generator to the Electrical Workshop at Bushkoppie WwTW.</t>
  </si>
  <si>
    <t>600kVA 400V standby emergeny generator including automatic change over panel, day tank, bulk fuel tank, filling accessories, transfer pumps, sound attenuated exhaust as detailed in the specifications.</t>
  </si>
  <si>
    <t>Sound attenuated inlet and outlet louvres, and duting between the radiator and outlet louvre. (louvres will be built into brick walling by others)</t>
  </si>
  <si>
    <t>PSY 12</t>
  </si>
  <si>
    <t>Control cabling between the generator's change over panel and the change over switchgear mounted inside Module 1 MCC.</t>
  </si>
  <si>
    <t>Notes:</t>
  </si>
  <si>
    <t>Tenderes to note that the size of the generator room &amp; the single line diagram of the change over panel are indicated on drawing 18056-73-12-152</t>
  </si>
  <si>
    <t>HoW MODULE 1 COARSE SCREENS</t>
  </si>
  <si>
    <r>
      <t>1.5mm</t>
    </r>
    <r>
      <rPr>
        <vertAlign val="superscript"/>
        <sz val="10"/>
        <rFont val="Arial"/>
        <family val="2"/>
      </rPr>
      <t>2</t>
    </r>
    <r>
      <rPr>
        <sz val="10"/>
        <color theme="1"/>
        <rFont val="Arial"/>
        <family val="2"/>
      </rPr>
      <t xml:space="preserve"> x 7 core (12 x local motor isolators / </t>
    </r>
    <r>
      <rPr>
        <sz val="10"/>
        <rFont val="Arial"/>
        <family val="2"/>
      </rPr>
      <t>stop - start stations)</t>
    </r>
  </si>
  <si>
    <r>
      <t>1.5mm</t>
    </r>
    <r>
      <rPr>
        <vertAlign val="superscript"/>
        <sz val="10"/>
        <rFont val="Arial"/>
        <family val="2"/>
      </rPr>
      <t>2</t>
    </r>
    <r>
      <rPr>
        <sz val="10"/>
        <color theme="1"/>
        <rFont val="Arial"/>
        <family val="2"/>
      </rPr>
      <t xml:space="preserve"> x 3 core (3 x skips / bins 12 x limit </t>
    </r>
    <r>
      <rPr>
        <sz val="10"/>
        <rFont val="Arial"/>
        <family val="2"/>
      </rPr>
      <t>switches)</t>
    </r>
  </si>
  <si>
    <r>
      <t>1.5mm</t>
    </r>
    <r>
      <rPr>
        <vertAlign val="superscript"/>
        <sz val="10"/>
        <rFont val="Arial"/>
        <family val="2"/>
      </rPr>
      <t>2</t>
    </r>
    <r>
      <rPr>
        <sz val="10"/>
        <color theme="1"/>
        <rFont val="Arial"/>
        <family val="2"/>
      </rPr>
      <t xml:space="preserve"> x 7 core (skips / bins)</t>
    </r>
  </si>
  <si>
    <r>
      <t>1.5mm</t>
    </r>
    <r>
      <rPr>
        <vertAlign val="superscript"/>
        <sz val="10"/>
        <rFont val="Arial"/>
        <family val="2"/>
      </rPr>
      <t>2</t>
    </r>
    <r>
      <rPr>
        <sz val="10"/>
        <color theme="1"/>
        <rFont val="Arial"/>
        <family val="2"/>
      </rPr>
      <t xml:space="preserve"> x 12 core (skips / bins)</t>
    </r>
  </si>
  <si>
    <r>
      <t>1.5mm</t>
    </r>
    <r>
      <rPr>
        <vertAlign val="superscript"/>
        <sz val="10"/>
        <rFont val="Arial"/>
        <family val="2"/>
      </rPr>
      <t>2</t>
    </r>
    <r>
      <rPr>
        <sz val="10"/>
        <color theme="1"/>
        <rFont val="Arial"/>
        <family val="2"/>
      </rPr>
      <t xml:space="preserve"> x 19 core (skips / bins)</t>
    </r>
  </si>
  <si>
    <r>
      <t>1.5mm</t>
    </r>
    <r>
      <rPr>
        <vertAlign val="superscript"/>
        <sz val="10"/>
        <rFont val="Arial"/>
        <family val="2"/>
      </rPr>
      <t>2</t>
    </r>
    <r>
      <rPr>
        <sz val="10"/>
        <color theme="1"/>
        <rFont val="Arial"/>
        <family val="2"/>
      </rPr>
      <t xml:space="preserve"> x 7 core </t>
    </r>
    <r>
      <rPr>
        <sz val="10"/>
        <rFont val="Arial"/>
        <family val="2"/>
      </rPr>
      <t>(Local motor isolators)</t>
    </r>
  </si>
  <si>
    <r>
      <t>2.5mm</t>
    </r>
    <r>
      <rPr>
        <vertAlign val="superscript"/>
        <sz val="10"/>
        <rFont val="Arial"/>
        <family val="2"/>
      </rPr>
      <t>2</t>
    </r>
    <r>
      <rPr>
        <sz val="10"/>
        <color theme="1"/>
        <rFont val="Arial"/>
        <family val="2"/>
      </rPr>
      <t xml:space="preserve"> x 4 core (Actuators) </t>
    </r>
  </si>
  <si>
    <r>
      <t>2.5mm</t>
    </r>
    <r>
      <rPr>
        <vertAlign val="superscript"/>
        <sz val="10"/>
        <rFont val="Arial"/>
        <family val="2"/>
      </rPr>
      <t>2</t>
    </r>
    <r>
      <rPr>
        <sz val="10"/>
        <color theme="1"/>
        <rFont val="Arial"/>
        <family val="2"/>
      </rPr>
      <t xml:space="preserve"> x 4 core </t>
    </r>
    <r>
      <rPr>
        <sz val="10"/>
        <rFont val="Arial"/>
        <family val="2"/>
      </rPr>
      <t>(Motors)</t>
    </r>
  </si>
  <si>
    <r>
      <t>1mm</t>
    </r>
    <r>
      <rPr>
        <vertAlign val="superscript"/>
        <sz val="10"/>
        <rFont val="Arial"/>
        <family val="2"/>
      </rPr>
      <t>2</t>
    </r>
    <r>
      <rPr>
        <sz val="10"/>
        <color theme="1"/>
        <rFont val="Arial"/>
        <family val="2"/>
      </rPr>
      <t xml:space="preserve"> x 3 core </t>
    </r>
  </si>
  <si>
    <r>
      <t>1mm</t>
    </r>
    <r>
      <rPr>
        <vertAlign val="superscript"/>
        <sz val="10"/>
        <rFont val="Arial"/>
        <family val="2"/>
      </rPr>
      <t>2</t>
    </r>
    <r>
      <rPr>
        <sz val="10"/>
        <color theme="1"/>
        <rFont val="Arial"/>
        <family val="2"/>
      </rPr>
      <t xml:space="preserve"> x 7 core </t>
    </r>
  </si>
  <si>
    <r>
      <t>1mm</t>
    </r>
    <r>
      <rPr>
        <vertAlign val="superscript"/>
        <sz val="10"/>
        <rFont val="Arial"/>
        <family val="2"/>
      </rPr>
      <t>2</t>
    </r>
    <r>
      <rPr>
        <sz val="10"/>
        <color theme="1"/>
        <rFont val="Arial"/>
        <family val="2"/>
      </rPr>
      <t xml:space="preserve"> x 12 core </t>
    </r>
  </si>
  <si>
    <r>
      <t>1mm</t>
    </r>
    <r>
      <rPr>
        <vertAlign val="superscript"/>
        <sz val="10"/>
        <rFont val="Arial"/>
        <family val="2"/>
      </rPr>
      <t>2</t>
    </r>
    <r>
      <rPr>
        <sz val="10"/>
        <color theme="1"/>
        <rFont val="Arial"/>
        <family val="2"/>
      </rPr>
      <t xml:space="preserve"> x 19 core </t>
    </r>
  </si>
  <si>
    <t>Concrete cable route markers</t>
  </si>
  <si>
    <t xml:space="preserve">OL55 duplex coating (exterior polyester) 3CR12 cable ladder including all accessories mounted to concrete slabs / bio reactor railing. </t>
  </si>
  <si>
    <t>500mm cable ladder</t>
  </si>
  <si>
    <r>
      <t>500mm 90</t>
    </r>
    <r>
      <rPr>
        <vertAlign val="superscript"/>
        <sz val="10"/>
        <color indexed="8"/>
        <rFont val="Arial"/>
        <family val="2"/>
      </rPr>
      <t xml:space="preserve">o </t>
    </r>
    <r>
      <rPr>
        <sz val="10"/>
        <color indexed="8"/>
        <rFont val="Arial"/>
        <family val="2"/>
      </rPr>
      <t>bends</t>
    </r>
  </si>
  <si>
    <t>SKIPS</t>
  </si>
  <si>
    <t>PSY 20</t>
  </si>
  <si>
    <t xml:space="preserve">Removal of existing limit / proximity switches, local stop / start stations, local skip control buttons and the replacement of these items. </t>
  </si>
  <si>
    <t>IP66, NO &amp; NC, 6A, 230V AC limit switches including spring return roller lever &amp; 3CR12 mounting plates. (Existing: ERSCE E300-00-FM)</t>
  </si>
  <si>
    <t>230V 200/300mA proximity switches (Existing: Telemecanique XS1M30MA230)</t>
  </si>
  <si>
    <t>PSY 5 &amp;18</t>
  </si>
  <si>
    <t>IP65 emergency stop - start push button station for the traversing conveyor (To be installed onto the side of existing steel work).</t>
  </si>
  <si>
    <t>IP65 emergency stop, left &amp; right push button station for the positioning of the traversing conveyor. (To be installed onto the side of existing steel work).</t>
  </si>
  <si>
    <r>
      <t xml:space="preserve">Replacement of the IP65 230V </t>
    </r>
    <r>
      <rPr>
        <u/>
        <sz val="10"/>
        <color rgb="FF000000"/>
        <rFont val="Arial"/>
        <family val="2"/>
      </rPr>
      <t>start</t>
    </r>
    <r>
      <rPr>
        <sz val="10"/>
        <color indexed="8"/>
        <rFont val="Arial"/>
        <family val="2"/>
      </rPr>
      <t xml:space="preserve"> buttons on the existing local manual skip control panel.</t>
    </r>
  </si>
  <si>
    <r>
      <t xml:space="preserve">Replacement of the IP65 230V </t>
    </r>
    <r>
      <rPr>
        <u/>
        <sz val="10"/>
        <color rgb="FF000000"/>
        <rFont val="Arial"/>
        <family val="2"/>
      </rPr>
      <t>stop</t>
    </r>
    <r>
      <rPr>
        <sz val="10"/>
        <color indexed="8"/>
        <rFont val="Arial"/>
        <family val="2"/>
      </rPr>
      <t xml:space="preserve"> buttons on the existing local manual skip control panel.</t>
    </r>
  </si>
  <si>
    <t>ADDITIONAL WIRING, TERMINALS &amp; SWITCHGEAR TO EXISTING MOTOR STARTER DRIVES</t>
  </si>
  <si>
    <t>PSY 5</t>
  </si>
  <si>
    <t>Single pole 6A circuit breaker, cubicle door test / normal push button (PB4), motor isolator relay (R2), local stop relay (R3) including all wiring and terminals to ensure that the 2 x PLC DI locked out and isolated signals are active. Note: The above can be referenced on the typical schematic 18056-73-12-110.</t>
  </si>
  <si>
    <t>LOCAL EMERGENCY STOP STATIONS</t>
  </si>
  <si>
    <t>PSY 18</t>
  </si>
  <si>
    <t>Surface mounted IP65 emergency stop push buttons including IP65 enclosures. (Mounted on the side existing steel work).</t>
  </si>
  <si>
    <t xml:space="preserve">Local IP65 1.5kW 3 phase motor isolator / stop - start stations. </t>
  </si>
  <si>
    <t xml:space="preserve">Local IP65 2.2kW 3 phase motor isolator / stop - start stations. </t>
  </si>
  <si>
    <t xml:space="preserve">Local IP65 3kW 3 phase motor isolator / stop - start stations. </t>
  </si>
  <si>
    <t>HOW MODULE 1 GRIT HANDLING INCLUDING BLOWERS &amp; COMPRESSORS</t>
  </si>
  <si>
    <t>Manufacture, supply and off loading of the HOW Compressor MCC, including PLC marshalling tier as detailed in the specifications and drawings 18056-73-12-117, 18056-73-12-118 &amp; 18056-73-12-119.</t>
  </si>
  <si>
    <t>Disconnect and transport the existing HOW Compressor MCC to the Electrical Workshop at Bushkoppie WwTW.</t>
  </si>
  <si>
    <r>
      <t>1.5mm</t>
    </r>
    <r>
      <rPr>
        <vertAlign val="superscript"/>
        <sz val="10"/>
        <rFont val="Arial"/>
        <family val="2"/>
      </rPr>
      <t>2</t>
    </r>
    <r>
      <rPr>
        <sz val="10"/>
        <color theme="1"/>
        <rFont val="Arial"/>
        <family val="2"/>
      </rPr>
      <t xml:space="preserve"> x 7 core (16 x local motor isolators / </t>
    </r>
    <r>
      <rPr>
        <sz val="10"/>
        <rFont val="Arial"/>
        <family val="2"/>
      </rPr>
      <t>stop - start stations)</t>
    </r>
  </si>
  <si>
    <r>
      <t>1.5mm</t>
    </r>
    <r>
      <rPr>
        <vertAlign val="superscript"/>
        <sz val="10"/>
        <rFont val="Arial"/>
        <family val="2"/>
      </rPr>
      <t>2</t>
    </r>
    <r>
      <rPr>
        <sz val="10"/>
        <color theme="1"/>
        <rFont val="Arial"/>
        <family val="2"/>
      </rPr>
      <t xml:space="preserve"> x 3 core (4 x skips / bins 16 x limit </t>
    </r>
    <r>
      <rPr>
        <sz val="10"/>
        <rFont val="Arial"/>
        <family val="2"/>
      </rPr>
      <t>switches)</t>
    </r>
  </si>
  <si>
    <r>
      <t>6mm</t>
    </r>
    <r>
      <rPr>
        <vertAlign val="superscript"/>
        <sz val="10"/>
        <rFont val="Arial"/>
        <family val="2"/>
      </rPr>
      <t>2</t>
    </r>
    <r>
      <rPr>
        <sz val="10"/>
        <color theme="1"/>
        <rFont val="Arial"/>
        <family val="2"/>
      </rPr>
      <t xml:space="preserve"> x 4 core </t>
    </r>
    <r>
      <rPr>
        <sz val="10"/>
        <rFont val="Arial"/>
        <family val="2"/>
      </rPr>
      <t>(Motors)</t>
    </r>
  </si>
  <si>
    <t>LEVEL PROBES</t>
  </si>
  <si>
    <t>Level probes as indicated on drawing 18056-73-12-112</t>
  </si>
  <si>
    <t>Single pole 6A circuit breaker, cubicle door test / normal push button (PB4), motor isolator relay (R2), local stop relay (R3) including all wiring and terminals to ensure that the 2 x PLC DI locked out and isolated signals are active. Note: The above can be referenced on the typical schematic 18056-73-12-110</t>
  </si>
  <si>
    <t>Local IP65 2.2kW 3 phase motor isolator / stop - start stations.</t>
  </si>
  <si>
    <t>Local IP65 15kW 3 phase motor isolator / stop - start stations.</t>
  </si>
  <si>
    <r>
      <t>1.5mm</t>
    </r>
    <r>
      <rPr>
        <vertAlign val="superscript"/>
        <sz val="10"/>
        <rFont val="Arial"/>
        <family val="2"/>
      </rPr>
      <t>2</t>
    </r>
    <r>
      <rPr>
        <sz val="10"/>
        <color theme="1"/>
        <rFont val="Arial"/>
        <family val="2"/>
      </rPr>
      <t xml:space="preserve"> x 7 core (10 x local motor isolators / </t>
    </r>
    <r>
      <rPr>
        <sz val="10"/>
        <rFont val="Arial"/>
        <family val="2"/>
      </rPr>
      <t>stop - start stations)</t>
    </r>
  </si>
  <si>
    <r>
      <t>2.5mm</t>
    </r>
    <r>
      <rPr>
        <vertAlign val="superscript"/>
        <sz val="10"/>
        <rFont val="Arial"/>
        <family val="2"/>
      </rPr>
      <t>2</t>
    </r>
    <r>
      <rPr>
        <sz val="10"/>
        <color theme="1"/>
        <rFont val="Arial"/>
        <family val="2"/>
      </rPr>
      <t xml:space="preserve"> x 4 core </t>
    </r>
    <r>
      <rPr>
        <sz val="10"/>
        <rFont val="Arial"/>
        <family val="2"/>
      </rPr>
      <t>(Actuators)</t>
    </r>
  </si>
  <si>
    <t>Local IP65 1.5kW 3 phase motor isolator / stop - start stations.</t>
  </si>
  <si>
    <t>HOW MODULE 2 GRIT HANDLING</t>
  </si>
  <si>
    <r>
      <t>1.5mm</t>
    </r>
    <r>
      <rPr>
        <vertAlign val="superscript"/>
        <sz val="10"/>
        <rFont val="Arial"/>
        <family val="2"/>
      </rPr>
      <t>2</t>
    </r>
    <r>
      <rPr>
        <sz val="10"/>
        <color theme="1"/>
        <rFont val="Arial"/>
        <family val="2"/>
      </rPr>
      <t xml:space="preserve"> x 7 core (1 x local motor isolator / </t>
    </r>
    <r>
      <rPr>
        <sz val="10"/>
        <rFont val="Arial"/>
        <family val="2"/>
      </rPr>
      <t>stop - start station)</t>
    </r>
  </si>
  <si>
    <r>
      <t>1.5mm</t>
    </r>
    <r>
      <rPr>
        <vertAlign val="superscript"/>
        <sz val="10"/>
        <rFont val="Arial"/>
        <family val="2"/>
      </rPr>
      <t>2</t>
    </r>
    <r>
      <rPr>
        <sz val="10"/>
        <color theme="1"/>
        <rFont val="Arial"/>
        <family val="2"/>
      </rPr>
      <t xml:space="preserve"> x 3 core (3 x skips local emergency </t>
    </r>
    <r>
      <rPr>
        <sz val="10"/>
        <rFont val="Arial"/>
        <family val="2"/>
      </rPr>
      <t>stop stations)</t>
    </r>
  </si>
  <si>
    <t xml:space="preserve">OL55 duplex coating (exterior polyester) 3CR12 cable ladder including all accessories. mounted to concrete slabs / bio reactor railing. </t>
  </si>
  <si>
    <t>Installation of limit / proximity switches, local stop / start stations, local IP65 manual skip control panel.</t>
  </si>
  <si>
    <t>IP66, NO &amp; NC, 6A, 230V AC limit switches including spring return roller lever. (Existing: ERSCE E300-00-FM)</t>
  </si>
  <si>
    <t>IP65 emergency stop - start push button station for the traversing conveyor (To be installed onto the side of steel work).</t>
  </si>
  <si>
    <t>IP65 emergency stop, left &amp; right push button station for the positioning of the traversing conveyor as indicated on drawing 18056-73-12-120. (To be installed onto the side of steel work)</t>
  </si>
  <si>
    <t>Installation of a local 3CR12 IP65 manual skip control panel as indicated on drawing 18056-73-12-120 (3 x field forward inch buttons &amp; 3 x field reverse inch buttons for skips 1, 2 &amp; 3)</t>
  </si>
  <si>
    <t>3CR12 support stand for the above item.</t>
  </si>
  <si>
    <t>MOTOR STARTER DRIVES</t>
  </si>
  <si>
    <t>PSY 5 &amp;8</t>
  </si>
  <si>
    <r>
      <t xml:space="preserve">Removal of existing switchgear and wiring from existing MCC motor starter cubicles, and the installation of new wiring, cubicle door, chassis plate and switchgear for 3 x 2.2kW 3 phase DOL Skip Winch motor starter drives, and 1 x 2.2kW 3 phase DOL traversing conveyor </t>
    </r>
    <r>
      <rPr>
        <b/>
        <u/>
        <sz val="10"/>
        <color theme="1"/>
        <rFont val="Arial"/>
        <family val="2"/>
      </rPr>
      <t>position</t>
    </r>
    <r>
      <rPr>
        <sz val="10"/>
        <color theme="1"/>
        <rFont val="Arial"/>
        <family val="2"/>
      </rPr>
      <t xml:space="preserve"> motor starter drive as indicated on drawing 18056-73-09-120 (GBS201, GBD201,GBD202 &amp; GBD203)</t>
    </r>
  </si>
  <si>
    <t>Removal of existing switchgear and wiring from existing MCC motor starter cubicles, and the installation of new wiring, cubicle door, chassis plate and switchgear for the 2.2kW 3 phase DOL Grit Classifier motor starter drive as indicated on drawing 18056-73-12-123 (GCM201 &amp; GCM202)</t>
  </si>
  <si>
    <t>Removal of existing switchgear and wiring from existing MCC motor starter cubicles, and the installation of new wiring, cubicle door, chassis plate and switchgear for the 2.2kW 3 phase DOL Grit Classifier washer motor starter drive as indicated on drawing 18056-73-12-124 (GCW201 &amp; GCW202)</t>
  </si>
  <si>
    <t>Removal of existing switchgear and wiring from existing MCC motor starter cubicles, and the installation of new wiring, cubicle door, chassis plate and switchgear for the 2.2kW 3 phase DOL Grit Conveyor motor starter drive as indicated on drawing 18056-73-12-122 (GCY201 )</t>
  </si>
  <si>
    <t>Surface mounted IP65 emergency stop push buttons including IP65 enclosures for the skip motors.</t>
  </si>
  <si>
    <t>CIRCUIT BREAKER</t>
  </si>
  <si>
    <t xml:space="preserve">Installation of circuit breakers into the existing HOW Module 2 MCC (for the existing misgund MCC) This item must include cut outs in the existing cubicle door for the circuit breaker toggles, circuit breaker yokes and wiring between the busbars and the circuit breakers. 200A 3 pole 15kA </t>
  </si>
  <si>
    <t xml:space="preserve">Installation of circuit breakers into the existing HOW Module 2 MCC (for the new blower room MCC) This item must include cut outs in the existing cubicle door for the circuit breaker toggles, circuit breaker yokes and wiring between the busbars and the circuit breakers. 300A 3 pole 15kA </t>
  </si>
  <si>
    <t>HoW MODULE 2 COARSE SCREENS</t>
  </si>
  <si>
    <t>Manufacture, supply and off loading of the Wash Water Pump Station MCC, including PLC marshalling tier as detailed in the specifications and drawings 18056-73-12-133, 134, 135, 136, 137, 138 &amp; 139.</t>
  </si>
  <si>
    <t>Disconnect and transport the existing Wash Water Pump Station MCC to the Electrical Workshop at Bushkoppie WwTW.</t>
  </si>
  <si>
    <t>OUTDOOR STANDBY EMERGENCY GENERATOR</t>
  </si>
  <si>
    <t>150kVA 400V standby emergeny generator including fuel tank, weather proof &amp; sound proof enclosure as detailed in the specifications.</t>
  </si>
  <si>
    <r>
      <t>1.5mm</t>
    </r>
    <r>
      <rPr>
        <vertAlign val="superscript"/>
        <sz val="10"/>
        <rFont val="Arial"/>
        <family val="2"/>
      </rPr>
      <t>2</t>
    </r>
    <r>
      <rPr>
        <sz val="10"/>
        <color theme="1"/>
        <rFont val="Arial"/>
        <family val="2"/>
      </rPr>
      <t xml:space="preserve"> x 7 core  (Local motor isolators)</t>
    </r>
  </si>
  <si>
    <r>
      <t>2.5mm</t>
    </r>
    <r>
      <rPr>
        <vertAlign val="superscript"/>
        <sz val="10"/>
        <rFont val="Arial"/>
        <family val="2"/>
      </rPr>
      <t>2</t>
    </r>
    <r>
      <rPr>
        <sz val="10"/>
        <color theme="1"/>
        <rFont val="Arial"/>
        <family val="2"/>
      </rPr>
      <t xml:space="preserve"> x 4 core</t>
    </r>
    <r>
      <rPr>
        <sz val="10"/>
        <rFont val="Arial"/>
        <family val="2"/>
      </rPr>
      <t xml:space="preserve"> (Actuators)</t>
    </r>
  </si>
  <si>
    <r>
      <t>2.5mm</t>
    </r>
    <r>
      <rPr>
        <vertAlign val="superscript"/>
        <sz val="10"/>
        <rFont val="Arial"/>
        <family val="2"/>
      </rPr>
      <t>2</t>
    </r>
    <r>
      <rPr>
        <sz val="10"/>
        <color theme="1"/>
        <rFont val="Arial"/>
        <family val="2"/>
      </rPr>
      <t xml:space="preserve"> x 4 core</t>
    </r>
    <r>
      <rPr>
        <sz val="10"/>
        <rFont val="Arial"/>
        <family val="2"/>
      </rPr>
      <t xml:space="preserve"> (Motors)</t>
    </r>
  </si>
  <si>
    <r>
      <t>10mm</t>
    </r>
    <r>
      <rPr>
        <vertAlign val="superscript"/>
        <sz val="10"/>
        <rFont val="Arial"/>
        <family val="2"/>
      </rPr>
      <t>2</t>
    </r>
    <r>
      <rPr>
        <sz val="10"/>
        <color theme="1"/>
        <rFont val="Arial"/>
        <family val="2"/>
      </rPr>
      <t xml:space="preserve"> x 4 core </t>
    </r>
    <r>
      <rPr>
        <sz val="10"/>
        <rFont val="Arial"/>
        <family val="2"/>
      </rPr>
      <t>(Welding socket)</t>
    </r>
  </si>
  <si>
    <r>
      <t>16mm</t>
    </r>
    <r>
      <rPr>
        <vertAlign val="superscript"/>
        <sz val="10"/>
        <rFont val="Arial"/>
        <family val="2"/>
      </rPr>
      <t>2</t>
    </r>
    <r>
      <rPr>
        <sz val="10"/>
        <color theme="1"/>
        <rFont val="Arial"/>
        <family val="2"/>
      </rPr>
      <t xml:space="preserve"> x 4 core </t>
    </r>
    <r>
      <rPr>
        <sz val="10"/>
        <rFont val="Arial"/>
        <family val="2"/>
      </rPr>
      <t>(Motors)</t>
    </r>
  </si>
  <si>
    <r>
      <t>120mm</t>
    </r>
    <r>
      <rPr>
        <vertAlign val="superscript"/>
        <sz val="10"/>
        <rFont val="Arial"/>
        <family val="2"/>
      </rPr>
      <t>2</t>
    </r>
    <r>
      <rPr>
        <sz val="10"/>
        <color theme="1"/>
        <rFont val="Arial"/>
        <family val="2"/>
      </rPr>
      <t xml:space="preserve"> x 4 core (MCC to generator)</t>
    </r>
  </si>
  <si>
    <r>
      <t>70mm</t>
    </r>
    <r>
      <rPr>
        <vertAlign val="superscript"/>
        <sz val="10"/>
        <rFont val="Arial"/>
        <family val="2"/>
      </rPr>
      <t>2</t>
    </r>
    <r>
      <rPr>
        <sz val="10"/>
        <color theme="1"/>
        <rFont val="Arial"/>
        <family val="2"/>
      </rPr>
      <t xml:space="preserve"> BCEW (MCC to generator)</t>
    </r>
  </si>
  <si>
    <r>
      <t>120mm</t>
    </r>
    <r>
      <rPr>
        <vertAlign val="superscript"/>
        <sz val="10"/>
        <rFont val="Arial"/>
        <family val="2"/>
      </rPr>
      <t>2</t>
    </r>
    <r>
      <rPr>
        <sz val="10"/>
        <color theme="1"/>
        <rFont val="Arial"/>
        <family val="2"/>
      </rPr>
      <t xml:space="preserve"> x 4 core (MCC to sub 0)</t>
    </r>
  </si>
  <si>
    <r>
      <t>70mm</t>
    </r>
    <r>
      <rPr>
        <vertAlign val="superscript"/>
        <sz val="10"/>
        <rFont val="Arial"/>
        <family val="2"/>
      </rPr>
      <t>2</t>
    </r>
    <r>
      <rPr>
        <sz val="10"/>
        <color theme="1"/>
        <rFont val="Arial"/>
        <family val="2"/>
      </rPr>
      <t xml:space="preserve"> BCEW (MCC to sub 0)</t>
    </r>
  </si>
  <si>
    <r>
      <t>1.5mm</t>
    </r>
    <r>
      <rPr>
        <vertAlign val="superscript"/>
        <sz val="10"/>
        <rFont val="Arial"/>
        <family val="2"/>
      </rPr>
      <t>2</t>
    </r>
    <r>
      <rPr>
        <sz val="10"/>
        <color theme="1"/>
        <rFont val="Arial"/>
        <family val="2"/>
      </rPr>
      <t xml:space="preserve"> x 7 core </t>
    </r>
  </si>
  <si>
    <t>OL55 duplex coating (exterior polyester) 3CR12 cable ladder including all accessories mounted to concrete walls / slabs</t>
  </si>
  <si>
    <t>WIRE MESH CABLE TRAY</t>
  </si>
  <si>
    <t>GS50 Gridspan / wire mesh duplex coating (exterior polyester) 3CR12 cable tray including all accessories mounted to concrete walls / slabs.</t>
  </si>
  <si>
    <t>50mm cable tray</t>
  </si>
  <si>
    <r>
      <t>50mm 90</t>
    </r>
    <r>
      <rPr>
        <vertAlign val="superscript"/>
        <sz val="10"/>
        <color indexed="8"/>
        <rFont val="Arial"/>
        <family val="2"/>
      </rPr>
      <t xml:space="preserve">o </t>
    </r>
    <r>
      <rPr>
        <sz val="10"/>
        <color indexed="8"/>
        <rFont val="Arial"/>
        <family val="2"/>
      </rPr>
      <t>bends</t>
    </r>
  </si>
  <si>
    <t>Level probes as indicated on drawing 18056-73-12-139</t>
  </si>
  <si>
    <t>MCC ROOM FAN ISOLATOR</t>
  </si>
  <si>
    <t>PSY3,4&amp;5</t>
  </si>
  <si>
    <t>MCC Room 30A 3 phase pressurising fan surface isolator</t>
  </si>
  <si>
    <t xml:space="preserve">MCC ROOM PRESSURISING FAN </t>
  </si>
  <si>
    <t>Room dimensions: L = 5550, W = 2500 &amp; H = 2890mm. Dynamic Fan LDA 500mm axial flow fan or similar approved.</t>
  </si>
  <si>
    <t>500mm 3 phase outdoor axial flow fan.</t>
  </si>
  <si>
    <t>Outdoor removable filter including galvanised housing / ducting.</t>
  </si>
  <si>
    <t>Outdoor galvanised cowl / 90 degree ducting bend.</t>
  </si>
  <si>
    <t>Indoor galvanised louvre.</t>
  </si>
  <si>
    <t>WELDING SOCKET</t>
  </si>
  <si>
    <t>PSY3&amp;4</t>
  </si>
  <si>
    <t>Surface mounted 63A 5 round pin welding socket including male plug.</t>
  </si>
  <si>
    <t>Installation of a circuit breakers into the existing Substation 0 MCC. This item must include cut outs in the existing cubicle door for the circuit breaker toggles, circuit breaker yokes and wiring between the busbars and the circuit breakers.</t>
  </si>
  <si>
    <t xml:space="preserve">200A 3 pole 20kA </t>
  </si>
  <si>
    <t xml:space="preserve">Local IP65 11kW 3 phase motor isolator / stop - start stations. </t>
  </si>
  <si>
    <t xml:space="preserve">Local IP65 15kW 3 phase motor isolator / stop - start stations. </t>
  </si>
  <si>
    <t xml:space="preserve">Local IP65 30kW 3 phase motor isolator / stop - start stations. </t>
  </si>
  <si>
    <t>FLOAT SWITCHES</t>
  </si>
  <si>
    <t>Installation of a float switch into existing outdoor galvanised wash water tank.</t>
  </si>
  <si>
    <t>Pear shaped float switch including 10m cable.</t>
  </si>
  <si>
    <t>LUMINAIRES</t>
  </si>
  <si>
    <t>PSY 22</t>
  </si>
  <si>
    <t>Type C1, surface 1.2m 46W IP65 polycarbonate LED (natural white) luminaire. Beka Vapourline VLN LED 46W or similar approved.</t>
  </si>
  <si>
    <t>Type C2, surface 1.2m 46W IP65 polycarbonate LED (natural white) emergency luminaire (1 hour). Beka Vapourline VLN LED 46W (emergency version 1 hour) or similar approved.</t>
  </si>
  <si>
    <t>CONDUIT</t>
  </si>
  <si>
    <t>Galvanised surface conduit installed  onto brick walling including adaptors and all accessories.</t>
  </si>
  <si>
    <t>20mm including galvanised draw wire.</t>
  </si>
  <si>
    <t>CONDUIT ACCESSORIES</t>
  </si>
  <si>
    <t>Round 1 way galvanised conduit boxes including cover plates.</t>
  </si>
  <si>
    <t>Round 3 way galvanised conduit boxes including cover plates.</t>
  </si>
  <si>
    <t>SOCKET OUTLETS</t>
  </si>
  <si>
    <t>Surface mounted 16A duo switched socket outlets including 100 x 100 x 50mm boxes.</t>
  </si>
  <si>
    <t>SWITCHES</t>
  </si>
  <si>
    <t>Surface mounted 1 lever 1 way 16A switch including 100 x 50 x 50mm box.</t>
  </si>
  <si>
    <t>WIRING</t>
  </si>
  <si>
    <t xml:space="preserve">PVC insulated copper conductors drawn into PVC conduit. </t>
  </si>
  <si>
    <r>
      <t>1.5mm</t>
    </r>
    <r>
      <rPr>
        <vertAlign val="superscript"/>
        <sz val="10"/>
        <color indexed="8"/>
        <rFont val="Arial"/>
        <family val="2"/>
      </rPr>
      <t>2</t>
    </r>
  </si>
  <si>
    <r>
      <t>2.5mm</t>
    </r>
    <r>
      <rPr>
        <vertAlign val="superscript"/>
        <sz val="10"/>
        <color indexed="8"/>
        <rFont val="Arial"/>
        <family val="2"/>
      </rPr>
      <t>2</t>
    </r>
  </si>
  <si>
    <t>EARTH WIRING</t>
  </si>
  <si>
    <t>BCEW drawn into galvanised conduit.</t>
  </si>
  <si>
    <t>PVC/SWA/PVC copper conductor cables strapped to cable ladders. (trenches, sleeves and cable terminations measured elsewhere)</t>
  </si>
  <si>
    <r>
      <t>4mm</t>
    </r>
    <r>
      <rPr>
        <vertAlign val="superscript"/>
        <sz val="10"/>
        <rFont val="Arial"/>
        <family val="2"/>
      </rPr>
      <t>2</t>
    </r>
    <r>
      <rPr>
        <sz val="10"/>
        <color theme="1"/>
        <rFont val="Arial"/>
        <family val="2"/>
      </rPr>
      <t xml:space="preserve"> x 4 core (motor cable)</t>
    </r>
  </si>
  <si>
    <r>
      <t>6mm</t>
    </r>
    <r>
      <rPr>
        <vertAlign val="superscript"/>
        <sz val="10"/>
        <rFont val="Arial"/>
        <family val="2"/>
      </rPr>
      <t>2</t>
    </r>
    <r>
      <rPr>
        <sz val="10"/>
        <color theme="1"/>
        <rFont val="Arial"/>
        <family val="2"/>
      </rPr>
      <t xml:space="preserve"> x 4 core (motor cable)</t>
    </r>
  </si>
  <si>
    <r>
      <t>1.5mm</t>
    </r>
    <r>
      <rPr>
        <vertAlign val="superscript"/>
        <sz val="10"/>
        <rFont val="Arial"/>
        <family val="2"/>
      </rPr>
      <t>2</t>
    </r>
    <r>
      <rPr>
        <sz val="10"/>
        <color theme="1"/>
        <rFont val="Arial"/>
        <family val="2"/>
      </rPr>
      <t xml:space="preserve"> x 7 core (stop / start station)</t>
    </r>
  </si>
  <si>
    <t>PSY3,4&amp;16</t>
  </si>
  <si>
    <t>Expose existing mixer motor cables on the bio reactor bridges, removal of the existing cables and the installation of new weak cement mix once the new cables have been installed. (This will involve breaking of the existing cable trench cement covering and the removal of the cement).</t>
  </si>
  <si>
    <t>Cement covering for mixer motor cables between Screw Pump Station No 1 and the associated 4 mixer motors.</t>
  </si>
  <si>
    <t>Cement covering for mixer motor cables between Screw Pump Station No 2 and the associated 4 mixer motors.</t>
  </si>
  <si>
    <t>Cement covering for mixer motor cables between Screw Pump Station No 3 and the associated 4 mixer motors.</t>
  </si>
  <si>
    <t>Cement covering for mixer motor cables between Screw Pump Station No 4 and the associated 4 mixer motors.</t>
  </si>
  <si>
    <t>15kW 3 PHASE DOL MIXER MOTOR STARTER DRIVES</t>
  </si>
  <si>
    <t>Removal of existing switchgear and wiring from existing MCC mixer motor starter cubicles, and the installation of new wiring and switchgear as indicated on drawing 18056-73-12-145</t>
  </si>
  <si>
    <t>PVC/SWA/PVC copper conductor cables strapped to cable ladders or laid in trenches. (trenches, sleeves and cable terminations measured elsewhere)</t>
  </si>
  <si>
    <r>
      <t>2.5mm</t>
    </r>
    <r>
      <rPr>
        <vertAlign val="superscript"/>
        <sz val="10"/>
        <rFont val="Arial"/>
        <family val="2"/>
      </rPr>
      <t>2</t>
    </r>
    <r>
      <rPr>
        <sz val="10"/>
        <color theme="1"/>
        <rFont val="Arial"/>
        <family val="2"/>
      </rPr>
      <t xml:space="preserve"> x 4 core (motor cable)</t>
    </r>
  </si>
  <si>
    <r>
      <t>1.5mm</t>
    </r>
    <r>
      <rPr>
        <vertAlign val="superscript"/>
        <sz val="10"/>
        <rFont val="Arial"/>
        <family val="2"/>
      </rPr>
      <t>2</t>
    </r>
    <r>
      <rPr>
        <sz val="10"/>
        <color theme="1"/>
        <rFont val="Arial"/>
        <family val="2"/>
      </rPr>
      <t xml:space="preserve"> x 3 core (emergency stop)</t>
    </r>
  </si>
  <si>
    <t>The supply and installation of concrete cable route markers</t>
  </si>
  <si>
    <t>Surface mounted IP65 emergency stop push buttons including IP65 enclosures. (Mounted on the side of rotating bridge).</t>
  </si>
  <si>
    <t>0.55kW 3 PHASE DOL CLARIFIER MOTOR STARTER DRIVES</t>
  </si>
  <si>
    <t>Removal of existing switchgear and wiring from existing MCC clarifier motor starter cubicles, and the installation of new wiring and switchgear as indicated on drawing 18056-73-12-146</t>
  </si>
  <si>
    <r>
      <t>1.5mm</t>
    </r>
    <r>
      <rPr>
        <vertAlign val="superscript"/>
        <sz val="10"/>
        <rFont val="Arial"/>
        <family val="2"/>
      </rPr>
      <t>2</t>
    </r>
    <r>
      <rPr>
        <sz val="10"/>
        <color theme="1"/>
        <rFont val="Arial"/>
        <family val="2"/>
      </rPr>
      <t xml:space="preserve"> x 7 core (Screw conveyor</t>
    </r>
    <r>
      <rPr>
        <sz val="10"/>
        <rFont val="Arial"/>
        <family val="2"/>
      </rPr>
      <t>s stop / start stations)</t>
    </r>
  </si>
  <si>
    <r>
      <t>1.5mm</t>
    </r>
    <r>
      <rPr>
        <vertAlign val="superscript"/>
        <sz val="10"/>
        <rFont val="Arial"/>
        <family val="2"/>
      </rPr>
      <t>2</t>
    </r>
    <r>
      <rPr>
        <sz val="10"/>
        <color theme="1"/>
        <rFont val="Arial"/>
        <family val="2"/>
      </rPr>
      <t xml:space="preserve"> x 7 core (Lime mixers </t>
    </r>
    <r>
      <rPr>
        <sz val="10"/>
        <rFont val="Arial"/>
        <family val="2"/>
      </rPr>
      <t>stop / start stations)</t>
    </r>
  </si>
  <si>
    <r>
      <t>2.5mm</t>
    </r>
    <r>
      <rPr>
        <vertAlign val="superscript"/>
        <sz val="10"/>
        <rFont val="Arial"/>
        <family val="2"/>
      </rPr>
      <t>2</t>
    </r>
    <r>
      <rPr>
        <sz val="10"/>
        <color theme="1"/>
        <rFont val="Arial"/>
        <family val="2"/>
      </rPr>
      <t xml:space="preserve"> x 4 core (Screw conveyor motors)</t>
    </r>
  </si>
  <si>
    <r>
      <t>2.5mm</t>
    </r>
    <r>
      <rPr>
        <vertAlign val="superscript"/>
        <sz val="10"/>
        <rFont val="Arial"/>
        <family val="2"/>
      </rPr>
      <t>2</t>
    </r>
    <r>
      <rPr>
        <sz val="10"/>
        <color theme="1"/>
        <rFont val="Arial"/>
        <family val="2"/>
      </rPr>
      <t xml:space="preserve"> x 4 core (Lime mixer motors)</t>
    </r>
  </si>
  <si>
    <t>Removal of existing switchgear and wiring from existing MCC motor starter cubicles, and the installation of new wiring, cubicle door, chassis plate and switchgear for the 1.1kW 3 phase DOL Screw Conveyor motor starter drive as indicated on drawing 18056-73-12-147 (SCV001 &amp; SCV002)</t>
  </si>
  <si>
    <t>Removal of existing switchgear and wiring from existing MCC motor starter cubicles, and the installation of new wiring, cubicle door, chassis plate and switchgear for the 2.2kW 3 phase DOL Lime Mixer motor starter drive as indicated on drawing 18056-73-12-148 (MIX001 &amp; MIX002)</t>
  </si>
  <si>
    <t>Local IP65 1.1kW 3 phase motor isolator / stop - start stations.</t>
  </si>
  <si>
    <t>NEW HOW BLOWER ROOM</t>
  </si>
  <si>
    <t>PSY5&amp;8</t>
  </si>
  <si>
    <t>Manufacture, supply and off loading of the HOW New Blower Room MCC, including PLC marshalling tier as detailed in the specifications and drawings 18056-73-12-127, 128, 129, 130, 131 &amp; 132.</t>
  </si>
  <si>
    <t>INDOOR STANDBY EMERGENCY GENERATOR.</t>
  </si>
  <si>
    <t>200kVA 400V standby emergeny generator including automatic change over panel, day tank, filling accessories, transfer pumps, sound attenuated exhaust as detailed in the specifications.</t>
  </si>
  <si>
    <t>Sound attenuated inlet and outlet louvres, and ducting between the radiator and outlet louvre. (louvres will be built into brick walling by others).</t>
  </si>
  <si>
    <t>PSY 12&amp;23</t>
  </si>
  <si>
    <t>Control cabling between the generator's change over panel and the change over switchgear mounted inside the HOW New Blower Room MCC.</t>
  </si>
  <si>
    <t>Tenderes to note that the size of the generator room is indicated on Civil drawing 18056-73-09-110</t>
  </si>
  <si>
    <r>
      <t>10mm</t>
    </r>
    <r>
      <rPr>
        <vertAlign val="superscript"/>
        <sz val="10"/>
        <rFont val="Arial"/>
        <family val="2"/>
      </rPr>
      <t>2</t>
    </r>
    <r>
      <rPr>
        <sz val="10"/>
        <color theme="1"/>
        <rFont val="Arial"/>
        <family val="2"/>
      </rPr>
      <t xml:space="preserve"> x 4 core</t>
    </r>
    <r>
      <rPr>
        <sz val="10"/>
        <rFont val="Arial"/>
        <family val="2"/>
      </rPr>
      <t xml:space="preserve"> (Motors)</t>
    </r>
  </si>
  <si>
    <r>
      <t>10mm</t>
    </r>
    <r>
      <rPr>
        <vertAlign val="superscript"/>
        <sz val="10"/>
        <rFont val="Arial"/>
        <family val="2"/>
      </rPr>
      <t>2</t>
    </r>
    <r>
      <rPr>
        <sz val="10"/>
        <color theme="1"/>
        <rFont val="Arial"/>
        <family val="2"/>
      </rPr>
      <t xml:space="preserve"> x 4 core (63A Welding Socket)</t>
    </r>
  </si>
  <si>
    <t>Room dimensions: L = 5700, W = 3505 &amp; H = 3995mm. Dynamic Fan LDA 500mm axial flow fan or similar approved.</t>
  </si>
  <si>
    <t>Installation of a circuit breakers into the existing Substation 3 MCC. This item must include cut outs in the existing cubicle door for the circuit breaker toggles, circuit breaker yokes and wiring between the busbars and the circuit breakers.</t>
  </si>
  <si>
    <t xml:space="preserve">250A 3 pole 15kA </t>
  </si>
  <si>
    <t xml:space="preserve">Local IP65 22kW 3 phase motor isolator / stop - start stations. </t>
  </si>
  <si>
    <t>Type B1, surface 18W IP65 LED (natural white) outdoor bulkhead.</t>
  </si>
  <si>
    <t xml:space="preserve">Beka Bulk LED 18W or similar approved. </t>
  </si>
  <si>
    <t>Type C1, surface 1.2m 46W IP65 polycarbonate LED (natural white) luminaire.</t>
  </si>
  <si>
    <t>Beka Vapourline VLN LED 46W or similar approved.</t>
  </si>
  <si>
    <t>Type C2, surface 1.2m 46W IP65 polycarbonate LED (natural white) emergency luminaire (1 hour).</t>
  </si>
  <si>
    <t>Beka Vapourline VLN LED 46W (emergency version 1 hour) or similar approved.</t>
  </si>
  <si>
    <t>PVC conduit chased into brick including adaptors and all accessories. 20mm including galvanised draw wire.</t>
  </si>
  <si>
    <t>PVC conduit cast into floor slab including adaptors and all accessories. 20mm including galvanised draw wire.</t>
  </si>
  <si>
    <t>PVC conduit installed into suspended ceilings including adaptors and all accessories. 20mm including galvanised draw wire.</t>
  </si>
  <si>
    <t>Round PVC conduit back entry boxes.</t>
  </si>
  <si>
    <t>Round 4 way PVC conduit boxes including cover plate.</t>
  </si>
  <si>
    <t>Flush 100 x 50 x 50mm conduit box including cover plate.</t>
  </si>
  <si>
    <t>Flush 100 x 100 x 50mm conduit box including cover plate.</t>
  </si>
  <si>
    <t>Flush mounted 16A single switched socket outlets including 100 x 100 x 50mm boxes.</t>
  </si>
  <si>
    <t>Flush mounted 16A duo switched socket outlets including 100 x 100 x 50mm boxes.</t>
  </si>
  <si>
    <t>PHOTO CELL</t>
  </si>
  <si>
    <t>Royce Thompson photo cell including conduit box.</t>
  </si>
  <si>
    <t>Flush mounted 1 lever 1 way 16A switch including 100 x 50 x 50mm box.</t>
  </si>
  <si>
    <t>BCEW drawn into PVC conduit.</t>
  </si>
  <si>
    <t>Manufacture, supply and off loading of the New Wash Water Filter Station MCC, including PLC marshalling tier as detailed in the specifications and drawings 18056-73-12-140, 141, 142, 143 &amp; 144.</t>
  </si>
  <si>
    <r>
      <t>1.5mm</t>
    </r>
    <r>
      <rPr>
        <vertAlign val="superscript"/>
        <sz val="10"/>
        <rFont val="Arial"/>
        <family val="2"/>
      </rPr>
      <t>2</t>
    </r>
    <r>
      <rPr>
        <sz val="10"/>
        <color theme="1"/>
        <rFont val="Arial"/>
        <family val="2"/>
      </rPr>
      <t xml:space="preserve"> x 7 core (Local motor isolators)</t>
    </r>
  </si>
  <si>
    <r>
      <t>2.5mm</t>
    </r>
    <r>
      <rPr>
        <vertAlign val="superscript"/>
        <sz val="10"/>
        <rFont val="Arial"/>
        <family val="2"/>
      </rPr>
      <t>2</t>
    </r>
    <r>
      <rPr>
        <sz val="10"/>
        <color theme="1"/>
        <rFont val="Arial"/>
        <family val="2"/>
      </rPr>
      <t xml:space="preserve"> x 4 core (Actuators)</t>
    </r>
  </si>
  <si>
    <r>
      <t>2.5mm</t>
    </r>
    <r>
      <rPr>
        <vertAlign val="superscript"/>
        <sz val="10"/>
        <rFont val="Arial"/>
        <family val="2"/>
      </rPr>
      <t>2</t>
    </r>
    <r>
      <rPr>
        <sz val="10"/>
        <color theme="1"/>
        <rFont val="Arial"/>
        <family val="2"/>
      </rPr>
      <t xml:space="preserve"> x 4 core (Motors)</t>
    </r>
  </si>
  <si>
    <r>
      <t>6mm</t>
    </r>
    <r>
      <rPr>
        <vertAlign val="superscript"/>
        <sz val="10"/>
        <rFont val="Arial"/>
        <family val="2"/>
      </rPr>
      <t>2</t>
    </r>
    <r>
      <rPr>
        <sz val="10"/>
        <color theme="1"/>
        <rFont val="Arial"/>
        <family val="2"/>
      </rPr>
      <t xml:space="preserve"> x 4 core (motors) </t>
    </r>
  </si>
  <si>
    <r>
      <t>95mm</t>
    </r>
    <r>
      <rPr>
        <vertAlign val="superscript"/>
        <sz val="10"/>
        <rFont val="Arial"/>
        <family val="2"/>
      </rPr>
      <t>2</t>
    </r>
    <r>
      <rPr>
        <sz val="10"/>
        <color theme="1"/>
        <rFont val="Arial"/>
        <family val="2"/>
      </rPr>
      <t xml:space="preserve"> x 4 core (MCC to Substation No 0)</t>
    </r>
  </si>
  <si>
    <r>
      <t>95mm</t>
    </r>
    <r>
      <rPr>
        <vertAlign val="superscript"/>
        <sz val="10"/>
        <rFont val="Arial"/>
        <family val="2"/>
      </rPr>
      <t>2</t>
    </r>
    <r>
      <rPr>
        <sz val="10"/>
        <color theme="1"/>
        <rFont val="Arial"/>
        <family val="2"/>
      </rPr>
      <t xml:space="preserve"> BCEW (MCC to Substation No 0)</t>
    </r>
  </si>
  <si>
    <t>Level probes as indicated on drawing 18056-73-12-144</t>
  </si>
  <si>
    <t>Room dimensions: L = 7695, W = 3000 &amp; H = 3000mm. Dynamic Fan LDA 500mm axial flow fan or similar approved.</t>
  </si>
  <si>
    <t>PVC conduit chased into brick including adaptors and all accessories.</t>
  </si>
  <si>
    <t>PVC conduit cast into floor slab including adaptors and all accessories.</t>
  </si>
  <si>
    <t>PVC conduit installed into suspended ceilings including adaptors and all accessories.</t>
  </si>
  <si>
    <t>Flush mounted 1 lever 2 way 16A switch including 100 x 50 x 50mm box.</t>
  </si>
  <si>
    <t>Fermented Sludge Pumps Refurbishment</t>
  </si>
  <si>
    <t>SECTION 20 - CONTROL &amp; INSTRUMENTATION</t>
  </si>
  <si>
    <t>HEAD OF WORKS - UNIT 1</t>
  </si>
  <si>
    <t>3.1.1 and 3.1.3.1</t>
  </si>
  <si>
    <t>Ultrasonic Flow meter - Flume</t>
  </si>
  <si>
    <t>Each</t>
  </si>
  <si>
    <t>3.1.4</t>
  </si>
  <si>
    <t>Instrument junction boxes for flume flow meter complete with field brackets, supports,  terminals, surge protection etc</t>
  </si>
  <si>
    <t>3.1.1 and 3.1.3.2</t>
  </si>
  <si>
    <t>Instrument junction box for ultrasonic level meters complete with field brackets, supports,  terminals, surge protection etc</t>
  </si>
  <si>
    <t>3.1.1</t>
  </si>
  <si>
    <t>Pressure Meter (Priced in the mechanical section)</t>
  </si>
  <si>
    <t>Instrument junction box for pressure meter complete with field brackets, supports,  terminals, surge protection etc</t>
  </si>
  <si>
    <t>Flow meter - Clamp-on (for pipes up to 300mm dia.)</t>
  </si>
  <si>
    <t>Instrument junction box for clamp-on flow meter complete with field brackets, supports,  terminals, surge protection etc</t>
  </si>
  <si>
    <t>Compressor high pressure switch (Priced in the mechanical section)</t>
  </si>
  <si>
    <t>Compressor low pressure switch (Priced in the mechanical section)</t>
  </si>
  <si>
    <t>Terminal box for pressure switches complete with field brackets, supports,  terminals, etc.</t>
  </si>
  <si>
    <t>3.1.1 and 3.1.3.5</t>
  </si>
  <si>
    <t>Instrument box for indication station (Fitted with terminals, pilot lamps and labels)</t>
  </si>
  <si>
    <t>Low level switch</t>
  </si>
  <si>
    <t>Terminal box for level switch complete with field brackets, supports,  terminals, surge protection etc</t>
  </si>
  <si>
    <t>3.1.2</t>
  </si>
  <si>
    <t>Modulating actuated valve (Priced in the mechanical section)</t>
  </si>
  <si>
    <t>Instrument control panel for modulating valve complete with field brackets, supports,  terminals, surge protection etc</t>
  </si>
  <si>
    <t>Open-close actuated valve (Priced in the mechanical section)</t>
  </si>
  <si>
    <t>Instrument control panel for open-close valve complete with field brackets, supports,  terminals, surge protection etc</t>
  </si>
  <si>
    <t>Diverter gate actuator (Priced in the mechanical section)</t>
  </si>
  <si>
    <t>Instrument control panel for diverter gate actuator complete with field brackets, supports,  terminals, surge protection etc</t>
  </si>
  <si>
    <t>230VAC Solenoid valve  (Priced in the mechanical section)</t>
  </si>
  <si>
    <t>Terminal box for solenoid valve complete with field brackets, supports,  terminals, etc</t>
  </si>
  <si>
    <t>2.2.2.1</t>
  </si>
  <si>
    <t>Unit 1 Head of Works PLC panel complete with circuit breakers, terminals, SPDs,PLC hardware etc.</t>
  </si>
  <si>
    <t>C&amp;I CABLING</t>
  </si>
  <si>
    <t>Supply and delivery of C&amp;I Cable (Orange):</t>
  </si>
  <si>
    <t>3.1.5</t>
  </si>
  <si>
    <t>1.5 mm², 7-core PVC, SWA, PVC, PVC, Cu</t>
  </si>
  <si>
    <t>1.5 mm², 3-core PVC, SWA, PVC, PVC, Cu</t>
  </si>
  <si>
    <t>.</t>
  </si>
  <si>
    <r>
      <t>2-pair, 0.5 mm</t>
    </r>
    <r>
      <rPr>
        <vertAlign val="superscript"/>
        <sz val="10"/>
        <rFont val="Arial"/>
        <family val="2"/>
      </rPr>
      <t>2</t>
    </r>
    <r>
      <rPr>
        <sz val="10"/>
        <rFont val="Arial"/>
        <family val="2"/>
      </rPr>
      <t>, PVC, SWA, PVC, IOS</t>
    </r>
  </si>
  <si>
    <r>
      <t>4-pair, 0.5 mm</t>
    </r>
    <r>
      <rPr>
        <vertAlign val="superscript"/>
        <sz val="10"/>
        <rFont val="Arial"/>
        <family val="2"/>
      </rPr>
      <t>2</t>
    </r>
    <r>
      <rPr>
        <sz val="10"/>
        <rFont val="Arial"/>
        <family val="2"/>
      </rPr>
      <t>, PVC, SWA, PVC, IOS</t>
    </r>
  </si>
  <si>
    <r>
      <t>12-pair, 0.5 mm</t>
    </r>
    <r>
      <rPr>
        <vertAlign val="superscript"/>
        <sz val="10"/>
        <rFont val="Arial"/>
        <family val="2"/>
      </rPr>
      <t>2</t>
    </r>
    <r>
      <rPr>
        <sz val="10"/>
        <rFont val="Arial"/>
        <family val="2"/>
      </rPr>
      <t>, PVC, SWA, PVC, IOS</t>
    </r>
  </si>
  <si>
    <t>Certified CAT-6 Cable</t>
  </si>
  <si>
    <t>Supply and delivery of C&amp;I cable racking:</t>
  </si>
  <si>
    <t xml:space="preserve"> INSTALL, TEST AND COMMISSION OF INSTRUMENTATION WORKS</t>
  </si>
  <si>
    <t>Installation Testing And Commissioning Of Instrumentation - Unit 1 Head of Works</t>
  </si>
  <si>
    <t>Pressure Meter</t>
  </si>
  <si>
    <t>Terminal box for pressure switches complete with field brackets, supports,  terminals, surge protection etc</t>
  </si>
  <si>
    <t>Terminal box for solenoid valve complete with field brackets, supports,  terminals, surge protection etc</t>
  </si>
  <si>
    <t>Installation, Testing And Commissioning of C&amp;I Cable (Orange)</t>
  </si>
  <si>
    <t>Termination Of C&amp;I Cable (Orange):</t>
  </si>
  <si>
    <t>Installation, Testing &amp; Commissioning Of C&amp;I Cable Racking:</t>
  </si>
  <si>
    <t>Trenching 2m wide in pickable soil with soft sand backfill, tiles and danger tape.</t>
  </si>
  <si>
    <t>Trenching under slabs</t>
  </si>
  <si>
    <t>Trenching 2m wide road crossing with sleeves, soft sand backfill, tiles and danger tape.</t>
  </si>
  <si>
    <t>3.1.6</t>
  </si>
  <si>
    <t>Route markers supply and deliver.</t>
  </si>
  <si>
    <t>Route markers install.</t>
  </si>
  <si>
    <t>C&amp;I Miscellaneous</t>
  </si>
  <si>
    <t>Removal of existing PLC panel &amp; associated equipment.</t>
  </si>
  <si>
    <t>Programming of 2 Siemens Variable Speed Drives</t>
  </si>
  <si>
    <t>Removal of all old eqipment and cabling.</t>
  </si>
  <si>
    <t>HEAD OF WORKS UNIT 2</t>
  </si>
  <si>
    <t>Supply and delivery of Instrumentation - Unit 2 Head Of Works</t>
  </si>
  <si>
    <t>Instrument junction boxes for pressure meter complete with field brackets, supports,  terminals, surge protection etc</t>
  </si>
  <si>
    <t>230VAC Solenoid valve (Priced in the mechanical section)</t>
  </si>
  <si>
    <t>2.2.2.2</t>
  </si>
  <si>
    <t>Unit 2 Head of Works PLC hardware complete with circuit breakers, terminals, PLC accessories etc.</t>
  </si>
  <si>
    <t>2.2.2.3</t>
  </si>
  <si>
    <t>Unit 2 HOW Blowers Remote I/O panel complete with circuit breakers, terminals, SPDs,PLC hardware etc.</t>
  </si>
  <si>
    <t>C&amp;I CABLLING</t>
  </si>
  <si>
    <t>Supply and delivery of C&amp;I cable (Orange):</t>
  </si>
  <si>
    <t>3.1.8</t>
  </si>
  <si>
    <t>6 Pair, PVC, SWA, single mode fibre-optic cable</t>
  </si>
  <si>
    <t>Installation Testing And Commissioning of Instrumentation - Unit 2 Head of Works</t>
  </si>
  <si>
    <t>Installation, Testing And Commissioning of C&amp;I Cable (Orange):</t>
  </si>
  <si>
    <t>Termination of C&amp;I cable (Orange) :</t>
  </si>
  <si>
    <t>Installation, Testing &amp; Commissioning of C&amp;I Cable Racking:</t>
  </si>
  <si>
    <t>Trenching 1m wide in pickable soil with soft sand backfill, tiles and danger tape.</t>
  </si>
  <si>
    <t>Trenching 1m wide road crossing with sleeves, soft sand backfill, tiles and danger tape.</t>
  </si>
  <si>
    <t>Fibre-optic patch panels supply &amp; deliver</t>
  </si>
  <si>
    <t>Fibre-optic patch panels install, test &amp; commission</t>
  </si>
  <si>
    <t>Removal of existing PLC hardware for handing to the client.</t>
  </si>
  <si>
    <t>CONTROL AND INSTRUMENTATION LIME PLANT</t>
  </si>
  <si>
    <t>Supply and delivery of Instrumentation - Lime Plant</t>
  </si>
  <si>
    <t>Instrument junction box for ultrasonic level meter complete with field brackets, supports,  terminals, surge protection etc</t>
  </si>
  <si>
    <t>Load Cell (Existing)</t>
  </si>
  <si>
    <t>Instrument junction box for load cell complete with field brackets, supports,  terminals, surge protection etc</t>
  </si>
  <si>
    <t>3.1.1 and 3.1.3.4</t>
  </si>
  <si>
    <t>pH Meter with temperature meter</t>
  </si>
  <si>
    <t>Instrument junction box for pH meter complete with field brackets, supports,  terminals, surge protection etc</t>
  </si>
  <si>
    <t>Ultrasonic Flow meter - Weir</t>
  </si>
  <si>
    <t>Instrument junction boxes for weir flow meter complete with field brackets, supports,  terminals, surge protection etc</t>
  </si>
  <si>
    <t>Lime Plant PLC panel complete with circuit breakers, terminals, SPDs,PLC hardware etc.</t>
  </si>
  <si>
    <t xml:space="preserve"> INSTALL, TEST AND COMMISSION OF INSTRUMENTATION WORKS - LIME PLANT</t>
  </si>
  <si>
    <t>Installation Testing And Commissioning of Instrumentation  - Lime Plant</t>
  </si>
  <si>
    <t>Termination of C&amp;I cable (Orange):</t>
  </si>
  <si>
    <t>CONTROL AND INSTRUMENTATION WASH WATER PUMP STATIONS (PLC &amp; REMOTE I/O)</t>
  </si>
  <si>
    <t>SUPPLY AND DELIVERY (INSTRUMENTATION WORKS)</t>
  </si>
  <si>
    <t>Supply and delivery of Instrumentation - Wash Water Pump Stations</t>
  </si>
  <si>
    <t>Magnetic Flow Meter for 150mm dia. Pipe</t>
  </si>
  <si>
    <t>Instrument junction box for magnetic flow meter complete with field brackets, supports,  terminals, surge protection etc</t>
  </si>
  <si>
    <t>Flow Meter - Clamp-on (for pipes up to 300mm dia.)</t>
  </si>
  <si>
    <t>2.2.2.4</t>
  </si>
  <si>
    <t>Wash Water Pump Station PLC panel complete with circuit breakers, terminals, SPDs,PLC hardware etc.</t>
  </si>
  <si>
    <t>2.2.2.5</t>
  </si>
  <si>
    <t>Final Effluent Wash Water Pump Station Remote I/O panel complete with circuit breakers, terminals, SPDs,PLC hardware etc.</t>
  </si>
  <si>
    <t>Installation Testing And Commissioning of Instrumentation  - Wash Water Pump Stations</t>
  </si>
  <si>
    <t>Magnetic Flow Meter for 150mm dia pipe</t>
  </si>
  <si>
    <t>Installation And Testing of C&amp;I cable (Orange):</t>
  </si>
  <si>
    <t>Installation And Testing of C&amp;I Cable Racking:</t>
  </si>
  <si>
    <t>CONTROL AND INSTRUMENTATION EMERGENCY DAM</t>
  </si>
  <si>
    <t>Supply and delivery of Instrumentation - Emergency Dam (Dam-01)</t>
  </si>
  <si>
    <t>Ultrasonic Flow Meter - Weir</t>
  </si>
  <si>
    <t>Instrument junction box for weir flow meter complete with field brackets, supports,  terminals, surge protection etc</t>
  </si>
  <si>
    <t>3.1.1 and 3.1.3.3</t>
  </si>
  <si>
    <t>Pressure Meter (Used for hydrostatic level measurement ±5m head)</t>
  </si>
  <si>
    <t>2.2.2.7</t>
  </si>
  <si>
    <t>Emergency Dam PLC panel complete with circuit breakers, terminals, SPDs,PLC hardware etc.</t>
  </si>
  <si>
    <t>Supply and delivery of C&amp;I cable (Orange) :-</t>
  </si>
  <si>
    <t>Installation Testing And Commissioning of Instrumentation  - Emergency Dam</t>
  </si>
  <si>
    <t>Installation and testing of C&amp;I cable (Orange):</t>
  </si>
  <si>
    <t xml:space="preserve"> CONTROL AND INSTRUMENTATION CONTROL ROOM PLC</t>
  </si>
  <si>
    <t>Supply and delivery of Instrumentation - Emergency Dam</t>
  </si>
  <si>
    <t xml:space="preserve"> INSTALL, TEST AND COMMISSION (INSTRUMENTATION WORKS)</t>
  </si>
  <si>
    <t>Allowance for refurbishment or replacement of equipment at PST's</t>
  </si>
  <si>
    <t>Allowance for refurbishment or replacement of equipment at Fermenters</t>
  </si>
  <si>
    <t>Allowance for SCADA update, programming, PLC configuration, etc.</t>
  </si>
  <si>
    <t>TOTAL FOR SECTION 20 (Carried to Summary)</t>
  </si>
  <si>
    <t>SUMMARY OF BILL OF QUANTITIES</t>
  </si>
  <si>
    <t>Section</t>
  </si>
  <si>
    <t>Amount (R)</t>
  </si>
  <si>
    <t>Completion Certificate 1</t>
  </si>
  <si>
    <t xml:space="preserve">Preliminary and General </t>
  </si>
  <si>
    <t>Head of Works (Civil)</t>
  </si>
  <si>
    <t>Primary Sedimentation Tanks (Civil)</t>
  </si>
  <si>
    <t>Fermenters (Civil)</t>
  </si>
  <si>
    <t>Secondary Clarifiers (Civil)</t>
  </si>
  <si>
    <t>Wash Water (Civil)</t>
  </si>
  <si>
    <t>Overflow Channel</t>
  </si>
  <si>
    <t>Minor Structures</t>
  </si>
  <si>
    <t>Interconnecting Pipework</t>
  </si>
  <si>
    <t>Security Upgrades</t>
  </si>
  <si>
    <t>Mechanical Equipment - Head of Works</t>
  </si>
  <si>
    <t>Mechanical Equipment - Primary Sedimentation Tanks</t>
  </si>
  <si>
    <t>Mechanical Equipment - Fermentation Tanks</t>
  </si>
  <si>
    <t>Mechanical Equipment - Bioreactors and Clarifiers</t>
  </si>
  <si>
    <t>Mechanical Equipment - Wash Water</t>
  </si>
  <si>
    <t>Electrical Equipment</t>
  </si>
  <si>
    <t>Control and Instrumentation</t>
  </si>
  <si>
    <t>Sub-Total 1 Completion Certificate 1</t>
  </si>
  <si>
    <t>In respect of the total value of work done by approved SMME's at 20% of Sub Total 1 (This total shall include all amounts payable to SMME's, including P&amp;G's)</t>
  </si>
  <si>
    <t>R.........................…........................................................................ (A)</t>
  </si>
  <si>
    <t>Allowance as a percentage (maximum 15%) for appointing and handling work done by approved SMME's…...................................................................................% (B)</t>
  </si>
  <si>
    <t>Handling fees for sub contracting = (A) x (B)</t>
  </si>
  <si>
    <t>Sub-Total 2 Completion Certificate 1</t>
  </si>
  <si>
    <t>ADD:</t>
  </si>
  <si>
    <t>Contingencies at 10%</t>
  </si>
  <si>
    <r>
      <t xml:space="preserve">The above prices are Firm/Not Firm*(delete one).   </t>
    </r>
    <r>
      <rPr>
        <b/>
        <sz val="12"/>
        <rFont val="Arial"/>
        <family val="2"/>
      </rPr>
      <t xml:space="preserve">IF NOT FIRM </t>
    </r>
    <r>
      <rPr>
        <sz val="12"/>
        <rFont val="Arial"/>
        <family val="2"/>
      </rPr>
      <t xml:space="preserve">the client will allow for </t>
    </r>
    <r>
      <rPr>
        <b/>
        <sz val="12"/>
        <rFont val="Arial"/>
        <family val="2"/>
      </rPr>
      <t xml:space="preserve">CONTRACT PRICE ADJUSTMENTS </t>
    </r>
    <r>
      <rPr>
        <sz val="12"/>
        <rFont val="Arial"/>
        <family val="2"/>
      </rPr>
      <t xml:space="preserve">on all sums as provided for in Clause 6.8 of the General Conditions of Contract. </t>
    </r>
  </si>
  <si>
    <t>Total Completion Certificate 1</t>
  </si>
  <si>
    <t>Completion Certificate 2</t>
  </si>
  <si>
    <t>Access Roads</t>
  </si>
  <si>
    <t>Lime Plant</t>
  </si>
  <si>
    <t>Mechanical Equipment - Lime Plant</t>
  </si>
  <si>
    <t>Sub-Total 1 Completion Certificate 2</t>
  </si>
  <si>
    <t>Sub-Total 2 Completion Certificate 2</t>
  </si>
  <si>
    <t>Total Completion Certificate 1+2</t>
  </si>
  <si>
    <t>15% of above Total Amount for VALUE ADDED TAX (VAT)</t>
  </si>
  <si>
    <t>TOTAL CARRIED TO FORM OF OFFER</t>
  </si>
  <si>
    <t>Phase 1</t>
  </si>
  <si>
    <t>Total</t>
  </si>
  <si>
    <t>Phase 2</t>
  </si>
  <si>
    <t>Check</t>
  </si>
  <si>
    <t>Ph 2</t>
  </si>
  <si>
    <t>From "Summary"</t>
  </si>
  <si>
    <t>Total Completion Certificate 2</t>
  </si>
  <si>
    <t>Check - From "Summary"</t>
  </si>
  <si>
    <t>LEGEND:</t>
  </si>
  <si>
    <t>Certificate of Practical Completion No. 1 issued at Month 18</t>
  </si>
  <si>
    <t>Certificate of Practical Completion No. 2 issued at Month 36</t>
  </si>
  <si>
    <t>Section 1 Works</t>
  </si>
  <si>
    <t>Section 2 Works</t>
  </si>
  <si>
    <t>Month 1</t>
  </si>
  <si>
    <t>M1</t>
  </si>
  <si>
    <t>WORKS</t>
  </si>
  <si>
    <t>SECTION 1</t>
  </si>
  <si>
    <t>SECTION 2</t>
  </si>
  <si>
    <t>Cert 1</t>
  </si>
  <si>
    <t>Cert 2</t>
  </si>
  <si>
    <t>M2</t>
  </si>
  <si>
    <t>M3</t>
  </si>
  <si>
    <t>M4</t>
  </si>
  <si>
    <t>M5</t>
  </si>
  <si>
    <t>M6</t>
  </si>
  <si>
    <t>M7</t>
  </si>
  <si>
    <t>M8</t>
  </si>
  <si>
    <t>M9</t>
  </si>
  <si>
    <t>M10</t>
  </si>
  <si>
    <t>M11</t>
  </si>
  <si>
    <t>M12</t>
  </si>
  <si>
    <t>M13</t>
  </si>
  <si>
    <t>M14</t>
  </si>
  <si>
    <t>M15</t>
  </si>
  <si>
    <t>M16</t>
  </si>
  <si>
    <t>M17</t>
  </si>
  <si>
    <t>M18</t>
  </si>
  <si>
    <t>M19</t>
  </si>
  <si>
    <t>M20</t>
  </si>
  <si>
    <t>M21</t>
  </si>
  <si>
    <t>M22</t>
  </si>
  <si>
    <t>M23</t>
  </si>
  <si>
    <t>M24</t>
  </si>
  <si>
    <t>M25</t>
  </si>
  <si>
    <t>M26</t>
  </si>
  <si>
    <t>M27</t>
  </si>
  <si>
    <t>M28</t>
  </si>
  <si>
    <t>M29</t>
  </si>
  <si>
    <t>M30</t>
  </si>
  <si>
    <t>M31</t>
  </si>
  <si>
    <t>M32</t>
  </si>
  <si>
    <t>M33</t>
  </si>
  <si>
    <t>M34</t>
  </si>
  <si>
    <t>M35</t>
  </si>
  <si>
    <t>M36</t>
  </si>
  <si>
    <t>P&amp;G</t>
  </si>
  <si>
    <t>Main Inlet Channel (PS 1.3 Cl. 1)</t>
  </si>
  <si>
    <t>Head of Works Mod 1 (PS 1.3 Cl. 2)</t>
  </si>
  <si>
    <t>Head of Works Mod 2 (PS 1.3 Cl. 3)</t>
  </si>
  <si>
    <t>PST 1  (PS 1.3 Cl. 4)</t>
  </si>
  <si>
    <t>PST 2 (PS 1.3 Cl. 4)</t>
  </si>
  <si>
    <t>PST 3 (PS 1.3 Cl. 4)</t>
  </si>
  <si>
    <t>PST 4 (PS 1.3 Cl. 4)</t>
  </si>
  <si>
    <t>PST 5 (PS 1.3 Cl. 4)</t>
  </si>
  <si>
    <t>Fermenter 1 (PS 1.3 Cl. 5)</t>
  </si>
  <si>
    <t>Fermenter 2 (PS 1.3 Cl. 5)</t>
  </si>
  <si>
    <t>Reactor 1 (PS 1.3 Cl. 6)</t>
  </si>
  <si>
    <t xml:space="preserve">   Mixer 1.1</t>
  </si>
  <si>
    <t xml:space="preserve">   Mixer 1.2</t>
  </si>
  <si>
    <t xml:space="preserve">   Mixer 1.3</t>
  </si>
  <si>
    <t xml:space="preserve">   Mixer 1.4</t>
  </si>
  <si>
    <t xml:space="preserve">   Screw Pump 1.1 Bearings</t>
  </si>
  <si>
    <t xml:space="preserve">   Screw Pump 1.2 Bearings</t>
  </si>
  <si>
    <t xml:space="preserve">   Screw Pump 1.3 Bearings</t>
  </si>
  <si>
    <t>Clarifier 1.1 (PS 1.3 Cl. 7)</t>
  </si>
  <si>
    <t>Clarifier 1.2 (PS 1.3 Cl. 7)</t>
  </si>
  <si>
    <t>Clarifier 1.3 (PS 1.3 Cl. 7)</t>
  </si>
  <si>
    <t>Reactor 2 (PS 1.3 Cl. 6)</t>
  </si>
  <si>
    <t xml:space="preserve">   Mixer 2.1</t>
  </si>
  <si>
    <t xml:space="preserve">   Mixer 2.2</t>
  </si>
  <si>
    <t xml:space="preserve">   Mixer 2.3</t>
  </si>
  <si>
    <t xml:space="preserve">   Mixer 2.4</t>
  </si>
  <si>
    <t xml:space="preserve">   Screw Pump 2.1 Bearings</t>
  </si>
  <si>
    <t xml:space="preserve">   Screw Pump 2.2 Bearings</t>
  </si>
  <si>
    <t xml:space="preserve">   Screw Pump 2.3 Bearings</t>
  </si>
  <si>
    <t>Clarifier 2.1 (PS 1.3 Cl. 7)</t>
  </si>
  <si>
    <t>Clarifier 2.2 (PS 1.3 Cl. 7)</t>
  </si>
  <si>
    <t>Clarifier 2.3 (PS 1.3 Cl. 7)</t>
  </si>
  <si>
    <t>Reactor 3 (PS 1.3 Cl. 6)</t>
  </si>
  <si>
    <t xml:space="preserve">   Mixer 3.1</t>
  </si>
  <si>
    <t xml:space="preserve">   Mixer 3.2</t>
  </si>
  <si>
    <t xml:space="preserve">   Mixer 3.3</t>
  </si>
  <si>
    <t xml:space="preserve">   Mixer 3.4</t>
  </si>
  <si>
    <t xml:space="preserve">   Screw Pump 3.1 Bearings</t>
  </si>
  <si>
    <t xml:space="preserve">   Screw Pump 3.2 Bearings</t>
  </si>
  <si>
    <t xml:space="preserve">   Screw Pump 3.3 Bearings</t>
  </si>
  <si>
    <t>Clarifier 3.1 (PS 1.3 Cl. 7)</t>
  </si>
  <si>
    <t>Clarifier 3.2 (PS 1.3 Cl. 7)</t>
  </si>
  <si>
    <t>Clarifier 3.3 (PS 1.3 Cl. 7)</t>
  </si>
  <si>
    <t>Reactor 4 (PS 1.3 Cl. 6)</t>
  </si>
  <si>
    <t xml:space="preserve">   Mixer 4.1</t>
  </si>
  <si>
    <t xml:space="preserve">   Mixer 4.2</t>
  </si>
  <si>
    <t xml:space="preserve">   Mixer 4.3</t>
  </si>
  <si>
    <t xml:space="preserve">   Mixer 4.4</t>
  </si>
  <si>
    <t xml:space="preserve">   Screw Pump 4.1 Bearings</t>
  </si>
  <si>
    <t xml:space="preserve">   Screw Pump 4.2 Bearings</t>
  </si>
  <si>
    <t xml:space="preserve">   Screw Pump 4.3 Bearings</t>
  </si>
  <si>
    <t>Clarifier 4.1 (PS 1.3 Cl. 7)</t>
  </si>
  <si>
    <t>Clarifier 4.2 (PS 1.3 Cl. 7)</t>
  </si>
  <si>
    <t>Clarifier 4.3 (PS 1.3 Cl. 7)</t>
  </si>
  <si>
    <t>Washwater System  (PS 1.3 Cl. 8)</t>
  </si>
  <si>
    <t>Security Upgrade</t>
  </si>
  <si>
    <t>Belt Press Building (PS 1.3 Cl. 10)</t>
  </si>
  <si>
    <t>Final Effluent Pump Station (PS 1.3 Cl. 9)</t>
  </si>
  <si>
    <t>New Wash Water Filter Station (PS 1.3 Cl. 14)</t>
  </si>
  <si>
    <t>Lime Reactor &amp; Silo (PS 1.3 Cl. 11)</t>
  </si>
  <si>
    <t xml:space="preserve">   Lime Clarifier 1</t>
  </si>
  <si>
    <t xml:space="preserve">   Lime Clarifier 2</t>
  </si>
  <si>
    <t xml:space="preserve">   Lime Clarifier 3</t>
  </si>
  <si>
    <t xml:space="preserve">   Lime Clarifier 4</t>
  </si>
  <si>
    <t>Emergency Overflow Dam (PS 1.3 Cl. 12)</t>
  </si>
  <si>
    <t>Internal Access Roads (PS 1.3 Cl. 13)</t>
  </si>
  <si>
    <t>Head of Works Substation (PS 1.3 Cl. 15)</t>
  </si>
  <si>
    <t>Blowers Substation (PS 1.3 Cl. 15)</t>
  </si>
  <si>
    <t>Substation 0 (PS 1.3 Cl. 15)</t>
  </si>
  <si>
    <t>Substation 1 (PS 1.3 Cl. 15)</t>
  </si>
  <si>
    <t>Substation 2 (PS 1.3 Cl. 15)</t>
  </si>
  <si>
    <t>Substation 3 (PS 1.3 Cl. 15)</t>
  </si>
  <si>
    <t>Emergency O'flow Dam Mini Sub (PS 1.3 Cl. 15)</t>
  </si>
  <si>
    <t>Replacement of Generator</t>
  </si>
  <si>
    <t>Replacement of Transformers</t>
  </si>
  <si>
    <t>Sub-Total 1</t>
  </si>
  <si>
    <t>10% Escalation</t>
  </si>
  <si>
    <t>Sub-Total 2</t>
  </si>
  <si>
    <t>10% Contingency</t>
  </si>
  <si>
    <t xml:space="preserve">Sub-Total 3 </t>
  </si>
  <si>
    <t>15% of above Sub-Total 3 for VALUE ADDED TAX (VAT)</t>
  </si>
  <si>
    <t>DATE</t>
  </si>
  <si>
    <t>SIGNATURE OF TENDERER</t>
  </si>
  <si>
    <t xml:space="preserve">THE PROJECT WILL BE PHASED ACCORDING TO THE BUDGETING CYCLE OF JOHANNESBURG WATER. JOHANNESBURG WATER, IN ITS SOLE DISCRETION, RESERVES THE RIGHT TO REDUCE THE SCOPE OF THE PROJECT SHOULD ADDITIONAL FUNDING FOR THE PROJECT NOT MATERIALISE, OR SHOULD THERE BE A DELAY IN ACQUIRING ADDITIONAL FUNDING FOR THE COMPLETION OF THE PROJECT. </t>
  </si>
  <si>
    <t>ESTIMATE OF CONTRACT PRICE ADJUSTMENT</t>
  </si>
  <si>
    <t>where</t>
  </si>
  <si>
    <t>x =</t>
  </si>
  <si>
    <t>Portion not affected subject to adjustent. Default is 0.1</t>
  </si>
  <si>
    <t>a =</t>
  </si>
  <si>
    <t>Labour co-effecient</t>
  </si>
  <si>
    <t>b =</t>
  </si>
  <si>
    <t>Plant/Equipment co-efficient</t>
  </si>
  <si>
    <t xml:space="preserve">c = </t>
  </si>
  <si>
    <t>Materials co-efficient</t>
  </si>
  <si>
    <t xml:space="preserve">d = </t>
  </si>
  <si>
    <t>Fuel co-efficient</t>
  </si>
  <si>
    <t>(co-efficients as per Contract Data)</t>
  </si>
  <si>
    <t>Contract Value subject to CPA</t>
  </si>
  <si>
    <t>(see Summary worksheet)</t>
  </si>
  <si>
    <r>
      <t>L</t>
    </r>
    <r>
      <rPr>
        <sz val="8"/>
        <color rgb="FF000000"/>
        <rFont val="Arial"/>
        <family val="2"/>
      </rPr>
      <t xml:space="preserve">t </t>
    </r>
    <r>
      <rPr>
        <sz val="10"/>
        <rFont val="Arial"/>
        <family val="2"/>
      </rPr>
      <t>/ L</t>
    </r>
    <r>
      <rPr>
        <sz val="9"/>
        <color rgb="FF000000"/>
        <rFont val="Arial"/>
        <family val="2"/>
      </rPr>
      <t>o</t>
    </r>
  </si>
  <si>
    <t>monthly</t>
  </si>
  <si>
    <t>[6%/a / 12 m]</t>
  </si>
  <si>
    <t>assume Labour Rate rise year-on-year average by 6% (CPI+1)</t>
  </si>
  <si>
    <r>
      <t>P</t>
    </r>
    <r>
      <rPr>
        <sz val="8"/>
        <color rgb="FF000000"/>
        <rFont val="Arial"/>
        <family val="2"/>
      </rPr>
      <t xml:space="preserve">t </t>
    </r>
    <r>
      <rPr>
        <sz val="10"/>
        <rFont val="Arial"/>
        <family val="2"/>
      </rPr>
      <t>/ P</t>
    </r>
    <r>
      <rPr>
        <sz val="9"/>
        <color rgb="FF000000"/>
        <rFont val="Arial"/>
        <family val="2"/>
      </rPr>
      <t>o</t>
    </r>
  </si>
  <si>
    <t>[6.5%/a / 12 m]</t>
  </si>
  <si>
    <t>assume year-on-year rise of 6.5%</t>
  </si>
  <si>
    <r>
      <t>M</t>
    </r>
    <r>
      <rPr>
        <sz val="8"/>
        <color rgb="FF000000"/>
        <rFont val="Arial"/>
        <family val="2"/>
      </rPr>
      <t xml:space="preserve">t / </t>
    </r>
    <r>
      <rPr>
        <sz val="10"/>
        <rFont val="Arial"/>
        <family val="2"/>
      </rPr>
      <t>M</t>
    </r>
    <r>
      <rPr>
        <sz val="9"/>
        <color rgb="FF000000"/>
        <rFont val="Arial"/>
        <family val="2"/>
      </rPr>
      <t>o</t>
    </r>
  </si>
  <si>
    <r>
      <t>F</t>
    </r>
    <r>
      <rPr>
        <sz val="8"/>
        <color rgb="FF000000"/>
        <rFont val="Arial"/>
        <family val="2"/>
      </rPr>
      <t xml:space="preserve">t </t>
    </r>
    <r>
      <rPr>
        <sz val="10"/>
        <rFont val="Arial"/>
        <family val="2"/>
      </rPr>
      <t>/ F</t>
    </r>
    <r>
      <rPr>
        <sz val="9"/>
        <color rgb="FF000000"/>
        <rFont val="Arial"/>
        <family val="2"/>
      </rPr>
      <t>o</t>
    </r>
  </si>
  <si>
    <t>Total CPA =</t>
  </si>
  <si>
    <t>CPA per month, calculated from</t>
  </si>
  <si>
    <t>to</t>
  </si>
  <si>
    <t>Start Date</t>
  </si>
  <si>
    <t>month No.</t>
  </si>
  <si>
    <t>% claimed</t>
  </si>
  <si>
    <t>month</t>
  </si>
  <si>
    <t>(1-x)</t>
  </si>
  <si>
    <t>labour</t>
  </si>
  <si>
    <t>Plant</t>
  </si>
  <si>
    <t>Fuel</t>
  </si>
  <si>
    <t>% CPA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</si>
</sst>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8">
    <numFmt numFmtId="44" formatCode="_-&quot;R&quot;* #,##0.00_-;\-&quot;R&quot;* #,##0.00_-;_-&quot;R&quot;* &quot;-&quot;??_-;_-@_-"/>
    <numFmt numFmtId="43" formatCode="_-* #,##0.00_-;\-* #,##0.00_-;_-* &quot;-&quot;??_-;_-@_-"/>
    <numFmt numFmtId="164" formatCode="_(&quot;$&quot;* #,##0.00_);_(&quot;$&quot;* \(#,##0.00\);_(&quot;$&quot;* &quot;-&quot;??_);_(@_)"/>
    <numFmt numFmtId="165" formatCode="_(* #,##0.00_);_(* \(#,##0.00\);_(* &quot;-&quot;??_);_(@_)"/>
    <numFmt numFmtId="166" formatCode="&quot;R&quot;#,##0.00_);[Red]\(&quot;R&quot;#,##0.00\)"/>
    <numFmt numFmtId="167" formatCode="&quot;R&quot;\ #,##0.00;[Red]&quot;R&quot;\ \-#,##0.00"/>
    <numFmt numFmtId="168" formatCode="_ * #,##0_ ;_ * \-#,##0_ ;_ * &quot;-&quot;_ ;_ @_ "/>
    <numFmt numFmtId="169" formatCode="_ &quot;R&quot;\ * #,##0.00_ ;_ &quot;R&quot;\ * \-#,##0.00_ ;_ &quot;R&quot;\ * &quot;-&quot;??_ ;_ @_ "/>
    <numFmt numFmtId="170" formatCode="_ * #,##0.00_ ;_ * \-#,##0.00_ ;_ * &quot;-&quot;??_ ;_ @_ "/>
    <numFmt numFmtId="171" formatCode="#,##0;[Red]#,##0"/>
    <numFmt numFmtId="172" formatCode="General_)"/>
    <numFmt numFmtId="173" formatCode="_ [$R-1C09]\ * #,##0.00_ ;_ [$R-1C09]\ * \-#,##0.00_ ;_ [$R-1C09]\ * &quot;-&quot;??_ ;_ @_ "/>
    <numFmt numFmtId="174" formatCode="#,##0.0"/>
    <numFmt numFmtId="175" formatCode="#,##0.000"/>
    <numFmt numFmtId="176" formatCode="\$#,##0\ ;\(\$#,##0\)"/>
    <numFmt numFmtId="177" formatCode="#\ ##0"/>
    <numFmt numFmtId="178" formatCode="0.0"/>
    <numFmt numFmtId="179" formatCode="&quot;R&quot;\ #,##0.00"/>
    <numFmt numFmtId="180" formatCode="0.000_)"/>
    <numFmt numFmtId="181" formatCode="\$#,##0.00_);[Red]\(\$#,##0.00\)"/>
    <numFmt numFmtId="182" formatCode="dd\-mmm\-yy_)"/>
    <numFmt numFmtId="183" formatCode=";;;"/>
    <numFmt numFmtId="184" formatCode="&quot;R&quot;#,##0&quot;/m2 :&quot;"/>
    <numFmt numFmtId="185" formatCode="0.00_)"/>
    <numFmt numFmtId="186" formatCode="0.000"/>
    <numFmt numFmtId="187" formatCode="#,##0_ ;\-#,##0\ "/>
    <numFmt numFmtId="188" formatCode="_ * #,##0_ ;_ * \-#,##0_ ;_ * &quot;-&quot;??_ ;_ @_ "/>
    <numFmt numFmtId="189" formatCode="&quot;R&quot;#,##0.00"/>
    <numFmt numFmtId="190" formatCode="_-[$R-1C09]* #,##0.00_-;\-[$R-1C09]* #,##0.00_-;_-[$R-1C09]* &quot;-&quot;??_-;_-@_-"/>
    <numFmt numFmtId="191" formatCode="#,##0.0;[Red]#,##0.0"/>
    <numFmt numFmtId="192" formatCode="#,##0.00;[Red]#,##0.00"/>
    <numFmt numFmtId="193" formatCode="#,##0.0000;[Red]#,##0.0000"/>
    <numFmt numFmtId="194" formatCode="_ * #,##0.00_ ;_ * \-#,##0.00_ ;_ * &quot;-&quot;_ ;_ @_ "/>
    <numFmt numFmtId="195" formatCode="&quot;R&quot;#,##0"/>
    <numFmt numFmtId="196" formatCode="&quot;R &quot;#,##0.00"/>
    <numFmt numFmtId="197" formatCode="0.00000"/>
    <numFmt numFmtId="198" formatCode="0.0%"/>
    <numFmt numFmtId="199" formatCode="0.0000"/>
  </numFmts>
  <fonts count="13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sz val="8"/>
      <name val="Tms Rmn"/>
    </font>
    <font>
      <b/>
      <sz val="12"/>
      <name val="Arial"/>
      <family val="2"/>
    </font>
    <font>
      <b/>
      <sz val="10"/>
      <name val="Arial"/>
      <family val="2"/>
    </font>
    <font>
      <i/>
      <sz val="10"/>
      <name val="Arial"/>
      <family val="2"/>
    </font>
    <font>
      <sz val="10"/>
      <name val="MS Sans Serif"/>
      <family val="2"/>
    </font>
    <font>
      <sz val="12"/>
      <name val="Arial"/>
      <family val="2"/>
    </font>
    <font>
      <sz val="8"/>
      <name val="Times New Roman"/>
      <family val="1"/>
    </font>
    <font>
      <b/>
      <u/>
      <sz val="12"/>
      <name val="Arial"/>
      <family val="2"/>
    </font>
    <font>
      <b/>
      <sz val="6"/>
      <name val="Arial"/>
      <family val="2"/>
    </font>
    <font>
      <b/>
      <u/>
      <sz val="10"/>
      <name val="Times New Roman"/>
      <family val="1"/>
    </font>
    <font>
      <u/>
      <sz val="10"/>
      <name val="Times New Roman"/>
      <family val="1"/>
    </font>
    <font>
      <i/>
      <u/>
      <sz val="10"/>
      <name val="Times New Roman"/>
      <family val="1"/>
    </font>
    <font>
      <vertAlign val="superscript"/>
      <sz val="10"/>
      <name val="Arial"/>
      <family val="2"/>
    </font>
    <font>
      <b/>
      <u/>
      <sz val="10"/>
      <name val="Arial"/>
      <family val="2"/>
    </font>
    <font>
      <sz val="8"/>
      <name val="Arial"/>
      <family val="2"/>
    </font>
    <font>
      <sz val="9"/>
      <name val="MS Sans Serif"/>
      <family val="2"/>
    </font>
    <font>
      <sz val="9"/>
      <name val="Arial"/>
      <family val="2"/>
    </font>
    <font>
      <b/>
      <sz val="9"/>
      <name val="Arial"/>
      <family val="2"/>
    </font>
    <font>
      <sz val="10"/>
      <name val="MS Sans Serif"/>
      <family val="2"/>
    </font>
    <font>
      <b/>
      <sz val="18"/>
      <name val="Arial"/>
      <family val="2"/>
    </font>
    <font>
      <b/>
      <sz val="11"/>
      <name val="Arial"/>
      <family val="2"/>
    </font>
    <font>
      <sz val="11"/>
      <name val="Arial"/>
      <family val="2"/>
    </font>
    <font>
      <b/>
      <u/>
      <sz val="11"/>
      <color indexed="8"/>
      <name val="Arial"/>
      <family val="2"/>
    </font>
    <font>
      <b/>
      <u/>
      <sz val="11"/>
      <name val="Arial"/>
      <family val="2"/>
    </font>
    <font>
      <i/>
      <u/>
      <sz val="11"/>
      <name val="Arial"/>
      <family val="2"/>
    </font>
    <font>
      <vertAlign val="superscript"/>
      <sz val="11"/>
      <name val="Arial"/>
      <family val="2"/>
    </font>
    <font>
      <sz val="11"/>
      <color theme="1"/>
      <name val="Arial"/>
      <family val="2"/>
    </font>
    <font>
      <sz val="11"/>
      <color rgb="FFFF0000"/>
      <name val="Arial"/>
      <family val="2"/>
    </font>
    <font>
      <sz val="11"/>
      <name val="Tms Rmn"/>
      <family val="1"/>
    </font>
    <font>
      <sz val="12"/>
      <name val="CG Times (WN)"/>
      <family val="1"/>
    </font>
    <font>
      <sz val="10"/>
      <name val="CG Times (WN)"/>
    </font>
    <font>
      <b/>
      <u/>
      <sz val="12"/>
      <color indexed="39"/>
      <name val="CG Times (WN)"/>
      <family val="1"/>
    </font>
    <font>
      <sz val="18"/>
      <name val="Arial"/>
      <family val="2"/>
    </font>
    <font>
      <i/>
      <sz val="12"/>
      <name val="Arial"/>
      <family val="2"/>
    </font>
    <font>
      <sz val="10"/>
      <name val="Helv"/>
      <family val="2"/>
    </font>
    <font>
      <b/>
      <i/>
      <sz val="16"/>
      <name val="Helv"/>
      <family val="2"/>
    </font>
    <font>
      <sz val="10.5"/>
      <name val="Arial"/>
      <family val="2"/>
    </font>
    <font>
      <sz val="10"/>
      <name val="CG Times (WN)"/>
      <family val="1"/>
    </font>
    <font>
      <sz val="10"/>
      <name val="CG Times"/>
      <family val="1"/>
    </font>
    <font>
      <sz val="10"/>
      <color indexed="8"/>
      <name val="CG Times (WN)"/>
      <family val="1"/>
    </font>
    <font>
      <b/>
      <u/>
      <sz val="12"/>
      <color indexed="8"/>
      <name val="CG Times (WN)"/>
      <family val="1"/>
    </font>
    <font>
      <sz val="12"/>
      <color indexed="10"/>
      <name val="CG Times (WN)"/>
      <family val="1"/>
    </font>
    <font>
      <sz val="8"/>
      <color indexed="10"/>
      <name val="Arial Narrow"/>
      <family val="2"/>
    </font>
    <font>
      <b/>
      <u/>
      <sz val="10"/>
      <color indexed="8"/>
      <name val="Arial"/>
      <family val="2"/>
    </font>
    <font>
      <sz val="10"/>
      <name val="Arial"/>
      <family val="2"/>
    </font>
    <font>
      <sz val="10"/>
      <name val="Arial"/>
      <family val="2"/>
    </font>
    <font>
      <sz val="12"/>
      <name val="Times New Roman"/>
      <family val="1"/>
    </font>
    <font>
      <sz val="9"/>
      <color indexed="81"/>
      <name val="Tahoma"/>
      <family val="2"/>
    </font>
    <font>
      <b/>
      <sz val="9"/>
      <color indexed="81"/>
      <name val="Tahoma"/>
      <family val="2"/>
    </font>
    <font>
      <sz val="10"/>
      <color rgb="FFFF0000"/>
      <name val="Arial"/>
      <family val="2"/>
    </font>
    <font>
      <b/>
      <sz val="10"/>
      <color indexed="8"/>
      <name val="Arial"/>
      <family val="2"/>
    </font>
    <font>
      <sz val="10"/>
      <color indexed="8"/>
      <name val="Arial"/>
      <family val="2"/>
    </font>
    <font>
      <sz val="10"/>
      <color theme="1"/>
      <name val="Arial"/>
      <family val="2"/>
    </font>
    <font>
      <b/>
      <sz val="10"/>
      <color rgb="FFFF0000"/>
      <name val="Arial"/>
      <family val="2"/>
    </font>
    <font>
      <b/>
      <sz val="10"/>
      <color theme="1"/>
      <name val="Arial"/>
      <family val="2"/>
    </font>
    <font>
      <sz val="10"/>
      <color rgb="FF7030A0"/>
      <name val="Arial"/>
      <family val="2"/>
    </font>
    <font>
      <b/>
      <sz val="10"/>
      <color rgb="FF7030A0"/>
      <name val="Arial"/>
      <family val="2"/>
    </font>
    <font>
      <i/>
      <sz val="10"/>
      <color rgb="FF7030A0"/>
      <name val="Arial"/>
      <family val="2"/>
    </font>
    <font>
      <b/>
      <sz val="11"/>
      <color theme="1"/>
      <name val="Calibri"/>
      <family val="2"/>
      <scheme val="minor"/>
    </font>
    <font>
      <b/>
      <sz val="16"/>
      <color theme="1"/>
      <name val="Calibri"/>
      <family val="2"/>
      <scheme val="minor"/>
    </font>
    <font>
      <vertAlign val="superscript"/>
      <sz val="10"/>
      <color indexed="8"/>
      <name val="Arial"/>
      <family val="2"/>
    </font>
    <font>
      <sz val="10"/>
      <color theme="1"/>
      <name val="Calibri"/>
      <family val="2"/>
      <scheme val="minor"/>
    </font>
    <font>
      <sz val="10"/>
      <color indexed="8"/>
      <name val="Arial Narrow"/>
      <family val="2"/>
    </font>
    <font>
      <sz val="10"/>
      <name val="Calibri"/>
      <family val="2"/>
      <scheme val="minor"/>
    </font>
    <font>
      <b/>
      <sz val="10"/>
      <color theme="1"/>
      <name val="Calibri"/>
      <family val="2"/>
      <scheme val="minor"/>
    </font>
    <font>
      <sz val="8.5"/>
      <color indexed="8"/>
      <name val="Arial"/>
      <family val="2"/>
    </font>
    <font>
      <sz val="10"/>
      <color rgb="FFFFFF00"/>
      <name val="Arial"/>
      <family val="2"/>
    </font>
    <font>
      <vertAlign val="superscript"/>
      <sz val="10"/>
      <color theme="1"/>
      <name val="Arial"/>
      <family val="2"/>
    </font>
    <font>
      <i/>
      <sz val="10"/>
      <color theme="1"/>
      <name val="Arial"/>
      <family val="2"/>
    </font>
    <font>
      <sz val="10"/>
      <color theme="1" tint="4.9989318521683403E-2"/>
      <name val="Arial"/>
      <family val="2"/>
    </font>
    <font>
      <sz val="8"/>
      <color theme="1"/>
      <name val="Arial"/>
      <family val="2"/>
    </font>
    <font>
      <b/>
      <sz val="11"/>
      <color theme="1"/>
      <name val="Arial"/>
      <family val="2"/>
    </font>
    <font>
      <b/>
      <sz val="10"/>
      <color indexed="10"/>
      <name val="Arial"/>
      <family val="2"/>
    </font>
    <font>
      <sz val="10"/>
      <color theme="1"/>
      <name val="Arial Narrow"/>
      <family val="2"/>
    </font>
    <font>
      <sz val="10"/>
      <name val="Arial Narrow"/>
      <family val="2"/>
    </font>
    <font>
      <sz val="10"/>
      <color theme="0"/>
      <name val="Arial"/>
      <family val="2"/>
    </font>
    <font>
      <b/>
      <sz val="10"/>
      <color theme="1" tint="4.9989318521683403E-2"/>
      <name val="Arial"/>
      <family val="2"/>
    </font>
    <font>
      <b/>
      <u/>
      <sz val="11"/>
      <color theme="1"/>
      <name val="Arial"/>
      <family val="2"/>
    </font>
    <font>
      <b/>
      <u/>
      <sz val="11"/>
      <name val="Arial Narrow"/>
      <family val="2"/>
    </font>
    <font>
      <sz val="11"/>
      <name val="Calibri"/>
      <family val="2"/>
      <scheme val="minor"/>
    </font>
    <font>
      <sz val="10"/>
      <name val="MS Sans Serif"/>
    </font>
    <font>
      <u/>
      <sz val="10"/>
      <color indexed="8"/>
      <name val="Arial"/>
      <family val="2"/>
    </font>
    <font>
      <sz val="10"/>
      <color indexed="8"/>
      <name val="SWISS"/>
    </font>
    <font>
      <vertAlign val="superscript"/>
      <sz val="10"/>
      <color indexed="8"/>
      <name val="SWISS"/>
    </font>
    <font>
      <b/>
      <sz val="10"/>
      <color indexed="8"/>
      <name val="SWISS"/>
    </font>
    <font>
      <b/>
      <u/>
      <sz val="10"/>
      <color indexed="8"/>
      <name val="SWISS"/>
    </font>
    <font>
      <sz val="10"/>
      <color rgb="FF0070C0"/>
      <name val="Arial"/>
      <family val="2"/>
    </font>
    <font>
      <b/>
      <sz val="11"/>
      <color theme="1"/>
      <name val="Arial Narrow"/>
      <family val="2"/>
    </font>
    <font>
      <i/>
      <u/>
      <sz val="10"/>
      <name val="Arial"/>
      <family val="2"/>
    </font>
    <font>
      <b/>
      <vertAlign val="superscript"/>
      <sz val="10"/>
      <color theme="1"/>
      <name val="Arial"/>
      <family val="2"/>
    </font>
    <font>
      <sz val="11"/>
      <color rgb="FFFF0000"/>
      <name val="Calibri"/>
      <family val="2"/>
    </font>
    <font>
      <sz val="10"/>
      <color rgb="FFFF0000"/>
      <name val="SWISS"/>
    </font>
    <font>
      <sz val="10"/>
      <name val="Helv"/>
    </font>
    <font>
      <vertAlign val="superscript"/>
      <sz val="10"/>
      <color rgb="FF000000"/>
      <name val="SWISS"/>
    </font>
    <font>
      <sz val="10"/>
      <color rgb="FF000000"/>
      <name val="Arial"/>
      <family val="2"/>
    </font>
    <font>
      <b/>
      <sz val="10"/>
      <color rgb="FF000000"/>
      <name val="Arial"/>
      <family val="2"/>
    </font>
    <font>
      <sz val="8"/>
      <color rgb="FF000000"/>
      <name val="Arial"/>
      <family val="2"/>
    </font>
    <font>
      <sz val="9"/>
      <color rgb="FF000000"/>
      <name val="Arial"/>
      <family val="2"/>
    </font>
    <font>
      <i/>
      <sz val="10"/>
      <color rgb="FF000000"/>
      <name val="Arial"/>
      <family val="2"/>
    </font>
    <font>
      <u/>
      <sz val="10"/>
      <name val="Arial"/>
      <family val="2"/>
    </font>
    <font>
      <u/>
      <sz val="10"/>
      <color theme="1"/>
      <name val="Arial"/>
      <family val="2"/>
    </font>
    <font>
      <u/>
      <sz val="10"/>
      <color rgb="FF000000"/>
      <name val="Arial"/>
      <family val="2"/>
    </font>
    <font>
      <b/>
      <u/>
      <sz val="10"/>
      <color theme="1"/>
      <name val="Arial"/>
      <family val="2"/>
    </font>
    <font>
      <b/>
      <sz val="10"/>
      <name val="Arial Narrow"/>
      <family val="2"/>
    </font>
    <font>
      <strike/>
      <sz val="10"/>
      <name val="Arial"/>
      <family val="2"/>
    </font>
    <font>
      <strike/>
      <sz val="10"/>
      <color rgb="FFFF0000"/>
      <name val="Arial"/>
      <family val="2"/>
    </font>
    <font>
      <b/>
      <u/>
      <sz val="10"/>
      <color rgb="FF000000"/>
      <name val="Arial"/>
      <family val="2"/>
    </font>
    <font>
      <sz val="12"/>
      <color rgb="FFC00000"/>
      <name val="Arial"/>
      <family val="2"/>
    </font>
    <font>
      <b/>
      <sz val="10"/>
      <color rgb="FFC00000"/>
      <name val="Arial"/>
      <family val="2"/>
    </font>
    <font>
      <sz val="10"/>
      <color rgb="FFC00000"/>
      <name val="Arial"/>
      <family val="2"/>
    </font>
    <font>
      <sz val="10"/>
      <color rgb="FFC00000"/>
      <name val="Arial Narrow"/>
      <family val="2"/>
    </font>
  </fonts>
  <fills count="28">
    <fill>
      <patternFill patternType="none"/>
    </fill>
    <fill>
      <patternFill patternType="gray125"/>
    </fill>
    <fill>
      <patternFill patternType="solid">
        <fgColor indexed="42"/>
        <bgColor indexed="8"/>
      </patternFill>
    </fill>
    <fill>
      <patternFill patternType="solid">
        <fgColor rgb="FFCCFFCC"/>
        <bgColor indexed="8"/>
      </patternFill>
    </fill>
    <fill>
      <patternFill patternType="solid">
        <fgColor indexed="42"/>
        <bgColor indexed="64"/>
      </patternFill>
    </fill>
    <fill>
      <patternFill patternType="solid">
        <fgColor rgb="FF777777"/>
        <bgColor indexed="64"/>
      </patternFill>
    </fill>
    <fill>
      <patternFill patternType="solid">
        <fgColor indexed="9"/>
        <bgColor indexed="9"/>
      </patternFill>
    </fill>
    <fill>
      <patternFill patternType="solid">
        <fgColor indexed="15"/>
      </patternFill>
    </fill>
    <fill>
      <patternFill patternType="solid">
        <fgColor indexed="9"/>
        <bgColor indexed="10"/>
      </patternFill>
    </fill>
    <fill>
      <patternFill patternType="solid">
        <fgColor indexed="21"/>
        <bgColor indexed="10"/>
      </patternFill>
    </fill>
    <fill>
      <patternFill patternType="solid">
        <fgColor theme="9" tint="0.59999389629810485"/>
        <bgColor indexed="8"/>
      </patternFill>
    </fill>
    <fill>
      <patternFill patternType="solid">
        <fgColor theme="9"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9" tint="0.79998168889431442"/>
        <bgColor indexed="64"/>
      </patternFill>
    </fill>
    <fill>
      <patternFill patternType="solid">
        <fgColor rgb="FFCCFFCC"/>
        <bgColor indexed="64"/>
      </patternFill>
    </fill>
    <fill>
      <patternFill patternType="solid">
        <fgColor rgb="FF00B050"/>
        <bgColor indexed="64"/>
      </patternFill>
    </fill>
    <fill>
      <patternFill patternType="solid">
        <fgColor theme="2"/>
        <bgColor indexed="64"/>
      </patternFill>
    </fill>
    <fill>
      <patternFill patternType="solid">
        <fgColor theme="5" tint="0.59999389629810485"/>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bgColor indexed="64"/>
      </patternFill>
    </fill>
  </fills>
  <borders count="133">
    <border>
      <left/>
      <right/>
      <top/>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top/>
      <bottom style="thin">
        <color indexed="8"/>
      </bottom>
      <diagonal/>
    </border>
    <border>
      <left/>
      <right style="thin">
        <color indexed="8"/>
      </right>
      <top/>
      <bottom style="thin">
        <color indexed="64"/>
      </bottom>
      <diagonal/>
    </border>
    <border>
      <left/>
      <right style="thin">
        <color indexed="64"/>
      </right>
      <top/>
      <bottom style="thin">
        <color indexed="64"/>
      </bottom>
      <diagonal/>
    </border>
    <border>
      <left/>
      <right/>
      <top/>
      <bottom style="thin">
        <color indexed="64"/>
      </bottom>
      <diagonal/>
    </border>
    <border>
      <left style="thick">
        <color indexed="64"/>
      </left>
      <right style="thick">
        <color indexed="64"/>
      </right>
      <top/>
      <bottom/>
      <diagonal/>
    </border>
    <border>
      <left style="thick">
        <color indexed="64"/>
      </left>
      <right/>
      <top/>
      <bottom/>
      <diagonal/>
    </border>
    <border>
      <left/>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right style="thin">
        <color indexed="64"/>
      </right>
      <top/>
      <bottom/>
      <diagonal/>
    </border>
    <border>
      <left/>
      <right/>
      <top style="thin">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10"/>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medium">
        <color indexed="64"/>
      </right>
      <top/>
      <bottom/>
      <diagonal/>
    </border>
    <border>
      <left style="medium">
        <color indexed="64"/>
      </left>
      <right style="thin">
        <color indexed="8"/>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bottom/>
      <diagonal/>
    </border>
    <border>
      <left/>
      <right style="thin">
        <color indexed="8"/>
      </right>
      <top style="thin">
        <color indexed="64"/>
      </top>
      <bottom style="thin">
        <color indexed="64"/>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bottom/>
      <diagonal/>
    </border>
    <border>
      <left style="thin">
        <color indexed="64"/>
      </left>
      <right style="thin">
        <color indexed="64"/>
      </right>
      <top/>
      <bottom style="thin">
        <color indexed="8"/>
      </bottom>
      <diagonal/>
    </border>
    <border>
      <left style="thin">
        <color auto="1"/>
      </left>
      <right style="medium">
        <color indexed="64"/>
      </right>
      <top/>
      <bottom/>
      <diagonal/>
    </border>
    <border>
      <left style="thin">
        <color indexed="8"/>
      </left>
      <right style="thin">
        <color indexed="8"/>
      </right>
      <top/>
      <bottom style="thin">
        <color indexed="64"/>
      </bottom>
      <diagonal/>
    </border>
    <border>
      <left style="thin">
        <color auto="1"/>
      </left>
      <right style="thin">
        <color auto="1"/>
      </right>
      <top/>
      <bottom style="thin">
        <color indexed="64"/>
      </bottom>
      <diagonal/>
    </border>
    <border>
      <left/>
      <right style="thin">
        <color indexed="64"/>
      </right>
      <top/>
      <bottom/>
      <diagonal/>
    </border>
    <border>
      <left/>
      <right/>
      <top style="thin">
        <color auto="1"/>
      </top>
      <bottom style="thin">
        <color auto="1"/>
      </bottom>
      <diagonal/>
    </border>
    <border>
      <left style="thin">
        <color indexed="64"/>
      </left>
      <right style="thin">
        <color indexed="64"/>
      </right>
      <top style="thin">
        <color indexed="64"/>
      </top>
      <bottom style="thin">
        <color indexed="10"/>
      </bottom>
      <diagonal/>
    </border>
    <border>
      <left style="thin">
        <color indexed="8"/>
      </left>
      <right style="thin">
        <color indexed="8"/>
      </right>
      <top style="thin">
        <color indexed="8"/>
      </top>
      <bottom style="thin">
        <color indexed="8"/>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right/>
      <top style="hair">
        <color auto="1"/>
      </top>
      <bottom/>
      <diagonal/>
    </border>
    <border>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indexed="64"/>
      </left>
      <right style="thin">
        <color indexed="8"/>
      </right>
      <top style="thin">
        <color indexed="64"/>
      </top>
      <bottom/>
      <diagonal/>
    </border>
    <border>
      <left style="thin">
        <color indexed="64"/>
      </left>
      <right style="thin">
        <color auto="1"/>
      </right>
      <top style="thin">
        <color theme="1"/>
      </top>
      <bottom/>
      <diagonal/>
    </border>
    <border>
      <left/>
      <right/>
      <top style="thin">
        <color theme="1"/>
      </top>
      <bottom/>
      <diagonal/>
    </border>
    <border>
      <left style="thin">
        <color indexed="64"/>
      </left>
      <right/>
      <top style="thin">
        <color theme="1"/>
      </top>
      <bottom/>
      <diagonal/>
    </border>
    <border>
      <left style="thin">
        <color theme="1"/>
      </left>
      <right style="thin">
        <color theme="1"/>
      </right>
      <top style="thin">
        <color indexed="64"/>
      </top>
      <bottom/>
      <diagonal/>
    </border>
    <border>
      <left style="thin">
        <color theme="1"/>
      </left>
      <right style="thin">
        <color theme="1"/>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theme="1"/>
      </right>
      <top style="thin">
        <color indexed="64"/>
      </top>
      <bottom style="thin">
        <color theme="1"/>
      </bottom>
      <diagonal/>
    </border>
    <border>
      <left style="thin">
        <color indexed="64"/>
      </left>
      <right style="thin">
        <color indexed="64"/>
      </right>
      <top style="thin">
        <color indexed="8"/>
      </top>
      <bottom/>
      <diagonal/>
    </border>
    <border>
      <left style="thin">
        <color auto="1"/>
      </left>
      <right style="thin">
        <color auto="1"/>
      </right>
      <top style="thin">
        <color indexed="64"/>
      </top>
      <bottom/>
      <diagonal/>
    </border>
    <border>
      <left/>
      <right style="thin">
        <color indexed="8"/>
      </right>
      <top/>
      <bottom/>
      <diagonal/>
    </border>
    <border>
      <left/>
      <right style="thin">
        <color indexed="64"/>
      </right>
      <top style="thin">
        <color indexed="8"/>
      </top>
      <bottom/>
      <diagonal/>
    </border>
    <border>
      <left style="thin">
        <color indexed="64"/>
      </left>
      <right/>
      <top style="thin">
        <color indexed="64"/>
      </top>
      <bottom/>
      <diagonal/>
    </border>
    <border>
      <left/>
      <right style="thin">
        <color indexed="8"/>
      </right>
      <top/>
      <bottom/>
      <diagonal/>
    </border>
    <border>
      <left/>
      <right style="thin">
        <color indexed="64"/>
      </right>
      <top/>
      <bottom/>
      <diagonal/>
    </border>
    <border>
      <left style="thin">
        <color indexed="8"/>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8"/>
      </left>
      <right style="thin">
        <color indexed="8"/>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thin">
        <color auto="1"/>
      </right>
      <top style="thin">
        <color indexed="64"/>
      </top>
      <bottom/>
      <diagonal/>
    </border>
    <border>
      <left/>
      <right style="thin">
        <color indexed="64"/>
      </right>
      <top/>
      <bottom style="thin">
        <color indexed="8"/>
      </bottom>
      <diagonal/>
    </border>
    <border>
      <left style="thin">
        <color indexed="64"/>
      </left>
      <right style="thin">
        <color theme="1"/>
      </right>
      <top/>
      <bottom/>
      <diagonal/>
    </border>
    <border>
      <left style="thin">
        <color indexed="64"/>
      </left>
      <right/>
      <top/>
      <bottom/>
      <diagonal/>
    </border>
    <border>
      <left style="thin">
        <color indexed="8"/>
      </left>
      <right/>
      <top/>
      <bottom/>
      <diagonal/>
    </border>
    <border>
      <left/>
      <right style="medium">
        <color indexed="64"/>
      </right>
      <top/>
      <bottom style="thin">
        <color indexed="64"/>
      </bottom>
      <diagonal/>
    </border>
    <border>
      <left style="thin">
        <color indexed="64"/>
      </left>
      <right style="thin">
        <color indexed="8"/>
      </right>
      <top/>
      <bottom/>
      <diagonal/>
    </border>
    <border>
      <left style="thin">
        <color indexed="64"/>
      </left>
      <right style="thin">
        <color auto="1"/>
      </right>
      <top/>
      <bottom/>
      <diagonal/>
    </border>
    <border>
      <left style="thin">
        <color indexed="8"/>
      </left>
      <right style="thin">
        <color indexed="64"/>
      </right>
      <top/>
      <bottom/>
      <diagonal/>
    </border>
    <border>
      <left style="thin">
        <color indexed="64"/>
      </left>
      <right/>
      <top style="thin">
        <color indexed="8"/>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auto="1"/>
      </right>
      <top/>
      <bottom/>
      <diagonal/>
    </border>
    <border>
      <left/>
      <right style="thin">
        <color indexed="64"/>
      </right>
      <top style="thin">
        <color indexed="64"/>
      </top>
      <bottom/>
      <diagonal/>
    </border>
    <border>
      <left style="thin">
        <color auto="1"/>
      </left>
      <right style="medium">
        <color indexed="64"/>
      </right>
      <top/>
      <bottom/>
      <diagonal/>
    </border>
    <border>
      <left style="medium">
        <color indexed="64"/>
      </left>
      <right style="thin">
        <color indexed="8"/>
      </right>
      <top style="thin">
        <color indexed="64"/>
      </top>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indexed="64"/>
      </left>
      <right/>
      <top/>
      <bottom style="thin">
        <color indexed="64"/>
      </bottom>
      <diagonal/>
    </border>
  </borders>
  <cellStyleXfs count="510">
    <xf numFmtId="0" fontId="0" fillId="0" borderId="0"/>
    <xf numFmtId="0" fontId="17" fillId="0" borderId="0"/>
    <xf numFmtId="0" fontId="17" fillId="0" borderId="0"/>
    <xf numFmtId="170" fontId="17" fillId="0" borderId="0" applyFont="0" applyFill="0" applyBorder="0" applyAlignment="0" applyProtection="0"/>
    <xf numFmtId="3" fontId="17" fillId="0" borderId="0" applyFont="0" applyFill="0" applyBorder="0" applyAlignment="0" applyProtection="0"/>
    <xf numFmtId="0" fontId="16" fillId="0" borderId="0"/>
    <xf numFmtId="0" fontId="17" fillId="0" borderId="0"/>
    <xf numFmtId="170" fontId="16"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3" fontId="17" fillId="0" borderId="0" applyFont="0" applyFill="0" applyBorder="0" applyAlignment="0" applyProtection="0"/>
    <xf numFmtId="174" fontId="17" fillId="0" borderId="7" applyProtection="0"/>
    <xf numFmtId="174" fontId="17" fillId="0" borderId="7" applyProtection="0"/>
    <xf numFmtId="4" fontId="18" fillId="0" borderId="7" applyProtection="0"/>
    <xf numFmtId="175" fontId="17" fillId="0" borderId="7" applyProtection="0"/>
    <xf numFmtId="175" fontId="17" fillId="0" borderId="7" applyProtection="0"/>
    <xf numFmtId="169" fontId="23"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0" fontId="24" fillId="0" borderId="0" applyProtection="0"/>
    <xf numFmtId="0" fontId="25" fillId="0" borderId="0" applyProtection="0"/>
    <xf numFmtId="0" fontId="26" fillId="0" borderId="0" applyProtection="0"/>
    <xf numFmtId="0" fontId="27" fillId="0" borderId="0" applyProtection="0"/>
    <xf numFmtId="2" fontId="24" fillId="0" borderId="0" applyProtection="0"/>
    <xf numFmtId="0" fontId="18" fillId="0" borderId="0" applyNumberFormat="0" applyFont="0" applyFill="0" applyBorder="0" applyAlignment="0" applyProtection="0">
      <protection locked="0"/>
    </xf>
    <xf numFmtId="0" fontId="20" fillId="0" borderId="0" applyProtection="0"/>
    <xf numFmtId="0" fontId="17" fillId="0" borderId="0"/>
    <xf numFmtId="0" fontId="17" fillId="0" borderId="0"/>
    <xf numFmtId="0" fontId="17" fillId="0" borderId="0"/>
    <xf numFmtId="0" fontId="17" fillId="0" borderId="0"/>
    <xf numFmtId="0" fontId="17" fillId="0" borderId="0"/>
    <xf numFmtId="0" fontId="17" fillId="0" borderId="0"/>
    <xf numFmtId="172" fontId="19" fillId="0" borderId="0"/>
    <xf numFmtId="0" fontId="17" fillId="0" borderId="0"/>
    <xf numFmtId="0" fontId="17" fillId="0" borderId="0"/>
    <xf numFmtId="0" fontId="16" fillId="0" borderId="0"/>
    <xf numFmtId="0" fontId="28" fillId="0" borderId="0"/>
    <xf numFmtId="0" fontId="29" fillId="0" borderId="0"/>
    <xf numFmtId="0" fontId="30" fillId="0" borderId="8"/>
    <xf numFmtId="9" fontId="17" fillId="0" borderId="0" applyFont="0" applyFill="0" applyBorder="0" applyAlignment="0" applyProtection="0"/>
    <xf numFmtId="9" fontId="17" fillId="0" borderId="0" applyFont="0" applyFill="0" applyBorder="0" applyAlignment="0" applyProtection="0"/>
    <xf numFmtId="172" fontId="19" fillId="0" borderId="0"/>
    <xf numFmtId="0" fontId="19" fillId="0" borderId="0"/>
    <xf numFmtId="0" fontId="15" fillId="0" borderId="0"/>
    <xf numFmtId="172" fontId="19" fillId="0" borderId="0"/>
    <xf numFmtId="170" fontId="15" fillId="0" borderId="0" applyFont="0" applyFill="0" applyBorder="0" applyAlignment="0" applyProtection="0"/>
    <xf numFmtId="170" fontId="15" fillId="0" borderId="0" applyFont="0" applyFill="0" applyBorder="0" applyAlignment="0" applyProtection="0"/>
    <xf numFmtId="0" fontId="15" fillId="0" borderId="0"/>
    <xf numFmtId="0" fontId="17" fillId="0" borderId="0"/>
    <xf numFmtId="169" fontId="15" fillId="0" borderId="0" applyFont="0" applyFill="0" applyBorder="0" applyAlignment="0" applyProtection="0"/>
    <xf numFmtId="0" fontId="14" fillId="0" borderId="0"/>
    <xf numFmtId="170" fontId="14" fillId="0" borderId="0" applyFont="0" applyFill="0" applyBorder="0" applyAlignment="0" applyProtection="0"/>
    <xf numFmtId="170" fontId="14" fillId="0" borderId="0" applyFont="0" applyFill="0" applyBorder="0" applyAlignment="0" applyProtection="0"/>
    <xf numFmtId="0" fontId="14" fillId="0" borderId="0"/>
    <xf numFmtId="169" fontId="14" fillId="0" borderId="0" applyFont="0" applyFill="0" applyBorder="0" applyAlignment="0" applyProtection="0"/>
    <xf numFmtId="0" fontId="13" fillId="0" borderId="0"/>
    <xf numFmtId="170" fontId="13" fillId="0" borderId="0" applyFont="0" applyFill="0" applyBorder="0" applyAlignment="0" applyProtection="0"/>
    <xf numFmtId="170" fontId="13" fillId="0" borderId="0" applyFont="0" applyFill="0" applyBorder="0" applyAlignment="0" applyProtection="0"/>
    <xf numFmtId="0" fontId="13" fillId="0" borderId="0"/>
    <xf numFmtId="169" fontId="13" fillId="0" borderId="0" applyFont="0" applyFill="0" applyBorder="0" applyAlignment="0" applyProtection="0"/>
    <xf numFmtId="0" fontId="12" fillId="0" borderId="0"/>
    <xf numFmtId="170" fontId="12" fillId="0" borderId="0" applyFont="0" applyFill="0" applyBorder="0" applyAlignment="0" applyProtection="0"/>
    <xf numFmtId="170" fontId="12" fillId="0" borderId="0" applyFont="0" applyFill="0" applyBorder="0" applyAlignment="0" applyProtection="0"/>
    <xf numFmtId="0" fontId="12" fillId="0" borderId="0"/>
    <xf numFmtId="169" fontId="12" fillId="0" borderId="0" applyFont="0" applyFill="0" applyBorder="0" applyAlignment="0" applyProtection="0"/>
    <xf numFmtId="9" fontId="12" fillId="0" borderId="0" applyFont="0" applyFill="0" applyBorder="0" applyAlignment="0" applyProtection="0"/>
    <xf numFmtId="0" fontId="11" fillId="0" borderId="0"/>
    <xf numFmtId="170" fontId="11" fillId="0" borderId="0" applyFont="0" applyFill="0" applyBorder="0" applyAlignment="0" applyProtection="0"/>
    <xf numFmtId="170" fontId="11" fillId="0" borderId="0" applyFont="0" applyFill="0" applyBorder="0" applyAlignment="0" applyProtection="0"/>
    <xf numFmtId="0" fontId="11" fillId="0" borderId="0"/>
    <xf numFmtId="169" fontId="11" fillId="0" borderId="0" applyFont="0" applyFill="0" applyBorder="0" applyAlignment="0" applyProtection="0"/>
    <xf numFmtId="9" fontId="11" fillId="0" borderId="0" applyFont="0" applyFill="0" applyBorder="0" applyAlignment="0" applyProtection="0"/>
    <xf numFmtId="0" fontId="37" fillId="0" borderId="0">
      <alignment wrapText="1"/>
    </xf>
    <xf numFmtId="170" fontId="23" fillId="0" borderId="0" applyFont="0" applyFill="0" applyBorder="0" applyAlignment="0" applyProtection="0"/>
    <xf numFmtId="43" fontId="17" fillId="0" borderId="0" applyFont="0" applyFill="0" applyBorder="0" applyAlignment="0" applyProtection="0"/>
    <xf numFmtId="169" fontId="23" fillId="0" borderId="0" applyFont="0" applyFill="0" applyBorder="0" applyAlignment="0" applyProtection="0"/>
    <xf numFmtId="0" fontId="38" fillId="0" borderId="0" applyNumberFormat="0" applyFill="0" applyBorder="0" applyAlignment="0" applyProtection="0"/>
    <xf numFmtId="0" fontId="20" fillId="0" borderId="0" applyNumberFormat="0" applyFill="0" applyBorder="0" applyAlignment="0" applyProtection="0"/>
    <xf numFmtId="0" fontId="17" fillId="0" borderId="0"/>
    <xf numFmtId="0" fontId="24" fillId="0" borderId="13" applyProtection="0"/>
    <xf numFmtId="170" fontId="23" fillId="0" borderId="0" applyFont="0" applyFill="0" applyBorder="0" applyAlignment="0" applyProtection="0"/>
    <xf numFmtId="0" fontId="17" fillId="0" borderId="0"/>
    <xf numFmtId="43" fontId="17" fillId="0" borderId="0" applyFont="0" applyFill="0" applyBorder="0" applyAlignment="0" applyProtection="0"/>
    <xf numFmtId="0" fontId="23" fillId="0" borderId="0">
      <alignment wrapText="1"/>
    </xf>
    <xf numFmtId="0" fontId="23" fillId="0" borderId="0">
      <alignment wrapText="1"/>
    </xf>
    <xf numFmtId="170" fontId="23" fillId="0" borderId="0" applyFont="0" applyFill="0" applyBorder="0" applyAlignment="0" applyProtection="0"/>
    <xf numFmtId="3" fontId="17" fillId="0" borderId="0" applyFont="0" applyFill="0" applyBorder="0" applyAlignment="0" applyProtection="0"/>
    <xf numFmtId="169" fontId="23" fillId="0" borderId="0" applyFont="0" applyFill="0" applyBorder="0" applyAlignment="0" applyProtection="0"/>
    <xf numFmtId="0" fontId="28" fillId="0" borderId="0"/>
    <xf numFmtId="173" fontId="25" fillId="0" borderId="0">
      <alignment horizontal="center" wrapText="1"/>
      <protection locked="0"/>
    </xf>
    <xf numFmtId="180" fontId="47" fillId="0" borderId="0"/>
    <xf numFmtId="180" fontId="47" fillId="0" borderId="0"/>
    <xf numFmtId="180" fontId="47" fillId="0" borderId="0"/>
    <xf numFmtId="180" fontId="47" fillId="0" borderId="0"/>
    <xf numFmtId="180" fontId="47" fillId="0" borderId="0"/>
    <xf numFmtId="180" fontId="47" fillId="0" borderId="0"/>
    <xf numFmtId="180" fontId="47" fillId="0" borderId="0"/>
    <xf numFmtId="180" fontId="47" fillId="0" borderId="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0" fillId="0" borderId="0" applyFont="0" applyFill="0" applyBorder="0" applyAlignment="0" applyProtection="0"/>
    <xf numFmtId="169" fontId="23" fillId="0" borderId="0" applyFont="0" applyFill="0" applyBorder="0" applyAlignment="0" applyProtection="0"/>
    <xf numFmtId="169" fontId="10" fillId="0" borderId="0" applyFont="0" applyFill="0" applyBorder="0" applyAlignment="0" applyProtection="0"/>
    <xf numFmtId="167" fontId="48" fillId="0" borderId="0">
      <alignment horizontal="right" wrapText="1"/>
      <protection locked="0"/>
    </xf>
    <xf numFmtId="181" fontId="49" fillId="0" borderId="0">
      <alignment horizontal="right" wrapText="1"/>
      <protection locked="0"/>
    </xf>
    <xf numFmtId="182" fontId="50" fillId="0" borderId="0">
      <alignment horizontal="center" wrapText="1"/>
      <protection locked="0"/>
    </xf>
    <xf numFmtId="173" fontId="17" fillId="0" borderId="0" applyFont="0" applyFill="0" applyBorder="0" applyAlignment="0" applyProtection="0"/>
    <xf numFmtId="173" fontId="51" fillId="6" borderId="0" applyFont="0" applyFill="0" applyBorder="0" applyAlignment="0" applyProtection="0"/>
    <xf numFmtId="173" fontId="33" fillId="6" borderId="0" applyFont="0" applyFill="0" applyBorder="0" applyAlignment="0" applyProtection="0"/>
    <xf numFmtId="173" fontId="52" fillId="6" borderId="0" applyFont="0" applyFill="0" applyBorder="0" applyAlignment="0" applyProtection="0"/>
    <xf numFmtId="173" fontId="24" fillId="6" borderId="0" applyFont="0" applyFill="0" applyBorder="0" applyAlignment="0" applyProtection="0"/>
    <xf numFmtId="173" fontId="51" fillId="6" borderId="0" applyFont="0" applyFill="0" applyBorder="0" applyAlignment="0" applyProtection="0"/>
    <xf numFmtId="173" fontId="33" fillId="6" borderId="0" applyFont="0" applyFill="0" applyBorder="0" applyAlignment="0" applyProtection="0"/>
    <xf numFmtId="173" fontId="52" fillId="6" borderId="0" applyFont="0" applyFill="0" applyBorder="0" applyAlignment="0" applyProtection="0"/>
    <xf numFmtId="2" fontId="17" fillId="0" borderId="0" applyFont="0" applyFill="0" applyBorder="0" applyAlignment="0" applyProtection="0"/>
    <xf numFmtId="173" fontId="20" fillId="0" borderId="14" applyNumberFormat="0" applyAlignment="0" applyProtection="0">
      <alignment horizontal="left" vertical="center"/>
    </xf>
    <xf numFmtId="173" fontId="20" fillId="0" borderId="9">
      <alignment horizontal="left" vertical="center"/>
    </xf>
    <xf numFmtId="173" fontId="38" fillId="6" borderId="0" applyFont="0" applyFill="0" applyBorder="0" applyAlignment="0" applyProtection="0"/>
    <xf numFmtId="173" fontId="20" fillId="6" borderId="0" applyFont="0" applyFill="0" applyBorder="0" applyAlignment="0" applyProtection="0"/>
    <xf numFmtId="183" fontId="48" fillId="0" borderId="0" applyAlignment="0">
      <alignment horizontal="left"/>
      <protection locked="0" hidden="1"/>
    </xf>
    <xf numFmtId="184" fontId="17" fillId="0" borderId="1"/>
    <xf numFmtId="183" fontId="53" fillId="7" borderId="0"/>
    <xf numFmtId="185" fontId="54" fillId="0" borderId="0"/>
    <xf numFmtId="0" fontId="23" fillId="0" borderId="0">
      <alignment wrapText="1"/>
    </xf>
    <xf numFmtId="0" fontId="23" fillId="0" borderId="0">
      <alignment wrapText="1"/>
    </xf>
    <xf numFmtId="0" fontId="23" fillId="0" borderId="0">
      <alignment wrapText="1"/>
    </xf>
    <xf numFmtId="173" fontId="55" fillId="0" borderId="0"/>
    <xf numFmtId="173" fontId="24" fillId="0" borderId="0">
      <alignment vertical="top"/>
    </xf>
    <xf numFmtId="173" fontId="17" fillId="0" borderId="0"/>
    <xf numFmtId="0" fontId="10" fillId="0" borderId="0"/>
    <xf numFmtId="173" fontId="17" fillId="0" borderId="0"/>
    <xf numFmtId="173" fontId="17" fillId="0" borderId="0"/>
    <xf numFmtId="0" fontId="10" fillId="0" borderId="0"/>
    <xf numFmtId="173" fontId="10" fillId="0" borderId="0"/>
    <xf numFmtId="173" fontId="10" fillId="0" borderId="0"/>
    <xf numFmtId="173" fontId="10" fillId="0" borderId="0"/>
    <xf numFmtId="0" fontId="10" fillId="0" borderId="0"/>
    <xf numFmtId="0" fontId="23" fillId="0" borderId="0">
      <alignment wrapText="1"/>
    </xf>
    <xf numFmtId="0" fontId="23" fillId="0" borderId="0">
      <alignment wrapText="1"/>
    </xf>
    <xf numFmtId="2" fontId="56" fillId="0" borderId="0"/>
    <xf numFmtId="49" fontId="56" fillId="0" borderId="15">
      <alignment horizontal="left"/>
    </xf>
    <xf numFmtId="1" fontId="48" fillId="0" borderId="0">
      <alignment horizontal="center" wrapText="1"/>
      <protection locked="0"/>
    </xf>
    <xf numFmtId="186" fontId="48" fillId="0" borderId="0" applyAlignment="0">
      <protection locked="0"/>
    </xf>
    <xf numFmtId="0" fontId="28" fillId="0" borderId="0"/>
    <xf numFmtId="49" fontId="49" fillId="0" borderId="0" applyProtection="0">
      <alignment vertical="top"/>
      <protection locked="0" hidden="1"/>
    </xf>
    <xf numFmtId="14" fontId="25" fillId="0" borderId="0">
      <alignment horizontal="center" wrapText="1"/>
      <protection locked="0"/>
    </xf>
    <xf numFmtId="10" fontId="48" fillId="0" borderId="0">
      <alignment horizontal="center" wrapText="1"/>
      <protection locked="0"/>
    </xf>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1" fontId="57" fillId="0" borderId="0">
      <alignment horizontal="center" vertical="top" wrapText="1"/>
      <protection locked="0"/>
    </xf>
    <xf numFmtId="167" fontId="58" fillId="8" borderId="15" applyProtection="0">
      <alignment horizontal="right" vertical="center" wrapText="1"/>
      <protection locked="0"/>
    </xf>
    <xf numFmtId="4" fontId="53" fillId="0" borderId="12"/>
    <xf numFmtId="49" fontId="59" fillId="9" borderId="0" applyNumberFormat="0" applyFont="0" applyFill="0" applyAlignment="0" applyProtection="0">
      <alignment horizontal="center"/>
      <protection locked="0"/>
    </xf>
    <xf numFmtId="49" fontId="48" fillId="0" borderId="0">
      <alignment wrapText="1"/>
      <protection locked="0"/>
    </xf>
    <xf numFmtId="49" fontId="50" fillId="0" borderId="0">
      <alignment horizontal="left"/>
      <protection locked="0"/>
    </xf>
    <xf numFmtId="49" fontId="58" fillId="9" borderId="15" applyNumberFormat="0" applyFill="0" applyProtection="0">
      <alignment horizontal="center" vertical="center"/>
      <protection locked="0"/>
    </xf>
    <xf numFmtId="49" fontId="59" fillId="9" borderId="16" applyProtection="0">
      <alignment horizontal="center" wrapText="1"/>
      <protection locked="0"/>
    </xf>
    <xf numFmtId="49" fontId="60" fillId="0" borderId="0">
      <alignment wrapText="1"/>
      <protection locked="0"/>
    </xf>
    <xf numFmtId="49" fontId="49" fillId="0" borderId="0">
      <alignment horizontal="left" wrapText="1"/>
      <protection locked="0"/>
    </xf>
    <xf numFmtId="173" fontId="61" fillId="0" borderId="0">
      <alignment vertical="top"/>
    </xf>
    <xf numFmtId="181" fontId="58" fillId="8" borderId="15" applyProtection="0">
      <alignment horizontal="center" vertical="center"/>
      <protection locked="0"/>
    </xf>
    <xf numFmtId="0" fontId="37" fillId="0" borderId="0">
      <alignment wrapText="1"/>
    </xf>
    <xf numFmtId="170" fontId="23" fillId="0" borderId="0" applyFont="0" applyFill="0" applyBorder="0" applyAlignment="0" applyProtection="0"/>
    <xf numFmtId="0" fontId="37" fillId="0" borderId="0">
      <alignment wrapText="1"/>
    </xf>
    <xf numFmtId="170" fontId="23" fillId="0" borderId="0" applyFont="0" applyFill="0" applyBorder="0" applyAlignment="0" applyProtection="0"/>
    <xf numFmtId="0" fontId="37" fillId="0" borderId="0">
      <alignment wrapText="1"/>
    </xf>
    <xf numFmtId="170" fontId="23" fillId="0" borderId="0" applyFont="0" applyFill="0" applyBorder="0" applyAlignment="0" applyProtection="0"/>
    <xf numFmtId="170" fontId="23" fillId="0" borderId="0" applyFont="0" applyFill="0" applyBorder="0" applyAlignment="0" applyProtection="0"/>
    <xf numFmtId="0" fontId="37" fillId="0" borderId="0">
      <alignment wrapText="1"/>
    </xf>
    <xf numFmtId="170" fontId="23" fillId="0" borderId="0" applyFont="0" applyFill="0" applyBorder="0" applyAlignment="0" applyProtection="0"/>
    <xf numFmtId="0" fontId="37" fillId="0" borderId="0">
      <alignment wrapText="1"/>
    </xf>
    <xf numFmtId="170" fontId="23" fillId="0" borderId="0" applyFont="0" applyFill="0" applyBorder="0" applyAlignment="0" applyProtection="0"/>
    <xf numFmtId="0" fontId="37" fillId="0" borderId="0">
      <alignment wrapText="1"/>
    </xf>
    <xf numFmtId="170" fontId="23" fillId="0" borderId="0" applyFont="0" applyFill="0" applyBorder="0" applyAlignment="0" applyProtection="0"/>
    <xf numFmtId="0" fontId="37" fillId="0" borderId="0">
      <alignment wrapText="1"/>
    </xf>
    <xf numFmtId="170" fontId="23" fillId="0" borderId="0" applyFont="0" applyFill="0" applyBorder="0" applyAlignment="0" applyProtection="0"/>
    <xf numFmtId="0" fontId="37" fillId="0" borderId="0">
      <alignment wrapText="1"/>
    </xf>
    <xf numFmtId="170" fontId="23" fillId="0" borderId="0" applyFont="0" applyFill="0" applyBorder="0" applyAlignment="0" applyProtection="0"/>
    <xf numFmtId="0" fontId="37" fillId="0" borderId="0">
      <alignment wrapText="1"/>
    </xf>
    <xf numFmtId="170" fontId="23" fillId="0" borderId="0" applyFont="0" applyFill="0" applyBorder="0" applyAlignment="0" applyProtection="0"/>
    <xf numFmtId="0" fontId="37" fillId="0" borderId="0">
      <alignment wrapText="1"/>
    </xf>
    <xf numFmtId="170" fontId="23" fillId="0" borderId="0" applyFont="0" applyFill="0" applyBorder="0" applyAlignment="0" applyProtection="0"/>
    <xf numFmtId="0" fontId="37" fillId="0" borderId="0">
      <alignment wrapText="1"/>
    </xf>
    <xf numFmtId="170" fontId="63" fillId="0" borderId="0" applyFont="0" applyFill="0" applyBorder="0" applyAlignment="0" applyProtection="0"/>
    <xf numFmtId="44" fontId="64" fillId="0" borderId="0" applyFont="0" applyFill="0" applyBorder="0" applyAlignment="0" applyProtection="0"/>
    <xf numFmtId="9" fontId="64" fillId="0" borderId="0" applyFont="0" applyFill="0" applyBorder="0" applyAlignment="0" applyProtection="0"/>
    <xf numFmtId="0" fontId="9"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9" fontId="9" fillId="0" borderId="0" applyFont="0" applyFill="0" applyBorder="0" applyAlignment="0" applyProtection="0"/>
    <xf numFmtId="0" fontId="65" fillId="0" borderId="0"/>
    <xf numFmtId="169" fontId="9"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0" fontId="17" fillId="0" borderId="0"/>
    <xf numFmtId="0" fontId="8" fillId="0" borderId="0"/>
    <xf numFmtId="170" fontId="8" fillId="0" borderId="0" applyFont="0" applyFill="0" applyBorder="0" applyAlignment="0" applyProtection="0"/>
    <xf numFmtId="164" fontId="8" fillId="0" borderId="0" applyFont="0" applyFill="0" applyBorder="0" applyAlignment="0" applyProtection="0"/>
    <xf numFmtId="0" fontId="17" fillId="0" borderId="0"/>
    <xf numFmtId="0" fontId="8" fillId="0" borderId="0"/>
    <xf numFmtId="0" fontId="8" fillId="0" borderId="0"/>
    <xf numFmtId="170" fontId="8" fillId="0" borderId="0" applyFont="0" applyFill="0" applyBorder="0" applyAlignment="0" applyProtection="0"/>
    <xf numFmtId="170" fontId="8" fillId="0" borderId="0" applyFont="0" applyFill="0" applyBorder="0" applyAlignment="0" applyProtection="0"/>
    <xf numFmtId="0" fontId="8" fillId="0" borderId="0"/>
    <xf numFmtId="169" fontId="8" fillId="0" borderId="0" applyFont="0" applyFill="0" applyBorder="0" applyAlignment="0" applyProtection="0"/>
    <xf numFmtId="0" fontId="8" fillId="0" borderId="0"/>
    <xf numFmtId="170" fontId="8" fillId="0" borderId="0" applyFont="0" applyFill="0" applyBorder="0" applyAlignment="0" applyProtection="0"/>
    <xf numFmtId="170" fontId="8" fillId="0" borderId="0" applyFont="0" applyFill="0" applyBorder="0" applyAlignment="0" applyProtection="0"/>
    <xf numFmtId="0" fontId="8" fillId="0" borderId="0"/>
    <xf numFmtId="169" fontId="8" fillId="0" borderId="0" applyFont="0" applyFill="0" applyBorder="0" applyAlignment="0" applyProtection="0"/>
    <xf numFmtId="0" fontId="8" fillId="0" borderId="0"/>
    <xf numFmtId="170" fontId="8" fillId="0" borderId="0" applyFont="0" applyFill="0" applyBorder="0" applyAlignment="0" applyProtection="0"/>
    <xf numFmtId="170" fontId="8" fillId="0" borderId="0" applyFont="0" applyFill="0" applyBorder="0" applyAlignment="0" applyProtection="0"/>
    <xf numFmtId="0" fontId="8" fillId="0" borderId="0"/>
    <xf numFmtId="169" fontId="8" fillId="0" borderId="0" applyFont="0" applyFill="0" applyBorder="0" applyAlignment="0" applyProtection="0"/>
    <xf numFmtId="0" fontId="8" fillId="0" borderId="0"/>
    <xf numFmtId="170" fontId="8" fillId="0" borderId="0" applyFont="0" applyFill="0" applyBorder="0" applyAlignment="0" applyProtection="0"/>
    <xf numFmtId="170" fontId="8" fillId="0" borderId="0" applyFont="0" applyFill="0" applyBorder="0" applyAlignment="0" applyProtection="0"/>
    <xf numFmtId="0" fontId="8" fillId="0" borderId="0"/>
    <xf numFmtId="169" fontId="8" fillId="0" borderId="0" applyFont="0" applyFill="0" applyBorder="0" applyAlignment="0" applyProtection="0"/>
    <xf numFmtId="9" fontId="8" fillId="0" borderId="0" applyFont="0" applyFill="0" applyBorder="0" applyAlignment="0" applyProtection="0"/>
    <xf numFmtId="0" fontId="8" fillId="0" borderId="0"/>
    <xf numFmtId="170" fontId="8" fillId="0" borderId="0" applyFont="0" applyFill="0" applyBorder="0" applyAlignment="0" applyProtection="0"/>
    <xf numFmtId="170" fontId="8" fillId="0" borderId="0" applyFont="0" applyFill="0" applyBorder="0" applyAlignment="0" applyProtection="0"/>
    <xf numFmtId="0" fontId="8" fillId="0" borderId="0"/>
    <xf numFmtId="169" fontId="8" fillId="0" borderId="0" applyFont="0" applyFill="0" applyBorder="0" applyAlignment="0" applyProtection="0"/>
    <xf numFmtId="9"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184" fontId="17" fillId="0" borderId="48"/>
    <xf numFmtId="0" fontId="8" fillId="0" borderId="0"/>
    <xf numFmtId="0" fontId="8" fillId="0" borderId="0"/>
    <xf numFmtId="173" fontId="8" fillId="0" borderId="0"/>
    <xf numFmtId="173" fontId="8" fillId="0" borderId="0"/>
    <xf numFmtId="173" fontId="8" fillId="0" borderId="0"/>
    <xf numFmtId="0" fontId="8" fillId="0" borderId="0"/>
    <xf numFmtId="9" fontId="8" fillId="0" borderId="0" applyFont="0" applyFill="0" applyBorder="0" applyAlignment="0" applyProtection="0"/>
    <xf numFmtId="4" fontId="53" fillId="0" borderId="47"/>
    <xf numFmtId="0" fontId="17" fillId="0" borderId="0"/>
    <xf numFmtId="0" fontId="23" fillId="0" borderId="0">
      <alignment wrapText="1"/>
    </xf>
    <xf numFmtId="0" fontId="23" fillId="0" borderId="0">
      <alignment wrapText="1"/>
    </xf>
    <xf numFmtId="170" fontId="17" fillId="0" borderId="0" applyFont="0" applyFill="0" applyBorder="0" applyAlignment="0" applyProtection="0"/>
    <xf numFmtId="170" fontId="17" fillId="0" borderId="0" applyFont="0" applyFill="0" applyBorder="0" applyAlignment="0" applyProtection="0"/>
    <xf numFmtId="44" fontId="17" fillId="0" borderId="0" applyFont="0" applyFill="0" applyBorder="0" applyAlignment="0" applyProtection="0"/>
    <xf numFmtId="0" fontId="8" fillId="0" borderId="0"/>
    <xf numFmtId="0" fontId="17" fillId="0" borderId="0"/>
    <xf numFmtId="9" fontId="8" fillId="0" borderId="0" applyFont="0" applyFill="0" applyBorder="0" applyAlignment="0" applyProtection="0"/>
    <xf numFmtId="169" fontId="8" fillId="0" borderId="0" applyFont="0" applyFill="0" applyBorder="0" applyAlignment="0" applyProtection="0"/>
    <xf numFmtId="170" fontId="17" fillId="0" borderId="0" applyFont="0" applyFill="0" applyBorder="0" applyAlignment="0" applyProtection="0"/>
    <xf numFmtId="0" fontId="17" fillId="0" borderId="0"/>
    <xf numFmtId="0" fontId="17" fillId="0" borderId="0"/>
    <xf numFmtId="170" fontId="17" fillId="0" borderId="0" applyFont="0" applyFill="0" applyBorder="0" applyAlignment="0" applyProtection="0"/>
    <xf numFmtId="170" fontId="17" fillId="0" borderId="0" applyFont="0" applyFill="0" applyBorder="0" applyAlignment="0" applyProtection="0"/>
    <xf numFmtId="0" fontId="7" fillId="0" borderId="0"/>
    <xf numFmtId="44" fontId="7" fillId="0" borderId="0" applyFont="0" applyFill="0" applyBorder="0" applyAlignment="0" applyProtection="0"/>
    <xf numFmtId="0" fontId="17" fillId="0" borderId="0"/>
    <xf numFmtId="170" fontId="7" fillId="0" borderId="0" applyFont="0" applyFill="0" applyBorder="0" applyAlignment="0" applyProtection="0"/>
    <xf numFmtId="0" fontId="6" fillId="0" borderId="0"/>
    <xf numFmtId="170" fontId="6"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6" fillId="0" borderId="0"/>
    <xf numFmtId="0" fontId="6" fillId="0" borderId="0"/>
    <xf numFmtId="170" fontId="6" fillId="0" borderId="0" applyFont="0" applyFill="0" applyBorder="0" applyAlignment="0" applyProtection="0"/>
    <xf numFmtId="170" fontId="6" fillId="0" borderId="0" applyFont="0" applyFill="0" applyBorder="0" applyAlignment="0" applyProtection="0"/>
    <xf numFmtId="0" fontId="6" fillId="0" borderId="0"/>
    <xf numFmtId="169" fontId="6" fillId="0" borderId="0" applyFont="0" applyFill="0" applyBorder="0" applyAlignment="0" applyProtection="0"/>
    <xf numFmtId="0" fontId="6" fillId="0" borderId="0"/>
    <xf numFmtId="170" fontId="6" fillId="0" borderId="0" applyFont="0" applyFill="0" applyBorder="0" applyAlignment="0" applyProtection="0"/>
    <xf numFmtId="170" fontId="6" fillId="0" borderId="0" applyFont="0" applyFill="0" applyBorder="0" applyAlignment="0" applyProtection="0"/>
    <xf numFmtId="0" fontId="6" fillId="0" borderId="0"/>
    <xf numFmtId="169" fontId="6" fillId="0" borderId="0" applyFont="0" applyFill="0" applyBorder="0" applyAlignment="0" applyProtection="0"/>
    <xf numFmtId="0" fontId="6" fillId="0" borderId="0"/>
    <xf numFmtId="170" fontId="6" fillId="0" borderId="0" applyFont="0" applyFill="0" applyBorder="0" applyAlignment="0" applyProtection="0"/>
    <xf numFmtId="170" fontId="6" fillId="0" borderId="0" applyFont="0" applyFill="0" applyBorder="0" applyAlignment="0" applyProtection="0"/>
    <xf numFmtId="0" fontId="6" fillId="0" borderId="0"/>
    <xf numFmtId="169" fontId="6" fillId="0" borderId="0" applyFont="0" applyFill="0" applyBorder="0" applyAlignment="0" applyProtection="0"/>
    <xf numFmtId="0" fontId="6" fillId="0" borderId="0"/>
    <xf numFmtId="170" fontId="6" fillId="0" borderId="0" applyFont="0" applyFill="0" applyBorder="0" applyAlignment="0" applyProtection="0"/>
    <xf numFmtId="170" fontId="6" fillId="0" borderId="0" applyFont="0" applyFill="0" applyBorder="0" applyAlignment="0" applyProtection="0"/>
    <xf numFmtId="0" fontId="6" fillId="0" borderId="0"/>
    <xf numFmtId="169" fontId="6" fillId="0" borderId="0" applyFont="0" applyFill="0" applyBorder="0" applyAlignment="0" applyProtection="0"/>
    <xf numFmtId="9" fontId="6" fillId="0" borderId="0" applyFont="0" applyFill="0" applyBorder="0" applyAlignment="0" applyProtection="0"/>
    <xf numFmtId="0" fontId="6" fillId="0" borderId="0"/>
    <xf numFmtId="170" fontId="6" fillId="0" borderId="0" applyFont="0" applyFill="0" applyBorder="0" applyAlignment="0" applyProtection="0"/>
    <xf numFmtId="170" fontId="6" fillId="0" borderId="0" applyFont="0" applyFill="0" applyBorder="0" applyAlignment="0" applyProtection="0"/>
    <xf numFmtId="0" fontId="6" fillId="0" borderId="0"/>
    <xf numFmtId="169" fontId="6" fillId="0" borderId="0" applyFont="0" applyFill="0" applyBorder="0" applyAlignment="0" applyProtection="0"/>
    <xf numFmtId="9" fontId="6" fillId="0" borderId="0" applyFont="0" applyFill="0" applyBorder="0" applyAlignment="0" applyProtection="0"/>
    <xf numFmtId="43" fontId="17" fillId="0" borderId="0" applyFont="0" applyFill="0" applyBorder="0" applyAlignment="0" applyProtection="0"/>
    <xf numFmtId="170" fontId="6" fillId="0" borderId="0" applyFont="0" applyFill="0" applyBorder="0" applyAlignment="0" applyProtection="0"/>
    <xf numFmtId="169" fontId="6" fillId="0" borderId="0" applyFont="0" applyFill="0" applyBorder="0" applyAlignment="0" applyProtection="0"/>
    <xf numFmtId="0" fontId="6" fillId="0" borderId="0"/>
    <xf numFmtId="0" fontId="6" fillId="0" borderId="0"/>
    <xf numFmtId="173" fontId="6" fillId="0" borderId="0"/>
    <xf numFmtId="173" fontId="6" fillId="0" borderId="0"/>
    <xf numFmtId="173" fontId="6" fillId="0" borderId="0"/>
    <xf numFmtId="0" fontId="6" fillId="0" borderId="0"/>
    <xf numFmtId="9" fontId="6" fillId="0" borderId="0" applyFont="0" applyFill="0" applyBorder="0" applyAlignment="0" applyProtection="0"/>
    <xf numFmtId="4" fontId="53" fillId="0" borderId="52"/>
    <xf numFmtId="0" fontId="6" fillId="0" borderId="0"/>
    <xf numFmtId="170" fontId="6" fillId="0" borderId="0" applyFont="0" applyFill="0" applyBorder="0" applyAlignment="0" applyProtection="0"/>
    <xf numFmtId="0" fontId="17" fillId="0" borderId="0"/>
    <xf numFmtId="0" fontId="99" fillId="0" borderId="0">
      <alignment wrapText="1"/>
    </xf>
    <xf numFmtId="0" fontId="17" fillId="0" borderId="0"/>
    <xf numFmtId="0" fontId="17" fillId="0" borderId="0"/>
    <xf numFmtId="0" fontId="6" fillId="0" borderId="0"/>
    <xf numFmtId="0" fontId="99" fillId="0" borderId="0">
      <alignment wrapText="1"/>
    </xf>
    <xf numFmtId="170" fontId="6" fillId="0" borderId="0" applyFont="0" applyFill="0" applyBorder="0" applyAlignment="0" applyProtection="0"/>
    <xf numFmtId="0" fontId="99" fillId="0" borderId="0">
      <alignment wrapText="1"/>
    </xf>
    <xf numFmtId="0" fontId="99" fillId="0" borderId="0">
      <alignment wrapText="1"/>
    </xf>
    <xf numFmtId="0" fontId="99" fillId="0" borderId="0">
      <alignment wrapText="1"/>
    </xf>
    <xf numFmtId="0" fontId="99" fillId="0" borderId="0">
      <alignment wrapText="1"/>
    </xf>
    <xf numFmtId="0" fontId="99" fillId="0" borderId="0">
      <alignment wrapText="1"/>
    </xf>
    <xf numFmtId="0" fontId="99" fillId="0" borderId="0">
      <alignment wrapText="1"/>
    </xf>
    <xf numFmtId="0" fontId="99" fillId="0" borderId="0">
      <alignment wrapText="1"/>
    </xf>
    <xf numFmtId="0" fontId="99" fillId="0" borderId="0">
      <alignment wrapText="1"/>
    </xf>
    <xf numFmtId="0" fontId="17" fillId="0" borderId="0"/>
    <xf numFmtId="49" fontId="59" fillId="9" borderId="55" applyProtection="0">
      <alignment horizontal="center" wrapText="1"/>
      <protection locked="0"/>
    </xf>
    <xf numFmtId="170" fontId="17" fillId="0" borderId="0" applyFont="0" applyFill="0" applyBorder="0" applyAlignment="0" applyProtection="0"/>
    <xf numFmtId="44" fontId="17" fillId="0" borderId="0" applyFont="0" applyFill="0" applyBorder="0" applyAlignment="0" applyProtection="0"/>
    <xf numFmtId="9" fontId="6" fillId="0" borderId="0" applyFont="0" applyFill="0" applyBorder="0" applyAlignment="0" applyProtection="0"/>
    <xf numFmtId="169" fontId="6" fillId="0" borderId="0" applyFont="0" applyFill="0" applyBorder="0" applyAlignment="0" applyProtection="0"/>
    <xf numFmtId="0" fontId="6" fillId="0" borderId="0"/>
    <xf numFmtId="170"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170" fontId="6" fillId="0" borderId="0" applyFont="0" applyFill="0" applyBorder="0" applyAlignment="0" applyProtection="0"/>
    <xf numFmtId="170" fontId="6" fillId="0" borderId="0" applyFont="0" applyFill="0" applyBorder="0" applyAlignment="0" applyProtection="0"/>
    <xf numFmtId="0" fontId="6" fillId="0" borderId="0"/>
    <xf numFmtId="169" fontId="6" fillId="0" borderId="0" applyFont="0" applyFill="0" applyBorder="0" applyAlignment="0" applyProtection="0"/>
    <xf numFmtId="0" fontId="6" fillId="0" borderId="0"/>
    <xf numFmtId="170" fontId="6" fillId="0" borderId="0" applyFont="0" applyFill="0" applyBorder="0" applyAlignment="0" applyProtection="0"/>
    <xf numFmtId="170" fontId="6" fillId="0" borderId="0" applyFont="0" applyFill="0" applyBorder="0" applyAlignment="0" applyProtection="0"/>
    <xf numFmtId="0" fontId="6" fillId="0" borderId="0"/>
    <xf numFmtId="169" fontId="6" fillId="0" borderId="0" applyFont="0" applyFill="0" applyBorder="0" applyAlignment="0" applyProtection="0"/>
    <xf numFmtId="0" fontId="6" fillId="0" borderId="0"/>
    <xf numFmtId="170" fontId="6" fillId="0" borderId="0" applyFont="0" applyFill="0" applyBorder="0" applyAlignment="0" applyProtection="0"/>
    <xf numFmtId="170" fontId="6" fillId="0" borderId="0" applyFont="0" applyFill="0" applyBorder="0" applyAlignment="0" applyProtection="0"/>
    <xf numFmtId="0" fontId="6" fillId="0" borderId="0"/>
    <xf numFmtId="169" fontId="6" fillId="0" borderId="0" applyFont="0" applyFill="0" applyBorder="0" applyAlignment="0" applyProtection="0"/>
    <xf numFmtId="0" fontId="6" fillId="0" borderId="0"/>
    <xf numFmtId="170" fontId="6" fillId="0" borderId="0" applyFont="0" applyFill="0" applyBorder="0" applyAlignment="0" applyProtection="0"/>
    <xf numFmtId="170" fontId="6" fillId="0" borderId="0" applyFont="0" applyFill="0" applyBorder="0" applyAlignment="0" applyProtection="0"/>
    <xf numFmtId="0" fontId="6" fillId="0" borderId="0"/>
    <xf numFmtId="169" fontId="6" fillId="0" borderId="0" applyFont="0" applyFill="0" applyBorder="0" applyAlignment="0" applyProtection="0"/>
    <xf numFmtId="9" fontId="6" fillId="0" borderId="0" applyFont="0" applyFill="0" applyBorder="0" applyAlignment="0" applyProtection="0"/>
    <xf numFmtId="0" fontId="6" fillId="0" borderId="0"/>
    <xf numFmtId="170" fontId="6" fillId="0" borderId="0" applyFont="0" applyFill="0" applyBorder="0" applyAlignment="0" applyProtection="0"/>
    <xf numFmtId="170" fontId="6" fillId="0" borderId="0" applyFont="0" applyFill="0" applyBorder="0" applyAlignment="0" applyProtection="0"/>
    <xf numFmtId="0" fontId="6" fillId="0" borderId="0"/>
    <xf numFmtId="169" fontId="6" fillId="0" borderId="0" applyFont="0" applyFill="0" applyBorder="0" applyAlignment="0" applyProtection="0"/>
    <xf numFmtId="9" fontId="6" fillId="0" borderId="0" applyFont="0" applyFill="0" applyBorder="0" applyAlignment="0" applyProtection="0"/>
    <xf numFmtId="170" fontId="6" fillId="0" borderId="0" applyFont="0" applyFill="0" applyBorder="0" applyAlignment="0" applyProtection="0"/>
    <xf numFmtId="169" fontId="6" fillId="0" borderId="0" applyFont="0" applyFill="0" applyBorder="0" applyAlignment="0" applyProtection="0"/>
    <xf numFmtId="0" fontId="6" fillId="0" borderId="0"/>
    <xf numFmtId="0" fontId="6" fillId="0" borderId="0"/>
    <xf numFmtId="173" fontId="6" fillId="0" borderId="0"/>
    <xf numFmtId="173" fontId="6" fillId="0" borderId="0"/>
    <xf numFmtId="173" fontId="6" fillId="0" borderId="0"/>
    <xf numFmtId="0" fontId="6" fillId="0" borderId="0"/>
    <xf numFmtId="9" fontId="6" fillId="0" borderId="0" applyFont="0" applyFill="0" applyBorder="0" applyAlignment="0" applyProtection="0"/>
    <xf numFmtId="4" fontId="53" fillId="0" borderId="52"/>
    <xf numFmtId="44" fontId="17" fillId="0" borderId="0" applyFont="0" applyFill="0" applyBorder="0" applyAlignment="0" applyProtection="0"/>
    <xf numFmtId="0" fontId="6" fillId="0" borderId="0"/>
    <xf numFmtId="9" fontId="6" fillId="0" borderId="0" applyFont="0" applyFill="0" applyBorder="0" applyAlignment="0" applyProtection="0"/>
    <xf numFmtId="169" fontId="6" fillId="0" borderId="0" applyFont="0" applyFill="0" applyBorder="0" applyAlignment="0" applyProtection="0"/>
    <xf numFmtId="173" fontId="6" fillId="0" borderId="0"/>
    <xf numFmtId="0" fontId="6" fillId="0" borderId="0"/>
    <xf numFmtId="0" fontId="17" fillId="0" borderId="0"/>
    <xf numFmtId="0" fontId="99" fillId="0" borderId="0">
      <alignment wrapText="1"/>
    </xf>
    <xf numFmtId="0" fontId="99" fillId="0" borderId="0">
      <alignment wrapText="1"/>
    </xf>
    <xf numFmtId="0" fontId="99" fillId="0" borderId="0">
      <alignment wrapText="1"/>
    </xf>
    <xf numFmtId="0" fontId="99" fillId="0" borderId="0">
      <alignment wrapText="1"/>
    </xf>
    <xf numFmtId="0" fontId="5" fillId="0" borderId="0"/>
    <xf numFmtId="0" fontId="4" fillId="0" borderId="0"/>
    <xf numFmtId="170"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169" fontId="4" fillId="0" borderId="0" applyFont="0" applyFill="0" applyBorder="0" applyAlignment="0" applyProtection="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169" fontId="4" fillId="0" borderId="0" applyFont="0" applyFill="0" applyBorder="0" applyAlignment="0" applyProtection="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169" fontId="4" fillId="0" borderId="0" applyFont="0" applyFill="0" applyBorder="0" applyAlignment="0" applyProtection="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169" fontId="4" fillId="0" borderId="0" applyFont="0" applyFill="0" applyBorder="0" applyAlignment="0" applyProtection="0"/>
    <xf numFmtId="9" fontId="4" fillId="0" borderId="0" applyFont="0" applyFill="0" applyBorder="0" applyAlignment="0" applyProtection="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169" fontId="4" fillId="0" borderId="0" applyFont="0" applyFill="0" applyBorder="0" applyAlignment="0" applyProtection="0"/>
    <xf numFmtId="9" fontId="4"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73" fontId="20" fillId="0" borderId="64">
      <alignment horizontal="left" vertical="center"/>
    </xf>
    <xf numFmtId="184" fontId="17" fillId="0" borderId="62"/>
    <xf numFmtId="0" fontId="4" fillId="0" borderId="0"/>
    <xf numFmtId="0" fontId="4" fillId="0" borderId="0"/>
    <xf numFmtId="173" fontId="4" fillId="0" borderId="0"/>
    <xf numFmtId="173" fontId="4" fillId="0" borderId="0"/>
    <xf numFmtId="173" fontId="4" fillId="0" borderId="0"/>
    <xf numFmtId="0" fontId="4" fillId="0" borderId="0"/>
    <xf numFmtId="49" fontId="56" fillId="0" borderId="65">
      <alignment horizontal="left"/>
    </xf>
    <xf numFmtId="9" fontId="4" fillId="0" borderId="0" applyFont="0" applyFill="0" applyBorder="0" applyAlignment="0" applyProtection="0"/>
    <xf numFmtId="167" fontId="58" fillId="8" borderId="65" applyProtection="0">
      <alignment horizontal="right" vertical="center" wrapText="1"/>
      <protection locked="0"/>
    </xf>
    <xf numFmtId="4" fontId="53" fillId="0" borderId="63"/>
    <xf numFmtId="49" fontId="58" fillId="9" borderId="65" applyNumberFormat="0" applyFill="0" applyProtection="0">
      <alignment horizontal="center" vertical="center"/>
      <protection locked="0"/>
    </xf>
    <xf numFmtId="49" fontId="59" fillId="9" borderId="66" applyProtection="0">
      <alignment horizontal="center" wrapText="1"/>
      <protection locked="0"/>
    </xf>
    <xf numFmtId="181" fontId="58" fillId="8" borderId="65" applyProtection="0">
      <alignment horizontal="center" vertical="center"/>
      <protection locked="0"/>
    </xf>
    <xf numFmtId="44" fontId="17" fillId="0" borderId="0" applyFont="0" applyFill="0" applyBorder="0" applyAlignment="0" applyProtection="0"/>
    <xf numFmtId="9" fontId="17" fillId="0" borderId="0" applyFont="0" applyFill="0" applyBorder="0" applyAlignment="0" applyProtection="0"/>
    <xf numFmtId="0" fontId="4" fillId="0" borderId="0"/>
    <xf numFmtId="9" fontId="4" fillId="0" borderId="0" applyFont="0" applyFill="0" applyBorder="0" applyAlignment="0" applyProtection="0"/>
    <xf numFmtId="169" fontId="4" fillId="0" borderId="0" applyFont="0" applyFill="0" applyBorder="0" applyAlignment="0" applyProtection="0"/>
    <xf numFmtId="9" fontId="4" fillId="0" borderId="0" applyFont="0" applyFill="0" applyBorder="0" applyAlignment="0" applyProtection="0"/>
    <xf numFmtId="0" fontId="24" fillId="0" borderId="0"/>
    <xf numFmtId="3" fontId="17" fillId="6" borderId="0"/>
    <xf numFmtId="0" fontId="111" fillId="0" borderId="0"/>
    <xf numFmtId="0" fontId="24" fillId="0" borderId="0"/>
    <xf numFmtId="0" fontId="24" fillId="0" borderId="0"/>
    <xf numFmtId="0" fontId="24"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4" fontId="4" fillId="0" borderId="0" applyFont="0" applyFill="0" applyBorder="0" applyAlignment="0" applyProtection="0"/>
    <xf numFmtId="3" fontId="17" fillId="0" borderId="0" applyFont="0" applyFill="0" applyBorder="0" applyAlignment="0" applyProtection="0"/>
    <xf numFmtId="164" fontId="17" fillId="0" borderId="0" applyFont="0" applyFill="0" applyBorder="0" applyAlignment="0" applyProtection="0"/>
    <xf numFmtId="0" fontId="111" fillId="0" borderId="0"/>
    <xf numFmtId="0" fontId="111" fillId="0" borderId="0"/>
    <xf numFmtId="0" fontId="111" fillId="0" borderId="0"/>
    <xf numFmtId="0" fontId="111" fillId="0" borderId="0"/>
    <xf numFmtId="0" fontId="111"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0" fontId="17" fillId="0" borderId="0"/>
    <xf numFmtId="170" fontId="17" fillId="0" borderId="0" applyFont="0" applyFill="0" applyBorder="0" applyAlignment="0" applyProtection="0"/>
    <xf numFmtId="170" fontId="17"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17" fillId="0" borderId="0"/>
    <xf numFmtId="4" fontId="53" fillId="0" borderId="63"/>
    <xf numFmtId="170" fontId="17" fillId="0" borderId="0" applyFont="0" applyFill="0" applyBorder="0" applyAlignment="0" applyProtection="0"/>
    <xf numFmtId="0" fontId="113" fillId="0" borderId="0"/>
    <xf numFmtId="9" fontId="71"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2" fillId="0" borderId="0"/>
    <xf numFmtId="0" fontId="1" fillId="0" borderId="0"/>
    <xf numFmtId="9" fontId="1" fillId="0" borderId="0" applyFont="0" applyFill="0" applyBorder="0" applyAlignment="0" applyProtection="0"/>
  </cellStyleXfs>
  <cellXfs count="3079">
    <xf numFmtId="0" fontId="0" fillId="0" borderId="0" xfId="0"/>
    <xf numFmtId="0" fontId="17" fillId="0" borderId="0" xfId="2" applyAlignment="1">
      <alignment vertical="top"/>
    </xf>
    <xf numFmtId="0" fontId="17" fillId="0" borderId="0" xfId="0" applyFont="1"/>
    <xf numFmtId="39" fontId="17" fillId="4" borderId="5" xfId="0" applyNumberFormat="1" applyFont="1" applyFill="1" applyBorder="1"/>
    <xf numFmtId="168" fontId="21" fillId="2" borderId="2" xfId="1" applyNumberFormat="1" applyFont="1" applyFill="1" applyBorder="1" applyAlignment="1">
      <alignment horizontal="right" vertical="top"/>
    </xf>
    <xf numFmtId="0" fontId="24" fillId="0" borderId="0" xfId="0" applyFont="1"/>
    <xf numFmtId="0" fontId="21" fillId="0" borderId="0" xfId="0" applyFont="1"/>
    <xf numFmtId="0" fontId="24" fillId="0" borderId="0" xfId="0" applyFont="1" applyAlignment="1">
      <alignment vertical="center"/>
    </xf>
    <xf numFmtId="0" fontId="17" fillId="0" borderId="0" xfId="0" applyFont="1" applyAlignment="1">
      <alignment horizontal="center"/>
    </xf>
    <xf numFmtId="0" fontId="17" fillId="0" borderId="0" xfId="0" applyFont="1" applyAlignment="1">
      <alignment horizontal="center" vertical="center"/>
    </xf>
    <xf numFmtId="0" fontId="17" fillId="0" borderId="0" xfId="0" applyFont="1" applyAlignment="1">
      <alignment vertical="center" wrapText="1"/>
    </xf>
    <xf numFmtId="49" fontId="17" fillId="0" borderId="10" xfId="2" applyNumberFormat="1" applyBorder="1" applyAlignment="1">
      <alignment horizontal="center" vertical="center"/>
    </xf>
    <xf numFmtId="0" fontId="17" fillId="0" borderId="0" xfId="0" applyFont="1" applyAlignment="1">
      <alignment vertical="center"/>
    </xf>
    <xf numFmtId="0" fontId="17" fillId="0" borderId="10" xfId="2" applyBorder="1" applyAlignment="1">
      <alignment wrapText="1"/>
    </xf>
    <xf numFmtId="0" fontId="17" fillId="0" borderId="10" xfId="2" applyBorder="1" applyAlignment="1">
      <alignment horizontal="left" wrapText="1"/>
    </xf>
    <xf numFmtId="49" fontId="17" fillId="0" borderId="10" xfId="2" applyNumberFormat="1" applyBorder="1" applyAlignment="1">
      <alignment horizontal="center" vertical="center" wrapText="1"/>
    </xf>
    <xf numFmtId="0" fontId="17" fillId="0" borderId="10" xfId="2" applyBorder="1" applyAlignment="1">
      <alignment horizontal="center" vertical="center"/>
    </xf>
    <xf numFmtId="0" fontId="17" fillId="0" borderId="11" xfId="2" applyBorder="1" applyAlignment="1">
      <alignment horizontal="center" vertical="center"/>
    </xf>
    <xf numFmtId="0" fontId="17" fillId="0" borderId="10" xfId="0" applyFont="1" applyBorder="1" applyAlignment="1">
      <alignment horizontal="center" vertical="center"/>
    </xf>
    <xf numFmtId="0" fontId="21" fillId="3" borderId="4" xfId="2" applyFont="1" applyFill="1" applyBorder="1" applyAlignment="1">
      <alignment vertical="center" wrapText="1"/>
    </xf>
    <xf numFmtId="0" fontId="21" fillId="3" borderId="4" xfId="2" applyFont="1" applyFill="1" applyBorder="1" applyAlignment="1">
      <alignment horizontal="center" vertical="center" wrapText="1"/>
    </xf>
    <xf numFmtId="2" fontId="21" fillId="3" borderId="4" xfId="2" applyNumberFormat="1" applyFont="1" applyFill="1" applyBorder="1" applyAlignment="1">
      <alignment horizontal="right" vertical="center" wrapText="1"/>
    </xf>
    <xf numFmtId="173" fontId="21" fillId="3" borderId="4" xfId="2" applyNumberFormat="1" applyFont="1" applyFill="1" applyBorder="1" applyAlignment="1">
      <alignment horizontal="right" vertical="center" wrapText="1"/>
    </xf>
    <xf numFmtId="171" fontId="21" fillId="2" borderId="2" xfId="1" applyNumberFormat="1" applyFont="1" applyFill="1" applyBorder="1" applyAlignment="1">
      <alignment horizontal="center" vertical="center"/>
    </xf>
    <xf numFmtId="1" fontId="17" fillId="2" borderId="6" xfId="0" applyNumberFormat="1" applyFont="1" applyFill="1" applyBorder="1" applyAlignment="1">
      <alignment horizontal="center" vertical="center"/>
    </xf>
    <xf numFmtId="1" fontId="17" fillId="0" borderId="0" xfId="0" applyNumberFormat="1" applyFont="1" applyAlignment="1">
      <alignment horizontal="center" vertical="center"/>
    </xf>
    <xf numFmtId="0" fontId="21" fillId="2" borderId="2" xfId="1" applyFont="1" applyFill="1" applyBorder="1" applyAlignment="1">
      <alignment horizontal="center" vertical="top" wrapText="1"/>
    </xf>
    <xf numFmtId="1" fontId="17" fillId="0" borderId="0" xfId="0" applyNumberFormat="1" applyFont="1" applyAlignment="1">
      <alignment vertical="center" wrapText="1"/>
    </xf>
    <xf numFmtId="1" fontId="21" fillId="3" borderId="4" xfId="2" applyNumberFormat="1" applyFont="1" applyFill="1" applyBorder="1" applyAlignment="1">
      <alignment horizontal="center" vertical="center" wrapText="1"/>
    </xf>
    <xf numFmtId="0" fontId="17" fillId="0" borderId="0" xfId="2" applyAlignment="1">
      <alignment vertical="center" wrapText="1"/>
    </xf>
    <xf numFmtId="0" fontId="17" fillId="0" borderId="10" xfId="1" applyBorder="1" applyAlignment="1">
      <alignment horizontal="center" vertical="top"/>
    </xf>
    <xf numFmtId="0" fontId="17" fillId="0" borderId="0" xfId="2"/>
    <xf numFmtId="0" fontId="17" fillId="0" borderId="0" xfId="2" applyAlignment="1">
      <alignment vertical="center"/>
    </xf>
    <xf numFmtId="0" fontId="40" fillId="0" borderId="10" xfId="75" applyFont="1" applyBorder="1" applyAlignment="1">
      <alignment horizontal="left" vertical="top" wrapText="1"/>
    </xf>
    <xf numFmtId="0" fontId="22" fillId="0" borderId="10" xfId="0" applyFont="1" applyBorder="1" applyAlignment="1">
      <alignment horizontal="right"/>
    </xf>
    <xf numFmtId="0" fontId="39" fillId="0" borderId="0" xfId="75" applyFont="1" applyAlignment="1">
      <alignment horizontal="left"/>
    </xf>
    <xf numFmtId="0" fontId="39" fillId="0" borderId="0" xfId="75" applyFont="1" applyAlignment="1">
      <alignment horizontal="left" vertical="top" wrapText="1"/>
    </xf>
    <xf numFmtId="0" fontId="39" fillId="0" borderId="0" xfId="75" applyFont="1" applyAlignment="1">
      <alignment horizontal="left" vertical="top"/>
    </xf>
    <xf numFmtId="0" fontId="40" fillId="0" borderId="0" xfId="75" applyFont="1" applyAlignment="1">
      <alignment horizontal="left" vertical="top" wrapText="1"/>
    </xf>
    <xf numFmtId="0" fontId="40" fillId="0" borderId="0" xfId="75" applyFont="1" applyAlignment="1">
      <alignment vertical="top" wrapText="1"/>
    </xf>
    <xf numFmtId="0" fontId="40" fillId="0" borderId="0" xfId="75" applyFont="1" applyAlignment="1">
      <alignment horizontal="left" vertical="top"/>
    </xf>
    <xf numFmtId="0" fontId="39" fillId="0" borderId="0" xfId="39" applyFont="1" applyAlignment="1">
      <alignment horizontal="left"/>
    </xf>
    <xf numFmtId="0" fontId="40" fillId="0" borderId="0" xfId="81" applyFont="1" applyAlignment="1">
      <alignment horizontal="left" vertical="top"/>
    </xf>
    <xf numFmtId="0" fontId="39" fillId="0" borderId="10" xfId="39" applyFont="1" applyBorder="1" applyAlignment="1">
      <alignment horizontal="left"/>
    </xf>
    <xf numFmtId="0" fontId="45" fillId="0" borderId="10" xfId="190" applyFont="1" applyBorder="1" applyAlignment="1">
      <alignment horizontal="left" vertical="center" wrapText="1"/>
    </xf>
    <xf numFmtId="0" fontId="39" fillId="0" borderId="10" xfId="182" applyFont="1" applyBorder="1" applyAlignment="1">
      <alignment horizontal="left" vertical="top"/>
    </xf>
    <xf numFmtId="49" fontId="17" fillId="0" borderId="10" xfId="0" applyNumberFormat="1" applyFont="1" applyBorder="1" applyAlignment="1">
      <alignment horizontal="center" vertical="center"/>
    </xf>
    <xf numFmtId="0" fontId="17" fillId="0" borderId="11" xfId="1" applyBorder="1" applyAlignment="1">
      <alignment horizontal="center" vertical="center"/>
    </xf>
    <xf numFmtId="0" fontId="37" fillId="0" borderId="10" xfId="194" applyBorder="1">
      <alignment wrapText="1"/>
    </xf>
    <xf numFmtId="0" fontId="40" fillId="0" borderId="10" xfId="190" applyFont="1" applyBorder="1" applyAlignment="1">
      <alignment horizontal="left" vertical="center" wrapText="1"/>
    </xf>
    <xf numFmtId="0" fontId="17" fillId="0" borderId="10" xfId="0" applyFont="1" applyBorder="1"/>
    <xf numFmtId="171" fontId="17" fillId="0" borderId="10" xfId="1" applyNumberFormat="1" applyBorder="1" applyAlignment="1">
      <alignment horizontal="center" vertical="center"/>
    </xf>
    <xf numFmtId="0" fontId="17" fillId="0" borderId="10" xfId="1" applyBorder="1" applyAlignment="1">
      <alignment horizontal="center" vertical="center"/>
    </xf>
    <xf numFmtId="0" fontId="39" fillId="0" borderId="10" xfId="81" applyFont="1" applyBorder="1" applyAlignment="1">
      <alignment horizontal="left" vertical="top"/>
    </xf>
    <xf numFmtId="0" fontId="40" fillId="0" borderId="10" xfId="175" applyFont="1" applyBorder="1" applyAlignment="1">
      <alignment horizontal="left"/>
    </xf>
    <xf numFmtId="0" fontId="39" fillId="0" borderId="10" xfId="175" applyFont="1" applyBorder="1" applyAlignment="1">
      <alignment horizontal="left"/>
    </xf>
    <xf numFmtId="0" fontId="40" fillId="0" borderId="10" xfId="182" applyFont="1" applyBorder="1" applyAlignment="1">
      <alignment horizontal="left" vertical="top"/>
    </xf>
    <xf numFmtId="0" fontId="39" fillId="0" borderId="10" xfId="182" applyFont="1" applyBorder="1" applyAlignment="1">
      <alignment horizontal="left" vertical="top" wrapText="1"/>
    </xf>
    <xf numFmtId="0" fontId="40" fillId="0" borderId="10" xfId="182" applyFont="1" applyBorder="1" applyAlignment="1">
      <alignment horizontal="left" vertical="top" wrapText="1"/>
    </xf>
    <xf numFmtId="0" fontId="40" fillId="0" borderId="10" xfId="182" applyFont="1" applyBorder="1" applyAlignment="1">
      <alignment vertical="top" wrapText="1"/>
    </xf>
    <xf numFmtId="0" fontId="40" fillId="0" borderId="10" xfId="182" applyFont="1" applyBorder="1" applyAlignment="1">
      <alignment horizontal="left"/>
    </xf>
    <xf numFmtId="0" fontId="41" fillId="0" borderId="10" xfId="182" applyFont="1" applyBorder="1">
      <alignment wrapText="1"/>
    </xf>
    <xf numFmtId="0" fontId="42" fillId="0" borderId="10" xfId="182" applyFont="1" applyBorder="1">
      <alignment wrapText="1"/>
    </xf>
    <xf numFmtId="0" fontId="43" fillId="0" borderId="10" xfId="182" quotePrefix="1" applyFont="1" applyBorder="1">
      <alignment wrapText="1"/>
    </xf>
    <xf numFmtId="0" fontId="39" fillId="0" borderId="10" xfId="182" applyFont="1" applyBorder="1" applyAlignment="1">
      <alignment horizontal="left"/>
    </xf>
    <xf numFmtId="0" fontId="46" fillId="0" borderId="10" xfId="190" applyFont="1" applyBorder="1" applyAlignment="1">
      <alignment horizontal="left" vertical="center" wrapText="1"/>
    </xf>
    <xf numFmtId="0" fontId="40" fillId="0" borderId="10" xfId="177" applyFont="1" applyBorder="1" applyAlignment="1">
      <alignment horizontal="left" vertical="top"/>
    </xf>
    <xf numFmtId="0" fontId="40" fillId="0" borderId="10" xfId="177" applyFont="1" applyBorder="1" applyAlignment="1">
      <alignment horizontal="left"/>
    </xf>
    <xf numFmtId="0" fontId="41" fillId="0" borderId="10" xfId="177" applyFont="1" applyBorder="1">
      <alignment wrapText="1"/>
    </xf>
    <xf numFmtId="0" fontId="42" fillId="0" borderId="10" xfId="177" applyFont="1" applyBorder="1">
      <alignment wrapText="1"/>
    </xf>
    <xf numFmtId="0" fontId="39" fillId="0" borderId="10" xfId="177" applyFont="1" applyBorder="1" applyAlignment="1">
      <alignment horizontal="left"/>
    </xf>
    <xf numFmtId="0" fontId="40" fillId="0" borderId="10" xfId="81" applyFont="1" applyBorder="1" applyAlignment="1">
      <alignment horizontal="left" vertical="top"/>
    </xf>
    <xf numFmtId="0" fontId="40" fillId="0" borderId="10" xfId="2" applyFont="1" applyBorder="1" applyAlignment="1">
      <alignment wrapText="1"/>
    </xf>
    <xf numFmtId="0" fontId="40" fillId="0" borderId="10" xfId="2" applyFont="1" applyBorder="1" applyAlignment="1">
      <alignment horizontal="left" vertical="top" wrapText="1"/>
    </xf>
    <xf numFmtId="0" fontId="45" fillId="0" borderId="10" xfId="186" applyFont="1" applyBorder="1" applyAlignment="1">
      <alignment horizontal="left" vertical="top" wrapText="1"/>
    </xf>
    <xf numFmtId="1" fontId="40" fillId="0" borderId="10" xfId="90" applyNumberFormat="1" applyFont="1" applyFill="1" applyBorder="1" applyAlignment="1">
      <alignment horizontal="center" vertical="center"/>
    </xf>
    <xf numFmtId="0" fontId="39" fillId="0" borderId="10" xfId="186" applyFont="1" applyBorder="1" applyAlignment="1">
      <alignment horizontal="left" vertical="top" wrapText="1"/>
    </xf>
    <xf numFmtId="0" fontId="40" fillId="0" borderId="10" xfId="186" applyFont="1" applyBorder="1" applyAlignment="1">
      <alignment horizontal="left" vertical="top" wrapText="1"/>
    </xf>
    <xf numFmtId="0" fontId="40" fillId="0" borderId="10" xfId="186" applyFont="1" applyBorder="1" applyAlignment="1">
      <alignment vertical="top" wrapText="1"/>
    </xf>
    <xf numFmtId="0" fontId="41" fillId="0" borderId="10" xfId="186" applyFont="1" applyBorder="1">
      <alignment wrapText="1"/>
    </xf>
    <xf numFmtId="0" fontId="40" fillId="0" borderId="10" xfId="186" applyFont="1" applyBorder="1">
      <alignment wrapText="1"/>
    </xf>
    <xf numFmtId="0" fontId="42" fillId="0" borderId="10" xfId="186" applyFont="1" applyBorder="1">
      <alignment wrapText="1"/>
    </xf>
    <xf numFmtId="0" fontId="39" fillId="0" borderId="10" xfId="186" applyFont="1" applyBorder="1" applyAlignment="1">
      <alignment horizontal="left" vertical="top"/>
    </xf>
    <xf numFmtId="0" fontId="40" fillId="0" borderId="10" xfId="186" applyFont="1" applyBorder="1" applyAlignment="1">
      <alignment horizontal="left" vertical="center"/>
    </xf>
    <xf numFmtId="3" fontId="40" fillId="0" borderId="10" xfId="185" applyNumberFormat="1" applyFont="1" applyFill="1" applyBorder="1" applyAlignment="1">
      <alignment horizontal="center" vertical="center"/>
    </xf>
    <xf numFmtId="0" fontId="40" fillId="0" borderId="10" xfId="186" applyFont="1" applyBorder="1" applyAlignment="1">
      <alignment horizontal="center" vertical="center"/>
    </xf>
    <xf numFmtId="0" fontId="39" fillId="0" borderId="10" xfId="186" applyFont="1" applyBorder="1">
      <alignment wrapText="1"/>
    </xf>
    <xf numFmtId="0" fontId="40" fillId="0" borderId="10" xfId="186" applyFont="1" applyBorder="1" applyAlignment="1">
      <alignment horizontal="left" vertical="center" wrapText="1"/>
    </xf>
    <xf numFmtId="3" fontId="40" fillId="0" borderId="10" xfId="185" quotePrefix="1" applyNumberFormat="1" applyFont="1" applyFill="1" applyBorder="1" applyAlignment="1">
      <alignment horizontal="center" vertical="center"/>
    </xf>
    <xf numFmtId="3" fontId="45" fillId="0" borderId="10" xfId="185" quotePrefix="1" applyNumberFormat="1" applyFont="1" applyFill="1" applyBorder="1" applyAlignment="1">
      <alignment horizontal="center" vertical="center"/>
    </xf>
    <xf numFmtId="0" fontId="40" fillId="0" borderId="10" xfId="186" applyFont="1" applyBorder="1" applyAlignment="1">
      <alignment horizontal="center" vertical="center" wrapText="1"/>
    </xf>
    <xf numFmtId="3" fontId="40" fillId="0" borderId="10" xfId="185" applyNumberFormat="1" applyFont="1" applyFill="1" applyBorder="1" applyAlignment="1">
      <alignment horizontal="center" vertical="center" wrapText="1"/>
    </xf>
    <xf numFmtId="0" fontId="39" fillId="0" borderId="10" xfId="179" applyFont="1" applyBorder="1" applyAlignment="1">
      <alignment horizontal="left" vertical="top" wrapText="1"/>
    </xf>
    <xf numFmtId="0" fontId="41" fillId="0" borderId="10" xfId="179" applyFont="1" applyBorder="1">
      <alignment wrapText="1"/>
    </xf>
    <xf numFmtId="0" fontId="42" fillId="0" borderId="10" xfId="179" applyFont="1" applyBorder="1">
      <alignment wrapText="1"/>
    </xf>
    <xf numFmtId="0" fontId="39" fillId="0" borderId="10" xfId="179" applyFont="1" applyBorder="1" applyAlignment="1">
      <alignment horizontal="left" vertical="top"/>
    </xf>
    <xf numFmtId="3" fontId="40" fillId="0" borderId="10" xfId="180" applyNumberFormat="1" applyFont="1" applyFill="1" applyBorder="1" applyAlignment="1">
      <alignment horizontal="center" vertical="center"/>
    </xf>
    <xf numFmtId="0" fontId="40" fillId="0" borderId="10" xfId="179" applyFont="1" applyBorder="1" applyAlignment="1">
      <alignment horizontal="center" vertical="center"/>
    </xf>
    <xf numFmtId="0" fontId="40" fillId="0" borderId="10" xfId="179" applyFont="1" applyBorder="1" applyAlignment="1">
      <alignment horizontal="left" vertical="center" wrapText="1"/>
    </xf>
    <xf numFmtId="3" fontId="40" fillId="0" borderId="10" xfId="180" quotePrefix="1" applyNumberFormat="1" applyFont="1" applyFill="1" applyBorder="1" applyAlignment="1">
      <alignment horizontal="center" vertical="center"/>
    </xf>
    <xf numFmtId="0" fontId="40" fillId="0" borderId="10" xfId="188" applyFont="1" applyBorder="1" applyAlignment="1">
      <alignment horizontal="left"/>
    </xf>
    <xf numFmtId="0" fontId="39" fillId="0" borderId="10" xfId="188" applyFont="1" applyBorder="1" applyAlignment="1">
      <alignment horizontal="left" wrapText="1"/>
    </xf>
    <xf numFmtId="0" fontId="41" fillId="0" borderId="10" xfId="188" applyFont="1" applyBorder="1">
      <alignment wrapText="1"/>
    </xf>
    <xf numFmtId="0" fontId="42" fillId="0" borderId="10" xfId="188" applyFont="1" applyBorder="1">
      <alignment wrapText="1"/>
    </xf>
    <xf numFmtId="0" fontId="39" fillId="0" borderId="10" xfId="188" applyFont="1" applyBorder="1" applyAlignment="1">
      <alignment horizontal="left" vertical="top"/>
    </xf>
    <xf numFmtId="0" fontId="40" fillId="0" borderId="10" xfId="188" applyFont="1" applyBorder="1" applyAlignment="1">
      <alignment horizontal="left" vertical="center"/>
    </xf>
    <xf numFmtId="3" fontId="40" fillId="0" borderId="10" xfId="187" applyNumberFormat="1" applyFont="1" applyFill="1" applyBorder="1" applyAlignment="1">
      <alignment horizontal="center" vertical="center"/>
    </xf>
    <xf numFmtId="0" fontId="39" fillId="0" borderId="10" xfId="188" applyFont="1" applyBorder="1">
      <alignment wrapText="1"/>
    </xf>
    <xf numFmtId="3" fontId="40" fillId="0" borderId="10" xfId="187" quotePrefix="1" applyNumberFormat="1" applyFont="1" applyFill="1" applyBorder="1" applyAlignment="1">
      <alignment horizontal="center" vertical="center"/>
    </xf>
    <xf numFmtId="0" fontId="39" fillId="0" borderId="10" xfId="188" applyFont="1" applyBorder="1" applyAlignment="1">
      <alignment horizontal="left" vertical="center"/>
    </xf>
    <xf numFmtId="0" fontId="39" fillId="0" borderId="10" xfId="190" applyFont="1" applyBorder="1" applyAlignment="1">
      <alignment horizontal="left" vertical="center"/>
    </xf>
    <xf numFmtId="0" fontId="40" fillId="0" borderId="10" xfId="190" applyFont="1" applyBorder="1" applyAlignment="1">
      <alignment horizontal="left" vertical="center"/>
    </xf>
    <xf numFmtId="3" fontId="40" fillId="0" borderId="10" xfId="189" applyNumberFormat="1" applyFont="1" applyFill="1" applyBorder="1" applyAlignment="1">
      <alignment horizontal="center" vertical="center"/>
    </xf>
    <xf numFmtId="0" fontId="40" fillId="0" borderId="10" xfId="190" applyFont="1" applyBorder="1" applyAlignment="1">
      <alignment horizontal="center" vertical="center"/>
    </xf>
    <xf numFmtId="3" fontId="40" fillId="0" borderId="10" xfId="189" quotePrefix="1" applyNumberFormat="1" applyFont="1" applyFill="1" applyBorder="1" applyAlignment="1">
      <alignment horizontal="center" vertical="center"/>
    </xf>
    <xf numFmtId="1" fontId="40" fillId="0" borderId="10" xfId="190" applyNumberFormat="1" applyFont="1" applyBorder="1" applyAlignment="1">
      <alignment horizontal="center" vertical="center"/>
    </xf>
    <xf numFmtId="3" fontId="45" fillId="0" borderId="10" xfId="189" quotePrefix="1" applyNumberFormat="1" applyFont="1" applyFill="1" applyBorder="1" applyAlignment="1">
      <alignment horizontal="center" vertical="center"/>
    </xf>
    <xf numFmtId="3" fontId="40" fillId="0" borderId="10" xfId="189" applyNumberFormat="1" applyFont="1" applyBorder="1" applyAlignment="1">
      <alignment horizontal="center" vertical="center"/>
    </xf>
    <xf numFmtId="0" fontId="39" fillId="0" borderId="10" xfId="190" applyFont="1" applyBorder="1" applyAlignment="1">
      <alignment horizontal="left" vertical="center" wrapText="1"/>
    </xf>
    <xf numFmtId="0" fontId="40" fillId="0" borderId="10" xfId="190" applyFont="1" applyBorder="1" applyAlignment="1">
      <alignment vertical="center" wrapText="1"/>
    </xf>
    <xf numFmtId="0" fontId="40" fillId="0" borderId="10" xfId="190" applyFont="1" applyBorder="1" applyAlignment="1">
      <alignment vertical="center"/>
    </xf>
    <xf numFmtId="0" fontId="39" fillId="0" borderId="10" xfId="190" applyFont="1" applyBorder="1" applyAlignment="1">
      <alignment vertical="center" wrapText="1"/>
    </xf>
    <xf numFmtId="49" fontId="40" fillId="0" borderId="10" xfId="190" applyNumberFormat="1" applyFont="1" applyBorder="1" applyAlignment="1">
      <alignment vertical="center"/>
    </xf>
    <xf numFmtId="0" fontId="41" fillId="0" borderId="10" xfId="190" applyFont="1" applyBorder="1" applyAlignment="1">
      <alignment vertical="center" wrapText="1"/>
    </xf>
    <xf numFmtId="0" fontId="42" fillId="0" borderId="10" xfId="190" applyFont="1" applyBorder="1" applyAlignment="1">
      <alignment vertical="center" wrapText="1"/>
    </xf>
    <xf numFmtId="0" fontId="39" fillId="0" borderId="10" xfId="194" applyFont="1" applyBorder="1" applyAlignment="1">
      <alignment horizontal="left" vertical="top" wrapText="1"/>
    </xf>
    <xf numFmtId="0" fontId="41" fillId="0" borderId="10" xfId="194" applyFont="1" applyBorder="1">
      <alignment wrapText="1"/>
    </xf>
    <xf numFmtId="0" fontId="42" fillId="0" borderId="10" xfId="194" applyFont="1" applyBorder="1">
      <alignment wrapText="1"/>
    </xf>
    <xf numFmtId="0" fontId="39" fillId="0" borderId="10" xfId="194" applyFont="1" applyBorder="1" applyAlignment="1">
      <alignment horizontal="left" vertical="top"/>
    </xf>
    <xf numFmtId="0" fontId="40" fillId="0" borderId="10" xfId="194" applyFont="1" applyBorder="1" applyAlignment="1">
      <alignment horizontal="left" vertical="center"/>
    </xf>
    <xf numFmtId="0" fontId="40" fillId="0" borderId="10" xfId="194" applyFont="1" applyBorder="1" applyAlignment="1">
      <alignment horizontal="center" vertical="center"/>
    </xf>
    <xf numFmtId="0" fontId="40" fillId="0" borderId="10" xfId="194" applyFont="1" applyBorder="1" applyAlignment="1">
      <alignment horizontal="left" vertical="center" wrapText="1"/>
    </xf>
    <xf numFmtId="3" fontId="40" fillId="0" borderId="10" xfId="193" quotePrefix="1" applyNumberFormat="1" applyFont="1" applyFill="1" applyBorder="1" applyAlignment="1">
      <alignment horizontal="center" vertical="center"/>
    </xf>
    <xf numFmtId="0" fontId="37" fillId="0" borderId="10" xfId="179" applyBorder="1">
      <alignment wrapText="1"/>
    </xf>
    <xf numFmtId="0" fontId="40" fillId="0" borderId="10" xfId="196" applyFont="1" applyBorder="1" applyAlignment="1">
      <alignment horizontal="left"/>
    </xf>
    <xf numFmtId="0" fontId="39" fillId="0" borderId="10" xfId="196" applyFont="1" applyBorder="1" applyAlignment="1">
      <alignment horizontal="left" wrapText="1"/>
    </xf>
    <xf numFmtId="0" fontId="41" fillId="0" borderId="10" xfId="196" applyFont="1" applyBorder="1">
      <alignment wrapText="1"/>
    </xf>
    <xf numFmtId="0" fontId="39" fillId="0" borderId="10" xfId="196" applyFont="1" applyBorder="1" applyAlignment="1">
      <alignment horizontal="left" vertical="top"/>
    </xf>
    <xf numFmtId="3" fontId="40" fillId="0" borderId="10" xfId="195" applyNumberFormat="1" applyFont="1" applyFill="1" applyBorder="1" applyAlignment="1">
      <alignment horizontal="center" vertical="center"/>
    </xf>
    <xf numFmtId="0" fontId="40" fillId="0" borderId="10" xfId="81" applyFont="1" applyBorder="1" applyAlignment="1">
      <alignment horizontal="left" vertical="top" wrapText="1"/>
    </xf>
    <xf numFmtId="3" fontId="45" fillId="0" borderId="10" xfId="77" applyNumberFormat="1" applyFont="1" applyFill="1" applyBorder="1" applyAlignment="1">
      <alignment horizontal="center" vertical="center"/>
    </xf>
    <xf numFmtId="0" fontId="40" fillId="0" borderId="10" xfId="81" applyFont="1" applyBorder="1" applyAlignment="1">
      <alignment horizontal="center" vertical="center"/>
    </xf>
    <xf numFmtId="169" fontId="40" fillId="0" borderId="10" xfId="90" applyFont="1" applyFill="1" applyBorder="1" applyAlignment="1">
      <alignment horizontal="center" vertical="center"/>
    </xf>
    <xf numFmtId="0" fontId="40" fillId="0" borderId="10" xfId="81" applyFont="1" applyBorder="1" applyAlignment="1">
      <alignment vertical="center"/>
    </xf>
    <xf numFmtId="49" fontId="40" fillId="0" borderId="10" xfId="81" applyNumberFormat="1" applyFont="1" applyBorder="1" applyAlignment="1">
      <alignment horizontal="left" vertical="center"/>
    </xf>
    <xf numFmtId="0" fontId="40" fillId="0" borderId="10" xfId="81" applyFont="1" applyBorder="1" applyAlignment="1">
      <alignment horizontal="left" vertical="center"/>
    </xf>
    <xf numFmtId="0" fontId="40" fillId="0" borderId="10" xfId="81" applyFont="1" applyBorder="1" applyAlignment="1">
      <alignment horizontal="left" vertical="center" wrapText="1"/>
    </xf>
    <xf numFmtId="0" fontId="17" fillId="0" borderId="0" xfId="0" applyFont="1" applyAlignment="1">
      <alignment horizontal="center" vertical="center" wrapText="1"/>
    </xf>
    <xf numFmtId="0" fontId="17" fillId="2" borderId="2" xfId="1" applyFill="1" applyBorder="1" applyAlignment="1">
      <alignment horizontal="center" vertical="center"/>
    </xf>
    <xf numFmtId="0" fontId="40" fillId="0" borderId="10" xfId="194" applyFont="1" applyBorder="1" applyAlignment="1">
      <alignment vertical="center"/>
    </xf>
    <xf numFmtId="0" fontId="39" fillId="0" borderId="0" xfId="75" applyFont="1" applyAlignment="1">
      <alignment vertical="center" wrapText="1"/>
    </xf>
    <xf numFmtId="0" fontId="40" fillId="0" borderId="0" xfId="75" applyFont="1" applyAlignment="1">
      <alignment vertical="center" wrapText="1"/>
    </xf>
    <xf numFmtId="49" fontId="40" fillId="0" borderId="10" xfId="75" applyNumberFormat="1" applyFont="1" applyBorder="1" applyAlignment="1">
      <alignment vertical="center"/>
    </xf>
    <xf numFmtId="0" fontId="40" fillId="0" borderId="10" xfId="75" applyFont="1" applyBorder="1" applyAlignment="1">
      <alignment horizontal="left" vertical="center" wrapText="1"/>
    </xf>
    <xf numFmtId="0" fontId="39" fillId="0" borderId="10" xfId="175" applyFont="1" applyBorder="1" applyAlignment="1">
      <alignment horizontal="left" vertical="center"/>
    </xf>
    <xf numFmtId="0" fontId="39" fillId="0" borderId="10" xfId="175" applyFont="1" applyBorder="1" applyAlignment="1">
      <alignment horizontal="left" vertical="center" wrapText="1"/>
    </xf>
    <xf numFmtId="0" fontId="39" fillId="0" borderId="10" xfId="175" applyFont="1" applyBorder="1" applyAlignment="1">
      <alignment vertical="center" wrapText="1"/>
    </xf>
    <xf numFmtId="0" fontId="40" fillId="0" borderId="10" xfId="175" applyFont="1" applyBorder="1" applyAlignment="1">
      <alignment horizontal="left" vertical="center"/>
    </xf>
    <xf numFmtId="0" fontId="40" fillId="0" borderId="10" xfId="175" applyFont="1" applyBorder="1" applyAlignment="1">
      <alignment vertical="center" wrapText="1"/>
    </xf>
    <xf numFmtId="0" fontId="40" fillId="0" borderId="10" xfId="175" applyFont="1" applyBorder="1" applyAlignment="1">
      <alignment horizontal="left" vertical="center" wrapText="1"/>
    </xf>
    <xf numFmtId="0" fontId="37" fillId="0" borderId="10" xfId="175" applyBorder="1" applyAlignment="1">
      <alignment vertical="center" wrapText="1"/>
    </xf>
    <xf numFmtId="0" fontId="39" fillId="0" borderId="10" xfId="81" applyFont="1" applyBorder="1" applyAlignment="1">
      <alignment horizontal="left" vertical="center"/>
    </xf>
    <xf numFmtId="0" fontId="40" fillId="0" borderId="10" xfId="182" applyFont="1" applyBorder="1" applyAlignment="1">
      <alignment horizontal="left" vertical="center"/>
    </xf>
    <xf numFmtId="0" fontId="39" fillId="0" borderId="10" xfId="182" applyFont="1" applyBorder="1" applyAlignment="1">
      <alignment horizontal="left" vertical="center" wrapText="1"/>
    </xf>
    <xf numFmtId="0" fontId="40" fillId="0" borderId="10" xfId="182" applyFont="1" applyBorder="1" applyAlignment="1">
      <alignment horizontal="left" vertical="center" wrapText="1"/>
    </xf>
    <xf numFmtId="0" fontId="39" fillId="0" borderId="10" xfId="182" applyFont="1" applyBorder="1" applyAlignment="1">
      <alignment horizontal="left" vertical="center"/>
    </xf>
    <xf numFmtId="49" fontId="40" fillId="0" borderId="10" xfId="182" applyNumberFormat="1" applyFont="1" applyBorder="1" applyAlignment="1">
      <alignment vertical="center"/>
    </xf>
    <xf numFmtId="0" fontId="40" fillId="0" borderId="10" xfId="182" applyFont="1" applyBorder="1" applyAlignment="1">
      <alignment vertical="center" wrapText="1"/>
    </xf>
    <xf numFmtId="0" fontId="40" fillId="0" borderId="10" xfId="182" applyFont="1" applyBorder="1" applyAlignment="1">
      <alignment vertical="center"/>
    </xf>
    <xf numFmtId="0" fontId="39" fillId="0" borderId="10" xfId="182" applyFont="1" applyBorder="1" applyAlignment="1">
      <alignment vertical="center" wrapText="1"/>
    </xf>
    <xf numFmtId="2" fontId="39" fillId="0" borderId="10" xfId="182" applyNumberFormat="1" applyFont="1" applyBorder="1" applyAlignment="1">
      <alignment horizontal="left" vertical="center"/>
    </xf>
    <xf numFmtId="0" fontId="40" fillId="0" borderId="10" xfId="177" applyFont="1" applyBorder="1" applyAlignment="1">
      <alignment horizontal="left" vertical="center"/>
    </xf>
    <xf numFmtId="0" fontId="39" fillId="0" borderId="10" xfId="177" applyFont="1" applyBorder="1" applyAlignment="1">
      <alignment horizontal="left" vertical="center" wrapText="1"/>
    </xf>
    <xf numFmtId="0" fontId="40" fillId="0" borderId="10" xfId="177" applyFont="1" applyBorder="1" applyAlignment="1">
      <alignment horizontal="left" vertical="center" wrapText="1"/>
    </xf>
    <xf numFmtId="0" fontId="39" fillId="0" borderId="10" xfId="177" applyFont="1" applyBorder="1" applyAlignment="1">
      <alignment horizontal="left" vertical="center"/>
    </xf>
    <xf numFmtId="0" fontId="39" fillId="0" borderId="10" xfId="177" applyFont="1" applyBorder="1" applyAlignment="1">
      <alignment vertical="center" wrapText="1"/>
    </xf>
    <xf numFmtId="0" fontId="40" fillId="0" borderId="10" xfId="177" applyFont="1" applyBorder="1" applyAlignment="1">
      <alignment vertical="center" wrapText="1"/>
    </xf>
    <xf numFmtId="0" fontId="39" fillId="0" borderId="10" xfId="186" applyFont="1" applyBorder="1" applyAlignment="1">
      <alignment horizontal="left" vertical="center"/>
    </xf>
    <xf numFmtId="0" fontId="39" fillId="0" borderId="10" xfId="186" applyFont="1" applyBorder="1" applyAlignment="1">
      <alignment vertical="center" wrapText="1"/>
    </xf>
    <xf numFmtId="0" fontId="40" fillId="0" borderId="10" xfId="186" applyFont="1" applyBorder="1" applyAlignment="1">
      <alignment vertical="center" wrapText="1"/>
    </xf>
    <xf numFmtId="2" fontId="40" fillId="0" borderId="10" xfId="186" applyNumberFormat="1" applyFont="1" applyBorder="1" applyAlignment="1">
      <alignment horizontal="left" vertical="center"/>
    </xf>
    <xf numFmtId="49" fontId="40" fillId="0" borderId="10" xfId="186" applyNumberFormat="1" applyFont="1" applyBorder="1" applyAlignment="1">
      <alignment vertical="center"/>
    </xf>
    <xf numFmtId="0" fontId="40" fillId="0" borderId="10" xfId="186" applyFont="1" applyBorder="1" applyAlignment="1">
      <alignment vertical="center"/>
    </xf>
    <xf numFmtId="49" fontId="40" fillId="0" borderId="10" xfId="186" applyNumberFormat="1" applyFont="1" applyBorder="1" applyAlignment="1">
      <alignment vertical="center" wrapText="1"/>
    </xf>
    <xf numFmtId="0" fontId="39" fillId="0" borderId="10" xfId="179" applyFont="1" applyBorder="1" applyAlignment="1">
      <alignment horizontal="left" vertical="center"/>
    </xf>
    <xf numFmtId="0" fontId="39" fillId="0" borderId="10" xfId="179" applyFont="1" applyBorder="1" applyAlignment="1">
      <alignment vertical="center" wrapText="1"/>
    </xf>
    <xf numFmtId="0" fontId="40" fillId="0" borderId="10" xfId="179" applyFont="1" applyBorder="1" applyAlignment="1">
      <alignment horizontal="left" vertical="center"/>
    </xf>
    <xf numFmtId="0" fontId="37" fillId="0" borderId="10" xfId="179" applyBorder="1" applyAlignment="1">
      <alignment vertical="center" wrapText="1"/>
    </xf>
    <xf numFmtId="0" fontId="40" fillId="0" borderId="10" xfId="179" applyFont="1" applyBorder="1" applyAlignment="1">
      <alignment vertical="center"/>
    </xf>
    <xf numFmtId="0" fontId="40" fillId="0" borderId="10" xfId="179" applyFont="1" applyBorder="1" applyAlignment="1">
      <alignment vertical="center" wrapText="1"/>
    </xf>
    <xf numFmtId="0" fontId="39" fillId="0" borderId="10" xfId="188" applyFont="1" applyBorder="1" applyAlignment="1">
      <alignment vertical="center" wrapText="1"/>
    </xf>
    <xf numFmtId="0" fontId="40" fillId="0" borderId="10" xfId="188" applyFont="1" applyBorder="1" applyAlignment="1">
      <alignment vertical="center" wrapText="1"/>
    </xf>
    <xf numFmtId="0" fontId="40" fillId="0" borderId="10" xfId="188" applyFont="1" applyBorder="1" applyAlignment="1">
      <alignment horizontal="left" vertical="center" wrapText="1"/>
    </xf>
    <xf numFmtId="2" fontId="39" fillId="0" borderId="10" xfId="188" applyNumberFormat="1" applyFont="1" applyBorder="1" applyAlignment="1">
      <alignment horizontal="left" vertical="center"/>
    </xf>
    <xf numFmtId="0" fontId="39" fillId="0" borderId="10" xfId="194" applyFont="1" applyBorder="1" applyAlignment="1">
      <alignment horizontal="left" vertical="center" wrapText="1"/>
    </xf>
    <xf numFmtId="0" fontId="39" fillId="0" borderId="10" xfId="194" applyFont="1" applyBorder="1" applyAlignment="1">
      <alignment horizontal="left" vertical="center"/>
    </xf>
    <xf numFmtId="0" fontId="40" fillId="0" borderId="10" xfId="194" applyFont="1" applyBorder="1" applyAlignment="1">
      <alignment vertical="center" wrapText="1"/>
    </xf>
    <xf numFmtId="0" fontId="40" fillId="0" borderId="10" xfId="196" applyFont="1" applyBorder="1" applyAlignment="1">
      <alignment horizontal="left" vertical="center"/>
    </xf>
    <xf numFmtId="0" fontId="39" fillId="0" borderId="10" xfId="196" applyFont="1" applyBorder="1" applyAlignment="1">
      <alignment horizontal="left" vertical="center" wrapText="1"/>
    </xf>
    <xf numFmtId="0" fontId="40" fillId="0" borderId="10" xfId="196" applyFont="1" applyBorder="1" applyAlignment="1">
      <alignment horizontal="left" vertical="center" wrapText="1"/>
    </xf>
    <xf numFmtId="0" fontId="39" fillId="0" borderId="10" xfId="196" applyFont="1" applyBorder="1" applyAlignment="1">
      <alignment horizontal="left" vertical="center"/>
    </xf>
    <xf numFmtId="0" fontId="39" fillId="0" borderId="10" xfId="196" applyFont="1" applyBorder="1" applyAlignment="1">
      <alignment vertical="center" wrapText="1"/>
    </xf>
    <xf numFmtId="0" fontId="40" fillId="0" borderId="10" xfId="196" applyFont="1" applyBorder="1" applyAlignment="1">
      <alignment vertical="center" wrapText="1"/>
    </xf>
    <xf numFmtId="39" fontId="17" fillId="0" borderId="10" xfId="0" applyNumberFormat="1" applyFont="1" applyBorder="1" applyAlignment="1">
      <alignment vertical="center"/>
    </xf>
    <xf numFmtId="168" fontId="17" fillId="0" borderId="10" xfId="1" applyNumberFormat="1" applyBorder="1" applyAlignment="1">
      <alignment horizontal="right" vertical="center"/>
    </xf>
    <xf numFmtId="0" fontId="17" fillId="0" borderId="10" xfId="0" applyFont="1" applyBorder="1" applyAlignment="1">
      <alignment vertical="center"/>
    </xf>
    <xf numFmtId="44" fontId="17" fillId="0" borderId="10" xfId="198" applyFont="1" applyBorder="1" applyAlignment="1">
      <alignment horizontal="center" vertical="center"/>
    </xf>
    <xf numFmtId="44" fontId="17" fillId="4" borderId="5" xfId="198" applyFont="1" applyFill="1" applyBorder="1" applyAlignment="1" applyProtection="1">
      <alignment vertical="center"/>
    </xf>
    <xf numFmtId="44" fontId="17" fillId="0" borderId="10" xfId="198" applyFont="1" applyBorder="1" applyAlignment="1">
      <alignment horizontal="right" vertical="center"/>
    </xf>
    <xf numFmtId="44" fontId="17" fillId="0" borderId="10" xfId="198" applyFont="1" applyFill="1" applyBorder="1" applyAlignment="1">
      <alignment horizontal="right" vertical="center"/>
    </xf>
    <xf numFmtId="44" fontId="17" fillId="0" borderId="10" xfId="198" applyFont="1" applyBorder="1" applyAlignment="1">
      <alignment vertical="center"/>
    </xf>
    <xf numFmtId="44" fontId="17" fillId="0" borderId="0" xfId="198" applyFont="1" applyBorder="1" applyAlignment="1" applyProtection="1">
      <alignment horizontal="right" vertical="center"/>
    </xf>
    <xf numFmtId="44" fontId="21" fillId="2" borderId="2" xfId="198" applyFont="1" applyFill="1" applyBorder="1" applyAlignment="1" applyProtection="1">
      <alignment horizontal="right" vertical="center"/>
    </xf>
    <xf numFmtId="44" fontId="17" fillId="0" borderId="0" xfId="198" applyFont="1" applyAlignment="1">
      <alignment vertical="center"/>
    </xf>
    <xf numFmtId="44" fontId="17" fillId="0" borderId="11" xfId="198" applyFont="1" applyBorder="1" applyAlignment="1" applyProtection="1">
      <alignment horizontal="center" vertical="center" wrapText="1"/>
    </xf>
    <xf numFmtId="169" fontId="17" fillId="0" borderId="10" xfId="0" applyNumberFormat="1" applyFont="1" applyBorder="1" applyAlignment="1">
      <alignment horizontal="right" vertical="center" wrapText="1"/>
    </xf>
    <xf numFmtId="0" fontId="20" fillId="0" borderId="0" xfId="2" applyFont="1" applyAlignment="1">
      <alignment horizontal="right" vertical="top"/>
    </xf>
    <xf numFmtId="39" fontId="17" fillId="0" borderId="6" xfId="0" applyNumberFormat="1" applyFont="1" applyBorder="1" applyAlignment="1">
      <alignment vertical="center"/>
    </xf>
    <xf numFmtId="44" fontId="17" fillId="0" borderId="0" xfId="198" applyFont="1" applyFill="1" applyBorder="1" applyAlignment="1" applyProtection="1">
      <alignment horizontal="center" vertical="center"/>
    </xf>
    <xf numFmtId="0" fontId="40" fillId="0" borderId="10" xfId="182" applyFont="1" applyBorder="1" applyAlignment="1">
      <alignment horizontal="center" vertical="center"/>
    </xf>
    <xf numFmtId="44" fontId="17" fillId="0" borderId="0" xfId="0" applyNumberFormat="1" applyFont="1" applyAlignment="1">
      <alignment vertical="center"/>
    </xf>
    <xf numFmtId="1" fontId="40" fillId="0" borderId="10" xfId="76" applyNumberFormat="1" applyFont="1" applyFill="1" applyBorder="1" applyAlignment="1">
      <alignment horizontal="center" vertical="center"/>
    </xf>
    <xf numFmtId="3" fontId="40" fillId="0" borderId="10" xfId="176" applyNumberFormat="1" applyFont="1" applyFill="1" applyBorder="1" applyAlignment="1">
      <alignment horizontal="center" vertical="center"/>
    </xf>
    <xf numFmtId="1" fontId="40" fillId="0" borderId="10" xfId="88" applyNumberFormat="1" applyFont="1" applyBorder="1" applyAlignment="1">
      <alignment horizontal="center" vertical="center"/>
    </xf>
    <xf numFmtId="3" fontId="40" fillId="0" borderId="10" xfId="85" applyNumberFormat="1" applyFont="1" applyBorder="1" applyAlignment="1">
      <alignment horizontal="center" vertical="center"/>
    </xf>
    <xf numFmtId="169" fontId="40" fillId="5" borderId="10" xfId="90" applyFont="1" applyFill="1" applyBorder="1" applyAlignment="1">
      <alignment horizontal="center" vertical="center"/>
    </xf>
    <xf numFmtId="187" fontId="40" fillId="0" borderId="10" xfId="90" applyNumberFormat="1" applyFont="1" applyFill="1" applyBorder="1" applyAlignment="1">
      <alignment horizontal="center" vertical="center"/>
    </xf>
    <xf numFmtId="1" fontId="40" fillId="0" borderId="10" xfId="182" applyNumberFormat="1" applyFont="1" applyBorder="1" applyAlignment="1">
      <alignment horizontal="center" vertical="center"/>
    </xf>
    <xf numFmtId="3" fontId="40" fillId="0" borderId="10" xfId="181" applyNumberFormat="1" applyFont="1" applyFill="1" applyBorder="1" applyAlignment="1">
      <alignment horizontal="center" vertical="center"/>
    </xf>
    <xf numFmtId="3" fontId="40" fillId="0" borderId="10" xfId="181" applyNumberFormat="1" applyFont="1" applyBorder="1" applyAlignment="1">
      <alignment horizontal="center" vertical="center"/>
    </xf>
    <xf numFmtId="3" fontId="40" fillId="0" borderId="10" xfId="181" quotePrefix="1" applyNumberFormat="1" applyFont="1" applyFill="1" applyBorder="1" applyAlignment="1">
      <alignment horizontal="center" vertical="center"/>
    </xf>
    <xf numFmtId="1" fontId="40" fillId="0" borderId="10" xfId="177" applyNumberFormat="1" applyFont="1" applyBorder="1" applyAlignment="1">
      <alignment horizontal="center" vertical="center"/>
    </xf>
    <xf numFmtId="3" fontId="40" fillId="0" borderId="10" xfId="178" quotePrefix="1" applyNumberFormat="1" applyFont="1" applyFill="1" applyBorder="1" applyAlignment="1">
      <alignment horizontal="center" vertical="center"/>
    </xf>
    <xf numFmtId="3" fontId="40" fillId="0" borderId="10" xfId="178" applyNumberFormat="1" applyFont="1" applyFill="1" applyBorder="1" applyAlignment="1">
      <alignment horizontal="center" vertical="center"/>
    </xf>
    <xf numFmtId="1" fontId="40" fillId="0" borderId="10" xfId="194" applyNumberFormat="1" applyFont="1" applyBorder="1" applyAlignment="1">
      <alignment horizontal="center" vertical="center"/>
    </xf>
    <xf numFmtId="3" fontId="40" fillId="0" borderId="10" xfId="193" applyNumberFormat="1" applyFont="1" applyFill="1" applyBorder="1" applyAlignment="1">
      <alignment horizontal="center" vertical="center"/>
    </xf>
    <xf numFmtId="1" fontId="40" fillId="0" borderId="10" xfId="196" applyNumberFormat="1" applyFont="1" applyBorder="1" applyAlignment="1">
      <alignment horizontal="center" vertical="center"/>
    </xf>
    <xf numFmtId="0" fontId="40" fillId="12" borderId="10" xfId="81" applyFont="1" applyFill="1" applyBorder="1" applyAlignment="1">
      <alignment horizontal="left" vertical="top"/>
    </xf>
    <xf numFmtId="3" fontId="40" fillId="12" borderId="10" xfId="187" applyNumberFormat="1" applyFont="1" applyFill="1" applyBorder="1" applyAlignment="1">
      <alignment horizontal="center" vertical="center"/>
    </xf>
    <xf numFmtId="0" fontId="40" fillId="12" borderId="10" xfId="186" applyFont="1" applyFill="1" applyBorder="1" applyAlignment="1">
      <alignment horizontal="left" vertical="top" wrapText="1"/>
    </xf>
    <xf numFmtId="9" fontId="17" fillId="0" borderId="0" xfId="199" applyFont="1"/>
    <xf numFmtId="44" fontId="17" fillId="0" borderId="0" xfId="198" applyFont="1" applyFill="1" applyBorder="1" applyAlignment="1" applyProtection="1">
      <alignment horizontal="right" vertical="center"/>
    </xf>
    <xf numFmtId="0" fontId="17" fillId="0" borderId="11" xfId="0" applyFont="1" applyBorder="1" applyAlignment="1">
      <alignment vertical="center"/>
    </xf>
    <xf numFmtId="168" fontId="17" fillId="0" borderId="0" xfId="1" applyNumberFormat="1" applyAlignment="1">
      <alignment horizontal="right" vertical="center"/>
    </xf>
    <xf numFmtId="39" fontId="17" fillId="0" borderId="0" xfId="0" applyNumberFormat="1" applyFont="1" applyAlignment="1">
      <alignment vertical="center"/>
    </xf>
    <xf numFmtId="39" fontId="17" fillId="0" borderId="11" xfId="0" applyNumberFormat="1" applyFont="1" applyBorder="1" applyAlignment="1">
      <alignment vertical="center"/>
    </xf>
    <xf numFmtId="169" fontId="17" fillId="0" borderId="11" xfId="0" applyNumberFormat="1" applyFont="1" applyBorder="1" applyAlignment="1">
      <alignment horizontal="right" vertical="center" wrapText="1"/>
    </xf>
    <xf numFmtId="0" fontId="40" fillId="0" borderId="21" xfId="190" applyFont="1" applyBorder="1" applyAlignment="1">
      <alignment horizontal="center" vertical="center"/>
    </xf>
    <xf numFmtId="3" fontId="40" fillId="0" borderId="22" xfId="189" applyNumberFormat="1" applyFont="1" applyFill="1" applyBorder="1" applyAlignment="1">
      <alignment horizontal="center" vertical="center"/>
    </xf>
    <xf numFmtId="0" fontId="17" fillId="0" borderId="22" xfId="0" applyFont="1" applyBorder="1" applyAlignment="1">
      <alignment vertical="center"/>
    </xf>
    <xf numFmtId="0" fontId="17" fillId="0" borderId="23" xfId="0" applyFont="1" applyBorder="1"/>
    <xf numFmtId="44" fontId="17" fillId="0" borderId="24" xfId="198" applyFont="1" applyBorder="1" applyAlignment="1" applyProtection="1">
      <alignment horizontal="right" vertical="center"/>
    </xf>
    <xf numFmtId="0" fontId="17" fillId="11" borderId="26" xfId="0" applyFont="1" applyFill="1" applyBorder="1"/>
    <xf numFmtId="0" fontId="17" fillId="0" borderId="27" xfId="2" applyBorder="1" applyAlignment="1">
      <alignment horizontal="center" vertical="center"/>
    </xf>
    <xf numFmtId="0" fontId="40" fillId="0" borderId="27" xfId="194" applyFont="1" applyBorder="1" applyAlignment="1">
      <alignment horizontal="center" vertical="center"/>
    </xf>
    <xf numFmtId="0" fontId="40" fillId="0" borderId="27" xfId="81" applyFont="1" applyBorder="1" applyAlignment="1">
      <alignment horizontal="center" vertical="center"/>
    </xf>
    <xf numFmtId="0" fontId="17" fillId="0" borderId="27" xfId="1" applyBorder="1" applyAlignment="1">
      <alignment horizontal="center" vertical="center"/>
    </xf>
    <xf numFmtId="0" fontId="40" fillId="0" borderId="27" xfId="194" applyFont="1" applyBorder="1" applyAlignment="1">
      <alignment vertical="center" wrapText="1"/>
    </xf>
    <xf numFmtId="0" fontId="40" fillId="0" borderId="27" xfId="196" applyFont="1" applyBorder="1" applyAlignment="1">
      <alignment horizontal="center" vertical="center"/>
    </xf>
    <xf numFmtId="0" fontId="40" fillId="0" borderId="27" xfId="188" applyFont="1" applyBorder="1" applyAlignment="1">
      <alignment horizontal="center" vertical="center"/>
    </xf>
    <xf numFmtId="168" fontId="17" fillId="0" borderId="0" xfId="1" applyNumberFormat="1" applyAlignment="1">
      <alignment horizontal="right" vertical="center" wrapText="1"/>
    </xf>
    <xf numFmtId="44" fontId="17" fillId="0" borderId="11" xfId="198" applyFont="1" applyFill="1" applyBorder="1" applyAlignment="1">
      <alignment vertical="center"/>
    </xf>
    <xf numFmtId="171" fontId="21" fillId="10" borderId="30" xfId="2" applyNumberFormat="1" applyFont="1" applyFill="1" applyBorder="1" applyAlignment="1">
      <alignment horizontal="center" vertical="center"/>
    </xf>
    <xf numFmtId="39" fontId="17" fillId="0" borderId="27" xfId="1" applyNumberFormat="1" applyBorder="1" applyAlignment="1">
      <alignment horizontal="center" vertical="center" wrapText="1"/>
    </xf>
    <xf numFmtId="0" fontId="40" fillId="0" borderId="27" xfId="75" applyFont="1" applyBorder="1" applyAlignment="1">
      <alignment horizontal="center" vertical="center" wrapText="1"/>
    </xf>
    <xf numFmtId="0" fontId="40" fillId="0" borderId="27" xfId="2" applyFont="1" applyBorder="1" applyAlignment="1">
      <alignment horizontal="center" vertical="center" wrapText="1"/>
    </xf>
    <xf numFmtId="0" fontId="40" fillId="0" borderId="27" xfId="81" applyFont="1" applyBorder="1" applyAlignment="1">
      <alignment horizontal="center" vertical="center" wrapText="1"/>
    </xf>
    <xf numFmtId="0" fontId="40" fillId="0" borderId="27" xfId="175" applyFont="1" applyBorder="1" applyAlignment="1">
      <alignment horizontal="center" vertical="center"/>
    </xf>
    <xf numFmtId="0" fontId="40" fillId="0" borderId="27" xfId="84" applyFont="1" applyBorder="1" applyAlignment="1">
      <alignment horizontal="center" vertical="center"/>
    </xf>
    <xf numFmtId="0" fontId="40" fillId="0" borderId="27" xfId="2" applyFont="1" applyBorder="1" applyAlignment="1">
      <alignment horizontal="center" vertical="center"/>
    </xf>
    <xf numFmtId="0" fontId="40" fillId="0" borderId="27" xfId="182" applyFont="1" applyBorder="1" applyAlignment="1">
      <alignment horizontal="center" vertical="center"/>
    </xf>
    <xf numFmtId="0" fontId="40" fillId="0" borderId="27" xfId="177" applyFont="1" applyBorder="1" applyAlignment="1">
      <alignment horizontal="center" vertical="center"/>
    </xf>
    <xf numFmtId="0" fontId="40" fillId="0" borderId="27" xfId="186" applyFont="1" applyBorder="1" applyAlignment="1">
      <alignment horizontal="center" vertical="center"/>
    </xf>
    <xf numFmtId="0" fontId="40" fillId="0" borderId="27" xfId="186" applyFont="1" applyBorder="1" applyAlignment="1">
      <alignment horizontal="center" vertical="center" wrapText="1"/>
    </xf>
    <xf numFmtId="0" fontId="40" fillId="0" borderId="27" xfId="179" applyFont="1" applyBorder="1" applyAlignment="1">
      <alignment horizontal="center" vertical="center"/>
    </xf>
    <xf numFmtId="0" fontId="40" fillId="0" borderId="27" xfId="179" applyFont="1" applyBorder="1" applyAlignment="1">
      <alignment vertical="center" wrapText="1"/>
    </xf>
    <xf numFmtId="0" fontId="40" fillId="0" borderId="27" xfId="190" applyFont="1" applyBorder="1" applyAlignment="1">
      <alignment horizontal="center" vertical="center"/>
    </xf>
    <xf numFmtId="0" fontId="40" fillId="12" borderId="27" xfId="75" applyFont="1" applyFill="1" applyBorder="1" applyAlignment="1">
      <alignment horizontal="center" vertical="center" wrapText="1"/>
    </xf>
    <xf numFmtId="44" fontId="17" fillId="12" borderId="24" xfId="198" applyFont="1" applyFill="1" applyBorder="1" applyAlignment="1" applyProtection="1">
      <alignment horizontal="right" vertical="center"/>
    </xf>
    <xf numFmtId="0" fontId="40" fillId="0" borderId="10" xfId="81" applyFont="1" applyBorder="1" applyAlignment="1">
      <alignment horizontal="center" vertical="center" wrapText="1"/>
    </xf>
    <xf numFmtId="0" fontId="40" fillId="0" borderId="10" xfId="175" applyFont="1" applyBorder="1" applyAlignment="1">
      <alignment horizontal="center" vertical="center"/>
    </xf>
    <xf numFmtId="0" fontId="40" fillId="0" borderId="10" xfId="84" applyFont="1" applyBorder="1" applyAlignment="1">
      <alignment horizontal="center" vertical="center"/>
    </xf>
    <xf numFmtId="0" fontId="40" fillId="0" borderId="10" xfId="2" applyFont="1" applyBorder="1" applyAlignment="1">
      <alignment horizontal="center" vertical="center"/>
    </xf>
    <xf numFmtId="0" fontId="40" fillId="0" borderId="10" xfId="177" applyFont="1" applyBorder="1" applyAlignment="1">
      <alignment horizontal="center" vertical="center"/>
    </xf>
    <xf numFmtId="0" fontId="40" fillId="0" borderId="10" xfId="188" applyFont="1" applyBorder="1" applyAlignment="1">
      <alignment horizontal="center" vertical="center"/>
    </xf>
    <xf numFmtId="0" fontId="40" fillId="0" borderId="10" xfId="196" applyFont="1" applyBorder="1" applyAlignment="1">
      <alignment horizontal="center" vertical="center"/>
    </xf>
    <xf numFmtId="3" fontId="45" fillId="12" borderId="10" xfId="185" quotePrefix="1" applyNumberFormat="1" applyFont="1" applyFill="1" applyBorder="1" applyAlignment="1">
      <alignment horizontal="center" vertical="center"/>
    </xf>
    <xf numFmtId="0" fontId="40" fillId="12" borderId="27" xfId="186" applyFont="1" applyFill="1" applyBorder="1" applyAlignment="1">
      <alignment horizontal="center" vertical="center"/>
    </xf>
    <xf numFmtId="44" fontId="17" fillId="0" borderId="10" xfId="0" applyNumberFormat="1" applyFont="1" applyBorder="1" applyAlignment="1">
      <alignment vertical="center"/>
    </xf>
    <xf numFmtId="44" fontId="17" fillId="0" borderId="10" xfId="198" applyFont="1" applyFill="1" applyBorder="1" applyAlignment="1">
      <alignment vertical="center"/>
    </xf>
    <xf numFmtId="171" fontId="21" fillId="10" borderId="33" xfId="2" applyNumberFormat="1" applyFont="1" applyFill="1" applyBorder="1" applyAlignment="1">
      <alignment horizontal="center" vertical="center"/>
    </xf>
    <xf numFmtId="171" fontId="21" fillId="10" borderId="34" xfId="2" applyNumberFormat="1" applyFont="1" applyFill="1" applyBorder="1" applyAlignment="1">
      <alignment horizontal="left" vertical="center"/>
    </xf>
    <xf numFmtId="171" fontId="21" fillId="10" borderId="35" xfId="2" applyNumberFormat="1" applyFont="1" applyFill="1" applyBorder="1" applyAlignment="1">
      <alignment horizontal="left" vertical="center"/>
    </xf>
    <xf numFmtId="0" fontId="17" fillId="0" borderId="39" xfId="0" applyFont="1" applyBorder="1"/>
    <xf numFmtId="44" fontId="17" fillId="0" borderId="40" xfId="198" applyFont="1" applyBorder="1"/>
    <xf numFmtId="44" fontId="17" fillId="0" borderId="37" xfId="198" applyFont="1" applyBorder="1"/>
    <xf numFmtId="44" fontId="21" fillId="0" borderId="46" xfId="198" applyFont="1" applyBorder="1" applyAlignment="1">
      <alignment vertical="center" wrapText="1"/>
    </xf>
    <xf numFmtId="0" fontId="17" fillId="0" borderId="41" xfId="0" applyFont="1" applyBorder="1"/>
    <xf numFmtId="0" fontId="17" fillId="0" borderId="43" xfId="0" applyFont="1" applyBorder="1"/>
    <xf numFmtId="0" fontId="17" fillId="0" borderId="24" xfId="0" applyFont="1" applyBorder="1"/>
    <xf numFmtId="0" fontId="17" fillId="0" borderId="45" xfId="0" applyFont="1" applyBorder="1"/>
    <xf numFmtId="0" fontId="21" fillId="0" borderId="0" xfId="1" applyFont="1" applyAlignment="1">
      <alignment horizontal="center" vertical="center"/>
    </xf>
    <xf numFmtId="0" fontId="21" fillId="0" borderId="0" xfId="1" applyFont="1" applyAlignment="1">
      <alignment horizontal="center" vertical="top" wrapText="1"/>
    </xf>
    <xf numFmtId="171" fontId="21" fillId="0" borderId="0" xfId="1" applyNumberFormat="1" applyFont="1" applyAlignment="1">
      <alignment horizontal="center" vertical="center"/>
    </xf>
    <xf numFmtId="44" fontId="21" fillId="0" borderId="0" xfId="198" applyFont="1" applyFill="1" applyBorder="1" applyAlignment="1" applyProtection="1">
      <alignment horizontal="right" vertical="center"/>
    </xf>
    <xf numFmtId="44" fontId="21" fillId="0" borderId="0" xfId="198" applyFont="1" applyFill="1" applyBorder="1" applyAlignment="1" applyProtection="1">
      <alignment horizontal="center" vertical="center"/>
    </xf>
    <xf numFmtId="171" fontId="21" fillId="0" borderId="0" xfId="2" applyNumberFormat="1" applyFont="1" applyAlignment="1">
      <alignment horizontal="center" vertical="center"/>
    </xf>
    <xf numFmtId="44" fontId="17" fillId="0" borderId="0" xfId="198" applyFont="1" applyBorder="1" applyAlignment="1">
      <alignment vertical="center" wrapText="1"/>
    </xf>
    <xf numFmtId="44" fontId="17" fillId="0" borderId="42" xfId="198" applyFont="1" applyBorder="1"/>
    <xf numFmtId="44" fontId="17" fillId="0" borderId="24" xfId="198" applyFont="1" applyBorder="1"/>
    <xf numFmtId="44" fontId="17" fillId="0" borderId="44" xfId="198" applyFont="1" applyBorder="1"/>
    <xf numFmtId="171" fontId="21" fillId="10" borderId="31" xfId="2" applyNumberFormat="1" applyFont="1" applyFill="1" applyBorder="1" applyAlignment="1">
      <alignment vertical="center"/>
    </xf>
    <xf numFmtId="171" fontId="21" fillId="10" borderId="32" xfId="2" applyNumberFormat="1" applyFont="1" applyFill="1" applyBorder="1" applyAlignment="1">
      <alignment vertical="center"/>
    </xf>
    <xf numFmtId="0" fontId="17" fillId="0" borderId="36" xfId="0" applyFont="1" applyBorder="1" applyAlignment="1">
      <alignment horizontal="center" vertical="center"/>
    </xf>
    <xf numFmtId="0" fontId="17" fillId="0" borderId="38" xfId="0" applyFont="1" applyBorder="1" applyAlignment="1">
      <alignment horizontal="center" vertical="center"/>
    </xf>
    <xf numFmtId="0" fontId="17" fillId="0" borderId="10" xfId="0" applyFont="1" applyBorder="1" applyAlignment="1">
      <alignment horizontal="center" vertical="center" wrapText="1"/>
    </xf>
    <xf numFmtId="0" fontId="21" fillId="2" borderId="6" xfId="1" applyFont="1" applyFill="1" applyBorder="1" applyAlignment="1">
      <alignment horizontal="center" vertical="center"/>
    </xf>
    <xf numFmtId="171" fontId="21" fillId="2" borderId="6" xfId="1" applyNumberFormat="1" applyFont="1" applyFill="1" applyBorder="1" applyAlignment="1">
      <alignment horizontal="center" vertical="center"/>
    </xf>
    <xf numFmtId="0" fontId="68" fillId="0" borderId="10" xfId="2" applyFont="1" applyBorder="1" applyAlignment="1">
      <alignment horizontal="center" vertical="center"/>
    </xf>
    <xf numFmtId="189" fontId="17" fillId="0" borderId="0" xfId="0" applyNumberFormat="1" applyFont="1"/>
    <xf numFmtId="0" fontId="74" fillId="0" borderId="0" xfId="0" applyFont="1"/>
    <xf numFmtId="39" fontId="74" fillId="0" borderId="10" xfId="0" applyNumberFormat="1" applyFont="1" applyBorder="1"/>
    <xf numFmtId="190" fontId="80" fillId="0" borderId="0" xfId="228" applyNumberFormat="1" applyFont="1"/>
    <xf numFmtId="0" fontId="77" fillId="0" borderId="0" xfId="228" applyFont="1"/>
    <xf numFmtId="189" fontId="8" fillId="0" borderId="0" xfId="228" applyNumberFormat="1"/>
    <xf numFmtId="0" fontId="17" fillId="0" borderId="0" xfId="228" applyFont="1" applyAlignment="1">
      <alignment vertical="center"/>
    </xf>
    <xf numFmtId="0" fontId="68" fillId="0" borderId="0" xfId="0" applyFont="1"/>
    <xf numFmtId="0" fontId="8" fillId="0" borderId="0" xfId="228"/>
    <xf numFmtId="0" fontId="21" fillId="2" borderId="6" xfId="2" applyFont="1" applyFill="1" applyBorder="1" applyAlignment="1">
      <alignment horizontal="center"/>
    </xf>
    <xf numFmtId="0" fontId="24" fillId="0" borderId="0" xfId="2" applyFont="1"/>
    <xf numFmtId="0" fontId="21" fillId="0" borderId="0" xfId="2" applyFont="1"/>
    <xf numFmtId="2" fontId="8" fillId="0" borderId="0" xfId="228" applyNumberFormat="1"/>
    <xf numFmtId="0" fontId="80" fillId="0" borderId="0" xfId="228" applyFont="1"/>
    <xf numFmtId="190" fontId="8" fillId="0" borderId="0" xfId="228" applyNumberFormat="1"/>
    <xf numFmtId="1" fontId="21" fillId="2" borderId="2" xfId="1" applyNumberFormat="1" applyFont="1" applyFill="1" applyBorder="1" applyAlignment="1">
      <alignment horizontal="center" vertical="center"/>
    </xf>
    <xf numFmtId="0" fontId="17" fillId="0" borderId="0" xfId="2" applyAlignment="1">
      <alignment horizontal="center" vertical="center"/>
    </xf>
    <xf numFmtId="2" fontId="21" fillId="0" borderId="10" xfId="45" applyNumberFormat="1" applyFont="1" applyBorder="1" applyAlignment="1">
      <alignment horizontal="left" wrapText="1"/>
    </xf>
    <xf numFmtId="1" fontId="17" fillId="0" borderId="0" xfId="2" applyNumberFormat="1" applyAlignment="1">
      <alignment horizontal="center" vertical="center"/>
    </xf>
    <xf numFmtId="172" fontId="17" fillId="0" borderId="10" xfId="35" applyFont="1" applyBorder="1" applyAlignment="1">
      <alignment horizontal="center" vertical="center"/>
    </xf>
    <xf numFmtId="1" fontId="17" fillId="0" borderId="10" xfId="1" applyNumberFormat="1" applyBorder="1" applyAlignment="1">
      <alignment horizontal="center" vertical="center"/>
    </xf>
    <xf numFmtId="168" fontId="17" fillId="0" borderId="10" xfId="1" applyNumberFormat="1" applyBorder="1" applyAlignment="1">
      <alignment horizontal="right" vertical="top"/>
    </xf>
    <xf numFmtId="0" fontId="21" fillId="0" borderId="10" xfId="2" applyFont="1" applyBorder="1" applyAlignment="1">
      <alignment horizontal="left"/>
    </xf>
    <xf numFmtId="172" fontId="68" fillId="0" borderId="10" xfId="35" applyFont="1" applyBorder="1" applyAlignment="1">
      <alignment horizontal="center" vertical="center"/>
    </xf>
    <xf numFmtId="0" fontId="68" fillId="0" borderId="0" xfId="2" applyFont="1"/>
    <xf numFmtId="0" fontId="17" fillId="0" borderId="11" xfId="0" applyFont="1" applyBorder="1" applyAlignment="1">
      <alignment horizontal="center" vertical="center"/>
    </xf>
    <xf numFmtId="44" fontId="17" fillId="0" borderId="10" xfId="198" applyFont="1" applyBorder="1" applyAlignment="1" applyProtection="1"/>
    <xf numFmtId="0" fontId="71" fillId="0" borderId="0" xfId="2" applyFont="1"/>
    <xf numFmtId="44" fontId="17" fillId="0" borderId="0" xfId="198" applyFont="1" applyAlignment="1">
      <alignment horizontal="right" vertical="center"/>
    </xf>
    <xf numFmtId="189" fontId="0" fillId="0" borderId="0" xfId="0" applyNumberFormat="1"/>
    <xf numFmtId="0" fontId="77" fillId="0" borderId="0" xfId="0" applyFont="1"/>
    <xf numFmtId="2" fontId="0" fillId="0" borderId="0" xfId="0" applyNumberFormat="1"/>
    <xf numFmtId="190" fontId="0" fillId="0" borderId="0" xfId="0" applyNumberFormat="1"/>
    <xf numFmtId="0" fontId="80" fillId="0" borderId="0" xfId="0" applyFont="1"/>
    <xf numFmtId="190" fontId="80" fillId="0" borderId="0" xfId="0" applyNumberFormat="1" applyFont="1"/>
    <xf numFmtId="44" fontId="17" fillId="0" borderId="0" xfId="198" applyFont="1"/>
    <xf numFmtId="0" fontId="71" fillId="0" borderId="0" xfId="0" applyFont="1"/>
    <xf numFmtId="0" fontId="71" fillId="0" borderId="10" xfId="2" applyFont="1" applyBorder="1" applyAlignment="1">
      <alignment horizontal="center" vertical="center"/>
    </xf>
    <xf numFmtId="0" fontId="71" fillId="0" borderId="0" xfId="0" applyFont="1" applyAlignment="1">
      <alignment vertical="center"/>
    </xf>
    <xf numFmtId="0" fontId="85" fillId="0" borderId="0" xfId="0" applyFont="1" applyAlignment="1">
      <alignment vertical="center"/>
    </xf>
    <xf numFmtId="44" fontId="71" fillId="0" borderId="11" xfId="198" applyFont="1" applyBorder="1" applyAlignment="1">
      <alignment horizontal="center" vertical="center"/>
    </xf>
    <xf numFmtId="172" fontId="68" fillId="0" borderId="10" xfId="35" applyFont="1" applyBorder="1" applyAlignment="1">
      <alignment horizontal="center" vertical="top"/>
    </xf>
    <xf numFmtId="0" fontId="17" fillId="0" borderId="10" xfId="1" applyBorder="1" applyAlignment="1">
      <alignment horizontal="left" vertical="top" wrapText="1"/>
    </xf>
    <xf numFmtId="39" fontId="17" fillId="0" borderId="10" xfId="1" applyNumberFormat="1" applyBorder="1" applyAlignment="1">
      <alignment horizontal="center" vertical="center"/>
    </xf>
    <xf numFmtId="49" fontId="71" fillId="0" borderId="10" xfId="2" applyNumberFormat="1" applyFont="1" applyBorder="1" applyAlignment="1">
      <alignment horizontal="center" vertical="center"/>
    </xf>
    <xf numFmtId="0" fontId="71" fillId="0" borderId="10" xfId="2" applyFont="1" applyBorder="1" applyAlignment="1">
      <alignment horizontal="left" wrapText="1"/>
    </xf>
    <xf numFmtId="0" fontId="73" fillId="0" borderId="10" xfId="2" applyFont="1" applyBorder="1" applyAlignment="1">
      <alignment horizontal="center" vertical="center"/>
    </xf>
    <xf numFmtId="172" fontId="17" fillId="0" borderId="0" xfId="35" applyFont="1" applyAlignment="1">
      <alignment horizontal="center" vertical="top"/>
    </xf>
    <xf numFmtId="172" fontId="17" fillId="0" borderId="0" xfId="35" applyFont="1" applyAlignment="1">
      <alignment vertical="top"/>
    </xf>
    <xf numFmtId="49" fontId="21" fillId="0" borderId="10" xfId="2" applyNumberFormat="1" applyFont="1" applyBorder="1" applyAlignment="1">
      <alignment horizontal="center" vertical="center"/>
    </xf>
    <xf numFmtId="0" fontId="17" fillId="0" borderId="10" xfId="6" applyBorder="1" applyAlignment="1">
      <alignment horizontal="left" vertical="center" wrapText="1"/>
    </xf>
    <xf numFmtId="0" fontId="68" fillId="0" borderId="0" xfId="0" applyFont="1" applyAlignment="1">
      <alignment vertical="center"/>
    </xf>
    <xf numFmtId="0" fontId="71" fillId="0" borderId="0" xfId="276" applyFont="1"/>
    <xf numFmtId="0" fontId="73" fillId="0" borderId="0" xfId="276" applyFont="1" applyAlignment="1">
      <alignment vertical="center"/>
    </xf>
    <xf numFmtId="44" fontId="71" fillId="0" borderId="10" xfId="198" applyFont="1" applyBorder="1" applyAlignment="1">
      <alignment horizontal="center" vertical="center"/>
    </xf>
    <xf numFmtId="0" fontId="21" fillId="0" borderId="0" xfId="0" applyFont="1" applyAlignment="1">
      <alignment vertical="center"/>
    </xf>
    <xf numFmtId="44" fontId="71" fillId="0" borderId="10" xfId="198" applyFont="1" applyBorder="1" applyAlignment="1">
      <alignment vertical="center"/>
    </xf>
    <xf numFmtId="0" fontId="21" fillId="0" borderId="10" xfId="2" applyFont="1" applyBorder="1" applyAlignment="1">
      <alignment horizontal="center" vertical="center" wrapText="1"/>
    </xf>
    <xf numFmtId="0" fontId="21" fillId="0" borderId="10" xfId="2" applyFont="1" applyBorder="1" applyAlignment="1">
      <alignment horizontal="center" vertical="center"/>
    </xf>
    <xf numFmtId="172" fontId="68" fillId="0" borderId="10" xfId="35" applyFont="1" applyBorder="1" applyAlignment="1">
      <alignment vertical="top" wrapText="1"/>
    </xf>
    <xf numFmtId="172" fontId="17" fillId="0" borderId="10" xfId="35" applyFont="1" applyBorder="1" applyAlignment="1">
      <alignment horizontal="center" vertical="top"/>
    </xf>
    <xf numFmtId="172" fontId="17" fillId="0" borderId="10" xfId="35" applyFont="1" applyBorder="1" applyAlignment="1">
      <alignment vertical="top" wrapText="1"/>
    </xf>
    <xf numFmtId="0" fontId="71" fillId="0" borderId="0" xfId="0" applyFont="1" applyAlignment="1">
      <alignment horizontal="center" vertical="center"/>
    </xf>
    <xf numFmtId="0" fontId="71" fillId="0" borderId="10" xfId="2" applyFont="1" applyBorder="1" applyAlignment="1">
      <alignment horizontal="center" vertical="center" wrapText="1"/>
    </xf>
    <xf numFmtId="44" fontId="71" fillId="0" borderId="0" xfId="198" applyFont="1" applyBorder="1" applyAlignment="1" applyProtection="1">
      <alignment horizontal="center" vertical="center"/>
    </xf>
    <xf numFmtId="0" fontId="71" fillId="0" borderId="11" xfId="1" applyFont="1" applyBorder="1" applyAlignment="1">
      <alignment horizontal="center" vertical="top"/>
    </xf>
    <xf numFmtId="0" fontId="21" fillId="0" borderId="11" xfId="2" applyFont="1" applyBorder="1" applyAlignment="1">
      <alignment wrapText="1"/>
    </xf>
    <xf numFmtId="0" fontId="17" fillId="0" borderId="11" xfId="1" applyBorder="1" applyAlignment="1">
      <alignment horizontal="left" vertical="top" wrapText="1"/>
    </xf>
    <xf numFmtId="0" fontId="71" fillId="0" borderId="11" xfId="2" applyFont="1" applyBorder="1" applyAlignment="1">
      <alignment horizontal="center" vertical="center"/>
    </xf>
    <xf numFmtId="1" fontId="71" fillId="0" borderId="11" xfId="1" applyNumberFormat="1" applyFont="1" applyBorder="1" applyAlignment="1">
      <alignment horizontal="center" vertical="center"/>
    </xf>
    <xf numFmtId="1" fontId="17" fillId="0" borderId="11" xfId="1" applyNumberFormat="1" applyBorder="1" applyAlignment="1">
      <alignment horizontal="center" vertical="center"/>
    </xf>
    <xf numFmtId="172" fontId="71" fillId="0" borderId="10" xfId="35" applyFont="1" applyBorder="1" applyAlignment="1">
      <alignment horizontal="center" vertical="top"/>
    </xf>
    <xf numFmtId="0" fontId="71" fillId="0" borderId="10" xfId="2" applyFont="1" applyBorder="1" applyAlignment="1">
      <alignment horizontal="center" vertical="top"/>
    </xf>
    <xf numFmtId="0" fontId="71" fillId="0" borderId="10" xfId="2" applyFont="1" applyBorder="1" applyAlignment="1">
      <alignment vertical="top" wrapText="1"/>
    </xf>
    <xf numFmtId="44" fontId="71" fillId="0" borderId="10" xfId="198" applyFont="1" applyBorder="1" applyAlignment="1">
      <alignment horizontal="right" vertical="top"/>
    </xf>
    <xf numFmtId="169" fontId="71" fillId="0" borderId="10" xfId="2" applyNumberFormat="1" applyFont="1" applyBorder="1" applyAlignment="1">
      <alignment horizontal="center" vertical="top"/>
    </xf>
    <xf numFmtId="0" fontId="21" fillId="0" borderId="0" xfId="0" applyFont="1" applyAlignment="1">
      <alignment horizontal="center"/>
    </xf>
    <xf numFmtId="0" fontId="73" fillId="0" borderId="0" xfId="0" applyFont="1"/>
    <xf numFmtId="0" fontId="21" fillId="0" borderId="0" xfId="0" applyFont="1" applyAlignment="1">
      <alignment horizontal="center" vertical="center"/>
    </xf>
    <xf numFmtId="0" fontId="71" fillId="0" borderId="10" xfId="1" applyFont="1" applyBorder="1" applyAlignment="1">
      <alignment horizontal="center" vertical="top"/>
    </xf>
    <xf numFmtId="172" fontId="71" fillId="0" borderId="10" xfId="35" applyFont="1" applyBorder="1" applyAlignment="1">
      <alignment horizontal="center" vertical="center"/>
    </xf>
    <xf numFmtId="1" fontId="71" fillId="0" borderId="10" xfId="1" applyNumberFormat="1" applyFont="1" applyBorder="1" applyAlignment="1">
      <alignment horizontal="center" vertical="center"/>
    </xf>
    <xf numFmtId="0" fontId="17" fillId="0" borderId="10" xfId="2" applyBorder="1" applyAlignment="1">
      <alignment horizontal="center"/>
    </xf>
    <xf numFmtId="0" fontId="71" fillId="2" borderId="6" xfId="2" applyFont="1" applyFill="1" applyBorder="1" applyAlignment="1">
      <alignment vertical="center"/>
    </xf>
    <xf numFmtId="1" fontId="71" fillId="2" borderId="6" xfId="2" applyNumberFormat="1" applyFont="1" applyFill="1" applyBorder="1" applyAlignment="1">
      <alignment horizontal="center" vertical="center"/>
    </xf>
    <xf numFmtId="1" fontId="71" fillId="0" borderId="0" xfId="2" applyNumberFormat="1" applyFont="1" applyAlignment="1">
      <alignment horizontal="center" vertical="center"/>
    </xf>
    <xf numFmtId="0" fontId="71" fillId="0" borderId="0" xfId="2" applyFont="1" applyAlignment="1">
      <alignment vertical="center"/>
    </xf>
    <xf numFmtId="44" fontId="71" fillId="0" borderId="0" xfId="198" applyFont="1" applyAlignment="1">
      <alignment vertical="center"/>
    </xf>
    <xf numFmtId="49" fontId="71" fillId="0" borderId="10" xfId="2" applyNumberFormat="1" applyFont="1" applyBorder="1" applyAlignment="1">
      <alignment horizontal="center" vertical="center" wrapText="1"/>
    </xf>
    <xf numFmtId="0" fontId="71" fillId="0" borderId="10" xfId="2" applyFont="1" applyBorder="1" applyAlignment="1">
      <alignment wrapText="1"/>
    </xf>
    <xf numFmtId="172" fontId="71" fillId="0" borderId="10" xfId="35" applyFont="1" applyBorder="1" applyAlignment="1">
      <alignment vertical="top" wrapText="1"/>
    </xf>
    <xf numFmtId="0" fontId="71" fillId="0" borderId="10" xfId="1" applyFont="1" applyBorder="1" applyAlignment="1">
      <alignment vertical="top" wrapText="1"/>
    </xf>
    <xf numFmtId="0" fontId="71" fillId="0" borderId="10" xfId="1" applyFont="1" applyBorder="1" applyAlignment="1">
      <alignment horizontal="center" vertical="center"/>
    </xf>
    <xf numFmtId="0" fontId="21" fillId="0" borderId="10" xfId="2" applyFont="1" applyBorder="1" applyAlignment="1">
      <alignment wrapText="1"/>
    </xf>
    <xf numFmtId="0" fontId="21" fillId="2" borderId="6" xfId="0" applyFont="1" applyFill="1" applyBorder="1" applyAlignment="1">
      <alignment horizontal="center"/>
    </xf>
    <xf numFmtId="0" fontId="21" fillId="3" borderId="53" xfId="2" applyFont="1" applyFill="1" applyBorder="1" applyAlignment="1">
      <alignment horizontal="center" vertical="center"/>
    </xf>
    <xf numFmtId="1" fontId="21" fillId="3" borderId="53" xfId="2" applyNumberFormat="1" applyFont="1" applyFill="1" applyBorder="1" applyAlignment="1">
      <alignment horizontal="center" vertical="center"/>
    </xf>
    <xf numFmtId="44" fontId="21" fillId="3" borderId="53" xfId="198" applyFont="1" applyFill="1" applyBorder="1" applyAlignment="1">
      <alignment horizontal="center" vertical="center"/>
    </xf>
    <xf numFmtId="0" fontId="21" fillId="3" borderId="53" xfId="2" applyFont="1" applyFill="1" applyBorder="1" applyAlignment="1">
      <alignment horizontal="center" vertical="center" wrapText="1"/>
    </xf>
    <xf numFmtId="0" fontId="17" fillId="2" borderId="6" xfId="0" applyFont="1" applyFill="1" applyBorder="1" applyAlignment="1">
      <alignment horizontal="center"/>
    </xf>
    <xf numFmtId="0" fontId="17" fillId="2" borderId="6" xfId="0" applyFont="1" applyFill="1" applyBorder="1" applyAlignment="1">
      <alignment horizontal="center" vertical="center" wrapText="1"/>
    </xf>
    <xf numFmtId="0" fontId="17" fillId="0" borderId="0" xfId="2" applyAlignment="1">
      <alignment horizontal="center" vertical="center" wrapText="1"/>
    </xf>
    <xf numFmtId="44" fontId="17" fillId="0" borderId="0" xfId="198" applyFont="1" applyBorder="1" applyAlignment="1" applyProtection="1">
      <alignment horizontal="center" vertical="center"/>
    </xf>
    <xf numFmtId="0" fontId="17" fillId="0" borderId="0" xfId="2" applyAlignment="1">
      <alignment horizontal="left"/>
    </xf>
    <xf numFmtId="0" fontId="17" fillId="2" borderId="6" xfId="0" applyFont="1" applyFill="1" applyBorder="1"/>
    <xf numFmtId="0" fontId="21" fillId="2" borderId="3" xfId="1" applyFont="1" applyFill="1" applyBorder="1" applyAlignment="1">
      <alignment horizontal="center" vertical="center"/>
    </xf>
    <xf numFmtId="0" fontId="17" fillId="2" borderId="6" xfId="0" applyFont="1" applyFill="1" applyBorder="1" applyAlignment="1">
      <alignment horizontal="center" vertical="center"/>
    </xf>
    <xf numFmtId="0" fontId="17" fillId="2" borderId="6" xfId="0" applyFont="1" applyFill="1" applyBorder="1" applyAlignment="1">
      <alignment vertical="center"/>
    </xf>
    <xf numFmtId="0" fontId="21" fillId="2" borderId="2" xfId="1" applyFont="1" applyFill="1" applyBorder="1" applyAlignment="1">
      <alignment horizontal="center" vertical="center"/>
    </xf>
    <xf numFmtId="0" fontId="17" fillId="2" borderId="54" xfId="1" applyFill="1" applyBorder="1" applyAlignment="1">
      <alignment horizontal="center" vertical="center"/>
    </xf>
    <xf numFmtId="0" fontId="17" fillId="2" borderId="54" xfId="1" applyFill="1" applyBorder="1" applyAlignment="1">
      <alignment vertical="top" wrapText="1"/>
    </xf>
    <xf numFmtId="168" fontId="17" fillId="2" borderId="54" xfId="1" applyNumberFormat="1" applyFill="1" applyBorder="1" applyAlignment="1">
      <alignment horizontal="right" vertical="top"/>
    </xf>
    <xf numFmtId="44" fontId="17" fillId="2" borderId="54" xfId="198" applyFont="1" applyFill="1" applyBorder="1" applyAlignment="1">
      <alignment horizontal="right" vertical="top"/>
    </xf>
    <xf numFmtId="1" fontId="17" fillId="2" borderId="54" xfId="1" applyNumberFormat="1" applyFill="1" applyBorder="1" applyAlignment="1">
      <alignment horizontal="center" vertical="center"/>
    </xf>
    <xf numFmtId="0" fontId="17" fillId="0" borderId="11" xfId="0" applyFont="1" applyBorder="1" applyAlignment="1">
      <alignment horizontal="center" vertical="center" wrapText="1"/>
    </xf>
    <xf numFmtId="0" fontId="21" fillId="0" borderId="10" xfId="0" applyFont="1" applyBorder="1" applyAlignment="1">
      <alignment horizontal="center" vertical="center" wrapText="1"/>
    </xf>
    <xf numFmtId="44" fontId="17" fillId="0" borderId="0" xfId="198" applyFont="1" applyFill="1" applyAlignment="1">
      <alignment vertical="center"/>
    </xf>
    <xf numFmtId="0" fontId="21" fillId="0" borderId="10" xfId="0" applyFont="1" applyBorder="1" applyAlignment="1">
      <alignment horizontal="center" vertical="center"/>
    </xf>
    <xf numFmtId="0" fontId="69" fillId="0" borderId="10" xfId="0" applyFont="1" applyBorder="1" applyAlignment="1">
      <alignment wrapText="1"/>
    </xf>
    <xf numFmtId="0" fontId="17" fillId="2" borderId="6" xfId="2" applyFill="1" applyBorder="1"/>
    <xf numFmtId="0" fontId="17" fillId="0" borderId="10" xfId="45" applyFont="1" applyBorder="1" applyAlignment="1">
      <alignment horizontal="center" wrapText="1"/>
    </xf>
    <xf numFmtId="0" fontId="71" fillId="0" borderId="10" xfId="397" applyFont="1" applyBorder="1" applyAlignment="1">
      <alignment horizontal="center" vertical="center" wrapText="1"/>
    </xf>
    <xf numFmtId="0" fontId="71" fillId="0" borderId="10" xfId="397" applyFont="1" applyBorder="1" applyAlignment="1">
      <alignment horizontal="center" vertical="center"/>
    </xf>
    <xf numFmtId="1" fontId="71" fillId="0" borderId="10" xfId="397" applyNumberFormat="1" applyFont="1" applyBorder="1" applyAlignment="1">
      <alignment horizontal="center" vertical="center"/>
    </xf>
    <xf numFmtId="0" fontId="73" fillId="0" borderId="10" xfId="397" applyFont="1" applyBorder="1" applyAlignment="1">
      <alignment horizontal="center" vertical="center"/>
    </xf>
    <xf numFmtId="0" fontId="71" fillId="0" borderId="10" xfId="397" applyFont="1" applyBorder="1" applyAlignment="1">
      <alignment horizontal="left" vertical="center" wrapText="1"/>
    </xf>
    <xf numFmtId="0" fontId="73" fillId="0" borderId="10" xfId="397" applyFont="1" applyBorder="1" applyAlignment="1">
      <alignment horizontal="left" vertical="center" wrapText="1"/>
    </xf>
    <xf numFmtId="44" fontId="17" fillId="4" borderId="5" xfId="198" applyFont="1" applyFill="1" applyBorder="1"/>
    <xf numFmtId="0" fontId="21" fillId="0" borderId="10" xfId="2" applyFont="1" applyBorder="1" applyAlignment="1">
      <alignment horizontal="left" wrapText="1"/>
    </xf>
    <xf numFmtId="0" fontId="17" fillId="0" borderId="0" xfId="2" applyAlignment="1">
      <alignment horizontal="center"/>
    </xf>
    <xf numFmtId="0" fontId="24" fillId="0" borderId="0" xfId="2" applyFont="1" applyAlignment="1">
      <alignment horizontal="center"/>
    </xf>
    <xf numFmtId="0" fontId="17" fillId="0" borderId="0" xfId="0" applyFont="1" applyAlignment="1">
      <alignment horizontal="center" wrapText="1"/>
    </xf>
    <xf numFmtId="0" fontId="69" fillId="0" borderId="0" xfId="0" applyFont="1" applyAlignment="1">
      <alignment horizontal="center" wrapText="1"/>
    </xf>
    <xf numFmtId="0" fontId="21" fillId="3" borderId="49" xfId="2" applyFont="1" applyFill="1" applyBorder="1" applyAlignment="1">
      <alignment horizontal="center" vertical="center"/>
    </xf>
    <xf numFmtId="0" fontId="21" fillId="3" borderId="57" xfId="2" applyFont="1" applyFill="1" applyBorder="1" applyAlignment="1">
      <alignment horizontal="center" vertical="center" wrapText="1"/>
    </xf>
    <xf numFmtId="171" fontId="21" fillId="3" borderId="53" xfId="2" applyNumberFormat="1" applyFont="1" applyFill="1" applyBorder="1" applyAlignment="1">
      <alignment horizontal="center" vertical="center"/>
    </xf>
    <xf numFmtId="189" fontId="21" fillId="3" borderId="53" xfId="2" applyNumberFormat="1" applyFont="1" applyFill="1" applyBorder="1" applyAlignment="1">
      <alignment horizontal="center" vertical="center"/>
    </xf>
    <xf numFmtId="0" fontId="21" fillId="0" borderId="10" xfId="2" applyFont="1" applyBorder="1" applyAlignment="1">
      <alignment vertical="center" wrapText="1"/>
    </xf>
    <xf numFmtId="0" fontId="21" fillId="2" borderId="6" xfId="0" applyFont="1" applyFill="1" applyBorder="1" applyAlignment="1">
      <alignment horizontal="center" vertical="center"/>
    </xf>
    <xf numFmtId="0" fontId="21" fillId="2" borderId="6" xfId="1" applyFont="1" applyFill="1" applyBorder="1" applyAlignment="1">
      <alignment horizontal="center" vertical="center" wrapText="1"/>
    </xf>
    <xf numFmtId="44" fontId="21" fillId="2" borderId="5" xfId="198" applyFont="1" applyFill="1" applyBorder="1" applyAlignment="1" applyProtection="1">
      <alignment horizontal="right" vertical="center"/>
    </xf>
    <xf numFmtId="0" fontId="68" fillId="0" borderId="0" xfId="0" applyFont="1" applyAlignment="1">
      <alignment vertical="center" wrapText="1"/>
    </xf>
    <xf numFmtId="0" fontId="8" fillId="0" borderId="57" xfId="228" applyBorder="1"/>
    <xf numFmtId="189" fontId="8" fillId="0" borderId="57" xfId="228" applyNumberFormat="1" applyBorder="1"/>
    <xf numFmtId="0" fontId="73" fillId="0" borderId="57" xfId="228" applyFont="1" applyBorder="1" applyAlignment="1">
      <alignment vertical="center"/>
    </xf>
    <xf numFmtId="190" fontId="80" fillId="0" borderId="57" xfId="228" applyNumberFormat="1" applyFont="1" applyBorder="1"/>
    <xf numFmtId="190" fontId="8" fillId="16" borderId="57" xfId="228" applyNumberFormat="1" applyFill="1" applyBorder="1"/>
    <xf numFmtId="0" fontId="0" fillId="0" borderId="57" xfId="0" applyBorder="1" applyAlignment="1">
      <alignment vertical="center"/>
    </xf>
    <xf numFmtId="0" fontId="0" fillId="0" borderId="0" xfId="0" applyAlignment="1">
      <alignment vertical="center"/>
    </xf>
    <xf numFmtId="190" fontId="80" fillId="16" borderId="0" xfId="228" applyNumberFormat="1" applyFont="1" applyFill="1"/>
    <xf numFmtId="0" fontId="8" fillId="0" borderId="57" xfId="228" applyBorder="1" applyAlignment="1">
      <alignment vertical="center" wrapText="1"/>
    </xf>
    <xf numFmtId="189" fontId="0" fillId="0" borderId="57" xfId="0" applyNumberFormat="1" applyBorder="1"/>
    <xf numFmtId="0" fontId="0" fillId="0" borderId="0" xfId="0" applyAlignment="1">
      <alignment vertical="center" wrapText="1"/>
    </xf>
    <xf numFmtId="0" fontId="0" fillId="0" borderId="0" xfId="0" applyAlignment="1">
      <alignment horizontal="center" wrapText="1"/>
    </xf>
    <xf numFmtId="189" fontId="21" fillId="3" borderId="50" xfId="2" applyNumberFormat="1" applyFont="1" applyFill="1" applyBorder="1" applyAlignment="1">
      <alignment horizontal="center" vertical="center"/>
    </xf>
    <xf numFmtId="0" fontId="0" fillId="0" borderId="0" xfId="0" applyAlignment="1">
      <alignment horizontal="center" vertical="center" wrapText="1"/>
    </xf>
    <xf numFmtId="190" fontId="80" fillId="16" borderId="57" xfId="228" applyNumberFormat="1" applyFont="1" applyFill="1" applyBorder="1"/>
    <xf numFmtId="173" fontId="21" fillId="3" borderId="0" xfId="2" applyNumberFormat="1" applyFont="1" applyFill="1" applyAlignment="1">
      <alignment horizontal="center" vertical="center"/>
    </xf>
    <xf numFmtId="168" fontId="17" fillId="0" borderId="0" xfId="1" applyNumberFormat="1" applyAlignment="1">
      <alignment horizontal="right" vertical="top"/>
    </xf>
    <xf numFmtId="49" fontId="73" fillId="0" borderId="0" xfId="0" applyNumberFormat="1" applyFont="1" applyAlignment="1">
      <alignment vertical="top" wrapText="1"/>
    </xf>
    <xf numFmtId="44" fontId="71" fillId="0" borderId="0" xfId="198" applyFont="1" applyBorder="1" applyAlignment="1" applyProtection="1">
      <alignment horizontal="right" vertical="top"/>
    </xf>
    <xf numFmtId="44" fontId="71" fillId="0" borderId="0" xfId="198" applyFont="1" applyBorder="1" applyAlignment="1" applyProtection="1">
      <alignment vertical="center"/>
    </xf>
    <xf numFmtId="4" fontId="17" fillId="0" borderId="0" xfId="1" applyNumberFormat="1" applyAlignment="1">
      <alignment vertical="top"/>
    </xf>
    <xf numFmtId="44" fontId="17" fillId="0" borderId="0" xfId="198" applyFont="1" applyBorder="1" applyAlignment="1" applyProtection="1"/>
    <xf numFmtId="44" fontId="17" fillId="0" borderId="0" xfId="198" applyFont="1" applyBorder="1" applyAlignment="1" applyProtection="1">
      <alignment vertical="center"/>
    </xf>
    <xf numFmtId="168" fontId="68" fillId="0" borderId="0" xfId="1" applyNumberFormat="1" applyFont="1" applyAlignment="1">
      <alignment horizontal="right" vertical="top"/>
    </xf>
    <xf numFmtId="168" fontId="71" fillId="0" borderId="0" xfId="1" applyNumberFormat="1" applyFont="1" applyAlignment="1">
      <alignment horizontal="right" vertical="top"/>
    </xf>
    <xf numFmtId="168" fontId="17" fillId="2" borderId="0" xfId="1" applyNumberFormat="1" applyFill="1" applyAlignment="1">
      <alignment horizontal="right" vertical="top"/>
    </xf>
    <xf numFmtId="44" fontId="21" fillId="2" borderId="0" xfId="198" applyFont="1" applyFill="1" applyBorder="1" applyAlignment="1" applyProtection="1">
      <alignment horizontal="right" vertical="top"/>
    </xf>
    <xf numFmtId="0" fontId="21" fillId="3" borderId="49" xfId="2" applyFont="1" applyFill="1" applyBorder="1" applyAlignment="1">
      <alignment horizontal="center" vertical="center" wrapText="1"/>
    </xf>
    <xf numFmtId="0" fontId="93" fillId="0" borderId="0" xfId="0" applyFont="1" applyAlignment="1">
      <alignment wrapText="1"/>
    </xf>
    <xf numFmtId="0" fontId="21" fillId="2" borderId="6" xfId="1" applyFont="1" applyFill="1" applyBorder="1" applyAlignment="1">
      <alignment horizontal="center" vertical="top"/>
    </xf>
    <xf numFmtId="0" fontId="21" fillId="2" borderId="6" xfId="1" applyFont="1" applyFill="1" applyBorder="1" applyAlignment="1">
      <alignment horizontal="center" vertical="top" wrapText="1"/>
    </xf>
    <xf numFmtId="1" fontId="21" fillId="2" borderId="6" xfId="1" applyNumberFormat="1" applyFont="1" applyFill="1" applyBorder="1" applyAlignment="1">
      <alignment horizontal="center" vertical="center"/>
    </xf>
    <xf numFmtId="189" fontId="21" fillId="2" borderId="6" xfId="1" applyNumberFormat="1" applyFont="1" applyFill="1" applyBorder="1" applyAlignment="1">
      <alignment horizontal="right" vertical="top"/>
    </xf>
    <xf numFmtId="173" fontId="21" fillId="3" borderId="50" xfId="2" applyNumberFormat="1" applyFont="1" applyFill="1" applyBorder="1" applyAlignment="1">
      <alignment horizontal="center" vertical="center"/>
    </xf>
    <xf numFmtId="0" fontId="73" fillId="3" borderId="57" xfId="2" applyFont="1" applyFill="1" applyBorder="1" applyAlignment="1">
      <alignment horizontal="center" vertical="center" wrapText="1"/>
    </xf>
    <xf numFmtId="1" fontId="73" fillId="3" borderId="57" xfId="2" applyNumberFormat="1" applyFont="1" applyFill="1" applyBorder="1" applyAlignment="1">
      <alignment horizontal="center" vertical="center" wrapText="1"/>
    </xf>
    <xf numFmtId="44" fontId="73" fillId="3" borderId="57" xfId="198" applyFont="1" applyFill="1" applyBorder="1" applyAlignment="1">
      <alignment horizontal="center" vertical="center" wrapText="1"/>
    </xf>
    <xf numFmtId="173" fontId="73" fillId="3" borderId="57" xfId="2" applyNumberFormat="1" applyFont="1" applyFill="1" applyBorder="1" applyAlignment="1">
      <alignment horizontal="center" vertical="center" wrapText="1"/>
    </xf>
    <xf numFmtId="2" fontId="21" fillId="0" borderId="10" xfId="45" applyNumberFormat="1" applyFont="1" applyBorder="1" applyAlignment="1">
      <alignment wrapText="1"/>
    </xf>
    <xf numFmtId="0" fontId="17" fillId="0" borderId="10" xfId="2" applyBorder="1" applyAlignment="1">
      <alignment horizontal="center" vertical="center" wrapText="1"/>
    </xf>
    <xf numFmtId="0" fontId="17" fillId="0" borderId="10" xfId="2" applyBorder="1"/>
    <xf numFmtId="0" fontId="17" fillId="2" borderId="54" xfId="1" applyFill="1" applyBorder="1" applyAlignment="1">
      <alignment horizontal="center" vertical="top"/>
    </xf>
    <xf numFmtId="0" fontId="71" fillId="2" borderId="54" xfId="1" applyFont="1" applyFill="1" applyBorder="1" applyAlignment="1">
      <alignment horizontal="center" vertical="center"/>
    </xf>
    <xf numFmtId="1" fontId="71" fillId="2" borderId="54" xfId="1" applyNumberFormat="1" applyFont="1" applyFill="1" applyBorder="1" applyAlignment="1">
      <alignment horizontal="center" vertical="center"/>
    </xf>
    <xf numFmtId="0" fontId="73" fillId="2" borderId="6" xfId="1" applyFont="1" applyFill="1" applyBorder="1" applyAlignment="1">
      <alignment horizontal="center" vertical="center"/>
    </xf>
    <xf numFmtId="1" fontId="73" fillId="2" borderId="6" xfId="1" applyNumberFormat="1" applyFont="1" applyFill="1" applyBorder="1" applyAlignment="1">
      <alignment horizontal="center" vertical="center"/>
    </xf>
    <xf numFmtId="44" fontId="17" fillId="0" borderId="10" xfId="198" applyFont="1" applyBorder="1" applyAlignment="1" applyProtection="1">
      <alignment vertical="center"/>
    </xf>
    <xf numFmtId="0" fontId="71" fillId="0" borderId="0" xfId="276" applyFont="1" applyAlignment="1">
      <alignment vertical="center"/>
    </xf>
    <xf numFmtId="44" fontId="17" fillId="0" borderId="0" xfId="0" applyNumberFormat="1" applyFont="1"/>
    <xf numFmtId="44" fontId="17" fillId="0" borderId="0" xfId="198" applyFont="1" applyFill="1" applyBorder="1" applyAlignment="1" applyProtection="1">
      <alignment vertical="center"/>
    </xf>
    <xf numFmtId="44" fontId="17" fillId="0" borderId="0" xfId="198" applyFont="1" applyFill="1" applyBorder="1" applyAlignment="1" applyProtection="1">
      <alignment horizontal="right" vertical="top"/>
    </xf>
    <xf numFmtId="1" fontId="40" fillId="0" borderId="10" xfId="19" applyNumberFormat="1" applyFont="1" applyFill="1" applyBorder="1" applyAlignment="1">
      <alignment horizontal="center" vertical="center"/>
    </xf>
    <xf numFmtId="0" fontId="40" fillId="0" borderId="0" xfId="0" applyFont="1" applyAlignment="1">
      <alignment vertical="center" wrapText="1"/>
    </xf>
    <xf numFmtId="0" fontId="24" fillId="0" borderId="0" xfId="2" applyFont="1" applyAlignment="1">
      <alignment vertical="center"/>
    </xf>
    <xf numFmtId="0" fontId="17" fillId="2" borderId="6" xfId="2" applyFill="1" applyBorder="1" applyAlignment="1">
      <alignment vertical="center"/>
    </xf>
    <xf numFmtId="0" fontId="39" fillId="0" borderId="10" xfId="0" applyFont="1" applyBorder="1" applyAlignment="1">
      <alignment horizontal="center" vertical="center"/>
    </xf>
    <xf numFmtId="0" fontId="39" fillId="0" borderId="10" xfId="0" applyFont="1" applyBorder="1" applyAlignment="1">
      <alignment horizontal="center" vertical="center" wrapText="1"/>
    </xf>
    <xf numFmtId="44" fontId="40" fillId="0" borderId="10" xfId="198" applyFont="1" applyFill="1" applyBorder="1" applyAlignment="1">
      <alignment horizontal="right" vertical="center" wrapText="1"/>
    </xf>
    <xf numFmtId="0" fontId="41" fillId="0" borderId="10" xfId="0" applyFont="1" applyBorder="1" applyAlignment="1">
      <alignment vertical="center" wrapText="1"/>
    </xf>
    <xf numFmtId="0" fontId="17" fillId="0" borderId="10" xfId="45" applyFont="1" applyBorder="1" applyAlignment="1">
      <alignment horizontal="center" vertical="center" wrapText="1"/>
    </xf>
    <xf numFmtId="2" fontId="21" fillId="0" borderId="10" xfId="45" applyNumberFormat="1" applyFont="1" applyBorder="1" applyAlignment="1">
      <alignment horizontal="left" vertical="center" wrapText="1"/>
    </xf>
    <xf numFmtId="2" fontId="17" fillId="0" borderId="10" xfId="45" applyNumberFormat="1" applyFont="1" applyBorder="1" applyAlignment="1">
      <alignment horizontal="center" vertical="center" wrapText="1"/>
    </xf>
    <xf numFmtId="0" fontId="17" fillId="2" borderId="54" xfId="1" applyFill="1" applyBorder="1" applyAlignment="1">
      <alignment horizontal="center" vertical="center" wrapText="1"/>
    </xf>
    <xf numFmtId="171" fontId="17" fillId="2" borderId="54" xfId="1" applyNumberFormat="1" applyFill="1" applyBorder="1" applyAlignment="1">
      <alignment horizontal="center" vertical="center"/>
    </xf>
    <xf numFmtId="44" fontId="21" fillId="3" borderId="50" xfId="198" applyFont="1" applyFill="1" applyBorder="1" applyAlignment="1">
      <alignment horizontal="center" vertical="center"/>
    </xf>
    <xf numFmtId="44" fontId="17" fillId="0" borderId="0" xfId="2" applyNumberFormat="1"/>
    <xf numFmtId="44" fontId="21" fillId="2" borderId="6" xfId="198" applyFont="1" applyFill="1" applyBorder="1" applyAlignment="1" applyProtection="1">
      <alignment horizontal="center" vertical="center" wrapText="1"/>
    </xf>
    <xf numFmtId="172" fontId="74" fillId="0" borderId="10" xfId="35" applyFont="1" applyBorder="1" applyAlignment="1">
      <alignment horizontal="center" vertical="top"/>
    </xf>
    <xf numFmtId="172" fontId="74" fillId="0" borderId="10" xfId="35" applyFont="1" applyBorder="1" applyAlignment="1">
      <alignment vertical="top" wrapText="1"/>
    </xf>
    <xf numFmtId="172" fontId="73" fillId="0" borderId="10" xfId="47" applyFont="1" applyBorder="1" applyAlignment="1">
      <alignment vertical="top" wrapText="1"/>
    </xf>
    <xf numFmtId="172" fontId="73" fillId="0" borderId="10" xfId="35" applyFont="1" applyBorder="1" applyAlignment="1">
      <alignment vertical="top" wrapText="1"/>
    </xf>
    <xf numFmtId="0" fontId="21" fillId="0" borderId="10" xfId="45" applyFont="1" applyBorder="1" applyAlignment="1">
      <alignment horizontal="center" vertical="center" wrapText="1"/>
    </xf>
    <xf numFmtId="0" fontId="21" fillId="0" borderId="10" xfId="0" applyFont="1" applyBorder="1" applyAlignment="1">
      <alignment horizontal="left" vertical="center" wrapText="1"/>
    </xf>
    <xf numFmtId="0" fontId="17" fillId="0" borderId="10" xfId="0" applyFont="1" applyBorder="1" applyAlignment="1">
      <alignment horizontal="center" wrapText="1"/>
    </xf>
    <xf numFmtId="0" fontId="17" fillId="0" borderId="10" xfId="0" applyFont="1" applyBorder="1" applyAlignment="1">
      <alignment horizontal="left" wrapText="1"/>
    </xf>
    <xf numFmtId="39" fontId="17" fillId="0" borderId="10" xfId="1" applyNumberFormat="1" applyBorder="1" applyAlignment="1">
      <alignment horizontal="center"/>
    </xf>
    <xf numFmtId="171" fontId="17" fillId="0" borderId="10" xfId="1" applyNumberFormat="1" applyBorder="1" applyAlignment="1">
      <alignment horizontal="center"/>
    </xf>
    <xf numFmtId="0" fontId="21" fillId="0" borderId="10" xfId="0" applyFont="1" applyBorder="1" applyAlignment="1">
      <alignment horizontal="left" wrapText="1"/>
    </xf>
    <xf numFmtId="172" fontId="17" fillId="0" borderId="10" xfId="35" applyFont="1" applyBorder="1" applyAlignment="1">
      <alignment horizontal="center"/>
    </xf>
    <xf numFmtId="0" fontId="42" fillId="0" borderId="10" xfId="1" applyFont="1" applyBorder="1" applyAlignment="1">
      <alignment horizontal="left" vertical="top" wrapText="1"/>
    </xf>
    <xf numFmtId="49" fontId="21" fillId="0" borderId="10" xfId="2" applyNumberFormat="1" applyFont="1" applyBorder="1" applyAlignment="1">
      <alignment horizontal="center"/>
    </xf>
    <xf numFmtId="0" fontId="21" fillId="0" borderId="10" xfId="2" applyFont="1" applyBorder="1" applyAlignment="1">
      <alignment horizontal="center" wrapText="1"/>
    </xf>
    <xf numFmtId="0" fontId="21" fillId="0" borderId="10" xfId="2" applyFont="1" applyBorder="1" applyAlignment="1">
      <alignment vertical="center"/>
    </xf>
    <xf numFmtId="49" fontId="17" fillId="0" borderId="10" xfId="2" applyNumberFormat="1" applyBorder="1" applyAlignment="1">
      <alignment horizontal="center"/>
    </xf>
    <xf numFmtId="0" fontId="68" fillId="0" borderId="10" xfId="0" applyFont="1" applyBorder="1"/>
    <xf numFmtId="0" fontId="71" fillId="0" borderId="10" xfId="0" applyFont="1" applyBorder="1"/>
    <xf numFmtId="0" fontId="71" fillId="0" borderId="10" xfId="0" applyFont="1" applyBorder="1" applyAlignment="1">
      <alignment horizontal="center" vertical="center"/>
    </xf>
    <xf numFmtId="49" fontId="71" fillId="0" borderId="10" xfId="2" applyNumberFormat="1" applyFont="1" applyBorder="1" applyAlignment="1">
      <alignment horizontal="center"/>
    </xf>
    <xf numFmtId="0" fontId="68" fillId="0" borderId="10" xfId="0" applyFont="1" applyBorder="1" applyAlignment="1">
      <alignment horizontal="center" vertical="center"/>
    </xf>
    <xf numFmtId="0" fontId="21" fillId="0" borderId="10" xfId="2" applyFont="1" applyBorder="1" applyAlignment="1">
      <alignment horizontal="left" vertical="center" wrapText="1"/>
    </xf>
    <xf numFmtId="0" fontId="17" fillId="0" borderId="10" xfId="2" applyBorder="1" applyAlignment="1">
      <alignment horizontal="center" wrapText="1"/>
    </xf>
    <xf numFmtId="0" fontId="88" fillId="0" borderId="10" xfId="2" applyFont="1" applyBorder="1" applyAlignment="1">
      <alignment horizontal="center" vertical="center"/>
    </xf>
    <xf numFmtId="0" fontId="21" fillId="0" borderId="10" xfId="2" applyFont="1" applyBorder="1"/>
    <xf numFmtId="0" fontId="21" fillId="0" borderId="10" xfId="2" applyFont="1" applyBorder="1" applyAlignment="1">
      <alignment horizontal="left" vertical="top" wrapText="1"/>
    </xf>
    <xf numFmtId="0" fontId="73" fillId="0" borderId="10" xfId="2" applyFont="1" applyBorder="1" applyAlignment="1">
      <alignment wrapText="1"/>
    </xf>
    <xf numFmtId="0" fontId="73" fillId="0" borderId="10" xfId="2" applyFont="1" applyBorder="1" applyAlignment="1">
      <alignment vertical="top" wrapText="1"/>
    </xf>
    <xf numFmtId="191" fontId="71" fillId="0" borderId="10" xfId="2" applyNumberFormat="1" applyFont="1" applyBorder="1" applyAlignment="1">
      <alignment horizontal="center" vertical="center"/>
    </xf>
    <xf numFmtId="0" fontId="87" fillId="0" borderId="10" xfId="2" applyFont="1" applyBorder="1" applyAlignment="1">
      <alignment horizontal="right"/>
    </xf>
    <xf numFmtId="2" fontId="71" fillId="0" borderId="10" xfId="2" applyNumberFormat="1" applyFont="1" applyBorder="1" applyAlignment="1">
      <alignment horizontal="center" vertical="center"/>
    </xf>
    <xf numFmtId="172" fontId="21" fillId="0" borderId="10" xfId="35" applyFont="1" applyBorder="1" applyAlignment="1">
      <alignment vertical="center" wrapText="1"/>
    </xf>
    <xf numFmtId="172" fontId="71" fillId="0" borderId="10" xfId="47" applyFont="1" applyBorder="1" applyAlignment="1">
      <alignment vertical="center" wrapText="1"/>
    </xf>
    <xf numFmtId="172" fontId="71" fillId="0" borderId="10" xfId="47" applyFont="1" applyBorder="1" applyAlignment="1">
      <alignment vertical="top" wrapText="1"/>
    </xf>
    <xf numFmtId="0" fontId="17" fillId="2" borderId="54" xfId="1" applyFill="1" applyBorder="1" applyAlignment="1">
      <alignment vertical="center" wrapText="1"/>
    </xf>
    <xf numFmtId="44" fontId="17" fillId="2" borderId="54" xfId="198" applyFont="1" applyFill="1" applyBorder="1" applyAlignment="1">
      <alignment horizontal="right" vertical="center"/>
    </xf>
    <xf numFmtId="44" fontId="21" fillId="2" borderId="6" xfId="198" applyFont="1" applyFill="1" applyBorder="1" applyAlignment="1">
      <alignment horizontal="right" vertical="center"/>
    </xf>
    <xf numFmtId="49" fontId="17" fillId="2" borderId="6" xfId="0" applyNumberFormat="1" applyFont="1" applyFill="1" applyBorder="1" applyAlignment="1">
      <alignment horizontal="center" vertical="center"/>
    </xf>
    <xf numFmtId="44" fontId="21" fillId="2" borderId="5" xfId="198" applyFont="1" applyFill="1" applyBorder="1" applyAlignment="1" applyProtection="1">
      <alignment horizontal="right" vertical="top"/>
    </xf>
    <xf numFmtId="1" fontId="21" fillId="3" borderId="53" xfId="2" applyNumberFormat="1" applyFont="1" applyFill="1" applyBorder="1" applyAlignment="1">
      <alignment horizontal="center" vertical="center" wrapText="1"/>
    </xf>
    <xf numFmtId="44" fontId="21" fillId="3" borderId="53" xfId="198" applyFont="1" applyFill="1" applyBorder="1" applyAlignment="1">
      <alignment horizontal="center" vertical="center" wrapText="1"/>
    </xf>
    <xf numFmtId="44" fontId="21" fillId="3" borderId="50" xfId="198" applyFont="1" applyFill="1" applyBorder="1" applyAlignment="1">
      <alignment horizontal="center" vertical="center" wrapText="1"/>
    </xf>
    <xf numFmtId="1" fontId="71" fillId="0" borderId="10" xfId="2" applyNumberFormat="1" applyFont="1" applyBorder="1" applyAlignment="1">
      <alignment horizontal="center" vertical="center" wrapText="1"/>
    </xf>
    <xf numFmtId="0" fontId="73" fillId="0" borderId="10" xfId="87" applyFont="1" applyBorder="1" applyAlignment="1">
      <alignment horizontal="center" vertical="center"/>
    </xf>
    <xf numFmtId="0" fontId="73" fillId="0" borderId="10" xfId="1" applyFont="1" applyBorder="1" applyAlignment="1">
      <alignment horizontal="center" vertical="center"/>
    </xf>
    <xf numFmtId="0" fontId="71" fillId="0" borderId="10" xfId="29" applyFont="1" applyBorder="1" applyAlignment="1">
      <alignment horizontal="center" vertical="center"/>
    </xf>
    <xf numFmtId="0" fontId="73" fillId="0" borderId="10" xfId="29" applyFont="1" applyBorder="1" applyAlignment="1">
      <alignment horizontal="center" vertical="center" wrapText="1"/>
    </xf>
    <xf numFmtId="193" fontId="73" fillId="0" borderId="10" xfId="1" applyNumberFormat="1" applyFont="1" applyBorder="1" applyAlignment="1">
      <alignment horizontal="center" vertical="center"/>
    </xf>
    <xf numFmtId="44" fontId="73" fillId="0" borderId="10" xfId="277" applyFont="1" applyBorder="1" applyAlignment="1">
      <alignment horizontal="right" vertical="center"/>
    </xf>
    <xf numFmtId="0" fontId="17" fillId="12" borderId="0" xfId="0" applyFont="1" applyFill="1"/>
    <xf numFmtId="193" fontId="71" fillId="0" borderId="10" xfId="29" applyNumberFormat="1" applyFont="1" applyBorder="1" applyAlignment="1">
      <alignment horizontal="center" vertical="center"/>
    </xf>
    <xf numFmtId="44" fontId="71" fillId="0" borderId="10" xfId="277" applyFont="1" applyBorder="1" applyAlignment="1">
      <alignment horizontal="right" vertical="center"/>
    </xf>
    <xf numFmtId="0" fontId="73" fillId="2" borderId="6" xfId="29" applyFont="1" applyFill="1" applyBorder="1" applyAlignment="1">
      <alignment vertical="center"/>
    </xf>
    <xf numFmtId="171" fontId="71" fillId="0" borderId="10" xfId="29" applyNumberFormat="1" applyFont="1" applyBorder="1" applyAlignment="1">
      <alignment horizontal="center" vertical="center"/>
    </xf>
    <xf numFmtId="1" fontId="17" fillId="0" borderId="10" xfId="45" applyNumberFormat="1" applyFont="1" applyBorder="1" applyAlignment="1">
      <alignment horizontal="center" vertical="center" wrapText="1"/>
    </xf>
    <xf numFmtId="0" fontId="71" fillId="0" borderId="10" xfId="2" applyFont="1" applyBorder="1" applyAlignment="1">
      <alignment horizontal="left" vertical="center" wrapText="1"/>
    </xf>
    <xf numFmtId="49" fontId="17" fillId="0" borderId="59" xfId="45" applyNumberFormat="1" applyFont="1" applyBorder="1" applyAlignment="1">
      <alignment horizontal="center" vertical="center" wrapText="1"/>
    </xf>
    <xf numFmtId="44" fontId="17" fillId="0" borderId="0" xfId="198" applyFont="1" applyAlignment="1">
      <alignment horizontal="center" vertical="center"/>
    </xf>
    <xf numFmtId="0" fontId="77" fillId="14" borderId="57" xfId="228" applyFont="1" applyFill="1" applyBorder="1"/>
    <xf numFmtId="189" fontId="77" fillId="14" borderId="57" xfId="228" applyNumberFormat="1" applyFont="1" applyFill="1" applyBorder="1"/>
    <xf numFmtId="0" fontId="71" fillId="0" borderId="57" xfId="228" applyFont="1" applyBorder="1"/>
    <xf numFmtId="0" fontId="17" fillId="0" borderId="57" xfId="228" applyFont="1" applyBorder="1" applyAlignment="1">
      <alignment vertical="center"/>
    </xf>
    <xf numFmtId="2" fontId="80" fillId="16" borderId="57" xfId="228" applyNumberFormat="1" applyFont="1" applyFill="1" applyBorder="1"/>
    <xf numFmtId="0" fontId="71" fillId="0" borderId="57" xfId="228" applyFont="1" applyBorder="1" applyAlignment="1">
      <alignment horizontal="left" indent="4"/>
    </xf>
    <xf numFmtId="0" fontId="71" fillId="0" borderId="57" xfId="228" applyFont="1" applyBorder="1" applyAlignment="1">
      <alignment horizontal="left"/>
    </xf>
    <xf numFmtId="0" fontId="80" fillId="16" borderId="57" xfId="228" applyFont="1" applyFill="1" applyBorder="1"/>
    <xf numFmtId="9" fontId="80" fillId="16" borderId="57" xfId="228" applyNumberFormat="1" applyFont="1" applyFill="1" applyBorder="1"/>
    <xf numFmtId="166" fontId="8" fillId="0" borderId="57" xfId="228" applyNumberFormat="1" applyBorder="1"/>
    <xf numFmtId="190" fontId="82" fillId="16" borderId="57" xfId="228" applyNumberFormat="1" applyFont="1" applyFill="1" applyBorder="1"/>
    <xf numFmtId="0" fontId="73" fillId="0" borderId="57" xfId="228" applyFont="1" applyBorder="1"/>
    <xf numFmtId="9" fontId="83" fillId="0" borderId="57" xfId="228" applyNumberFormat="1" applyFont="1" applyBorder="1"/>
    <xf numFmtId="0" fontId="71" fillId="0" borderId="57" xfId="228" applyFont="1" applyBorder="1" applyAlignment="1">
      <alignment horizontal="left" indent="1"/>
    </xf>
    <xf numFmtId="9" fontId="0" fillId="0" borderId="57" xfId="243" applyFont="1" applyBorder="1"/>
    <xf numFmtId="0" fontId="21" fillId="0" borderId="57" xfId="228" applyFont="1" applyBorder="1" applyAlignment="1">
      <alignment vertical="center"/>
    </xf>
    <xf numFmtId="0" fontId="17" fillId="0" borderId="57" xfId="228" applyFont="1" applyBorder="1"/>
    <xf numFmtId="190" fontId="80" fillId="17" borderId="57" xfId="228" applyNumberFormat="1" applyFont="1" applyFill="1" applyBorder="1"/>
    <xf numFmtId="0" fontId="71" fillId="0" borderId="57" xfId="228" applyFont="1" applyBorder="1" applyAlignment="1">
      <alignment vertical="center"/>
    </xf>
    <xf numFmtId="0" fontId="80" fillId="0" borderId="57" xfId="228" applyFont="1" applyBorder="1"/>
    <xf numFmtId="190" fontId="8" fillId="0" borderId="57" xfId="228" applyNumberFormat="1" applyBorder="1"/>
    <xf numFmtId="0" fontId="8" fillId="0" borderId="57" xfId="228" applyBorder="1" applyAlignment="1">
      <alignment vertical="center"/>
    </xf>
    <xf numFmtId="0" fontId="77" fillId="0" borderId="57" xfId="228" applyFont="1" applyBorder="1"/>
    <xf numFmtId="190" fontId="71" fillId="16" borderId="57" xfId="228" applyNumberFormat="1" applyFont="1" applyFill="1" applyBorder="1"/>
    <xf numFmtId="0" fontId="17" fillId="0" borderId="57" xfId="221" applyBorder="1" applyAlignment="1">
      <alignment horizontal="left" vertical="top" wrapText="1"/>
    </xf>
    <xf numFmtId="190" fontId="0" fillId="18" borderId="57" xfId="220" applyNumberFormat="1" applyFont="1" applyFill="1" applyBorder="1"/>
    <xf numFmtId="16" fontId="8" fillId="0" borderId="57" xfId="228" quotePrefix="1" applyNumberFormat="1" applyBorder="1"/>
    <xf numFmtId="0" fontId="8" fillId="0" borderId="57" xfId="228" quotePrefix="1" applyBorder="1"/>
    <xf numFmtId="0" fontId="77" fillId="14" borderId="57" xfId="0" applyFont="1" applyFill="1" applyBorder="1"/>
    <xf numFmtId="189" fontId="77" fillId="14" borderId="57" xfId="0" applyNumberFormat="1" applyFont="1" applyFill="1" applyBorder="1"/>
    <xf numFmtId="0" fontId="0" fillId="0" borderId="57" xfId="0" applyBorder="1"/>
    <xf numFmtId="0" fontId="71" fillId="0" borderId="57" xfId="0" applyFont="1" applyBorder="1"/>
    <xf numFmtId="190" fontId="80" fillId="16" borderId="57" xfId="0" applyNumberFormat="1" applyFont="1" applyFill="1" applyBorder="1"/>
    <xf numFmtId="0" fontId="17" fillId="0" borderId="57" xfId="0" applyFont="1" applyBorder="1" applyAlignment="1">
      <alignment vertical="center"/>
    </xf>
    <xf numFmtId="2" fontId="80" fillId="16" borderId="57" xfId="0" applyNumberFormat="1" applyFont="1" applyFill="1" applyBorder="1"/>
    <xf numFmtId="190" fontId="80" fillId="0" borderId="57" xfId="0" applyNumberFormat="1" applyFont="1" applyBorder="1"/>
    <xf numFmtId="0" fontId="71" fillId="0" borderId="57" xfId="0" applyFont="1" applyBorder="1" applyAlignment="1">
      <alignment horizontal="left" indent="4"/>
    </xf>
    <xf numFmtId="0" fontId="71" fillId="0" borderId="57" xfId="0" applyFont="1" applyBorder="1" applyAlignment="1">
      <alignment horizontal="left"/>
    </xf>
    <xf numFmtId="0" fontId="80" fillId="16" borderId="57" xfId="0" applyFont="1" applyFill="1" applyBorder="1"/>
    <xf numFmtId="9" fontId="80" fillId="16" borderId="57" xfId="0" applyNumberFormat="1" applyFont="1" applyFill="1" applyBorder="1"/>
    <xf numFmtId="0" fontId="73" fillId="0" borderId="57" xfId="0" applyFont="1" applyBorder="1" applyAlignment="1">
      <alignment vertical="center"/>
    </xf>
    <xf numFmtId="166" fontId="0" fillId="0" borderId="57" xfId="0" applyNumberFormat="1" applyBorder="1"/>
    <xf numFmtId="190" fontId="82" fillId="16" borderId="57" xfId="0" applyNumberFormat="1" applyFont="1" applyFill="1" applyBorder="1"/>
    <xf numFmtId="0" fontId="73" fillId="0" borderId="57" xfId="0" applyFont="1" applyBorder="1"/>
    <xf numFmtId="9" fontId="83" fillId="0" borderId="57" xfId="0" applyNumberFormat="1" applyFont="1" applyBorder="1"/>
    <xf numFmtId="0" fontId="71" fillId="0" borderId="57" xfId="0" applyFont="1" applyBorder="1" applyAlignment="1">
      <alignment horizontal="left" indent="1"/>
    </xf>
    <xf numFmtId="9" fontId="0" fillId="0" borderId="57" xfId="199" applyFont="1" applyBorder="1"/>
    <xf numFmtId="0" fontId="21" fillId="0" borderId="57" xfId="0" applyFont="1" applyBorder="1" applyAlignment="1">
      <alignment vertical="center"/>
    </xf>
    <xf numFmtId="0" fontId="17" fillId="0" borderId="57" xfId="0" applyFont="1" applyBorder="1"/>
    <xf numFmtId="190" fontId="80" fillId="17" borderId="57" xfId="0" applyNumberFormat="1" applyFont="1" applyFill="1" applyBorder="1"/>
    <xf numFmtId="0" fontId="71" fillId="0" borderId="57" xfId="0" applyFont="1" applyBorder="1" applyAlignment="1">
      <alignment vertical="center"/>
    </xf>
    <xf numFmtId="0" fontId="80" fillId="0" borderId="57" xfId="0" applyFont="1" applyBorder="1"/>
    <xf numFmtId="190" fontId="0" fillId="16" borderId="57" xfId="0" applyNumberFormat="1" applyFill="1" applyBorder="1"/>
    <xf numFmtId="190" fontId="0" fillId="0" borderId="57" xfId="0" applyNumberFormat="1" applyBorder="1"/>
    <xf numFmtId="0" fontId="77" fillId="0" borderId="57" xfId="0" applyFont="1" applyBorder="1"/>
    <xf numFmtId="190" fontId="71" fillId="16" borderId="57" xfId="0" applyNumberFormat="1" applyFont="1" applyFill="1" applyBorder="1"/>
    <xf numFmtId="1" fontId="17" fillId="0" borderId="10" xfId="2" applyNumberFormat="1" applyBorder="1" applyAlignment="1">
      <alignment horizontal="center" vertical="center" wrapText="1"/>
    </xf>
    <xf numFmtId="1" fontId="68" fillId="0" borderId="10" xfId="1" applyNumberFormat="1" applyFont="1" applyBorder="1" applyAlignment="1">
      <alignment horizontal="center" vertical="center"/>
    </xf>
    <xf numFmtId="0" fontId="71" fillId="0" borderId="10" xfId="1" applyFont="1" applyBorder="1" applyAlignment="1">
      <alignment horizontal="left" vertical="top" wrapText="1"/>
    </xf>
    <xf numFmtId="0" fontId="68" fillId="0" borderId="10" xfId="1" applyFont="1" applyBorder="1" applyAlignment="1">
      <alignment vertical="top" wrapText="1"/>
    </xf>
    <xf numFmtId="0" fontId="68" fillId="0" borderId="10" xfId="1" applyFont="1" applyBorder="1" applyAlignment="1">
      <alignment horizontal="center" vertical="center"/>
    </xf>
    <xf numFmtId="0" fontId="73" fillId="0" borderId="10" xfId="1" applyFont="1" applyBorder="1" applyAlignment="1">
      <alignment vertical="top" wrapText="1"/>
    </xf>
    <xf numFmtId="0" fontId="89" fillId="0" borderId="10" xfId="1" applyFont="1" applyBorder="1" applyAlignment="1">
      <alignment horizontal="center" vertical="center"/>
    </xf>
    <xf numFmtId="1" fontId="89" fillId="0" borderId="10" xfId="1" applyNumberFormat="1" applyFont="1" applyBorder="1" applyAlignment="1">
      <alignment horizontal="center" vertical="center"/>
    </xf>
    <xf numFmtId="0" fontId="68" fillId="0" borderId="10" xfId="1" applyFont="1" applyBorder="1" applyAlignment="1">
      <alignment horizontal="center" vertical="top"/>
    </xf>
    <xf numFmtId="178" fontId="71" fillId="0" borderId="10" xfId="2" applyNumberFormat="1" applyFont="1" applyBorder="1" applyAlignment="1">
      <alignment horizontal="center" vertical="top"/>
    </xf>
    <xf numFmtId="0" fontId="73" fillId="0" borderId="10" xfId="2" applyFont="1" applyBorder="1" applyAlignment="1">
      <alignment vertical="center" wrapText="1"/>
    </xf>
    <xf numFmtId="0" fontId="17" fillId="0" borderId="10" xfId="329" applyBorder="1" applyAlignment="1">
      <alignment horizontal="center" vertical="top"/>
    </xf>
    <xf numFmtId="0" fontId="21" fillId="0" borderId="10" xfId="329" applyFont="1" applyBorder="1" applyAlignment="1">
      <alignment vertical="top" wrapText="1"/>
    </xf>
    <xf numFmtId="0" fontId="17" fillId="0" borderId="10" xfId="329" applyBorder="1" applyAlignment="1">
      <alignment vertical="center"/>
    </xf>
    <xf numFmtId="0" fontId="17" fillId="0" borderId="10" xfId="329" applyBorder="1" applyAlignment="1">
      <alignment vertical="top" wrapText="1"/>
    </xf>
    <xf numFmtId="172" fontId="17" fillId="0" borderId="10" xfId="47" applyFont="1" applyBorder="1" applyAlignment="1">
      <alignment vertical="top" wrapText="1"/>
    </xf>
    <xf numFmtId="0" fontId="17" fillId="0" borderId="10" xfId="2" applyBorder="1" applyAlignment="1">
      <alignment vertical="top" wrapText="1"/>
    </xf>
    <xf numFmtId="0" fontId="73" fillId="0" borderId="10" xfId="2" applyFont="1" applyBorder="1" applyAlignment="1">
      <alignment horizontal="center" vertical="center" wrapText="1"/>
    </xf>
    <xf numFmtId="44" fontId="17" fillId="0" borderId="60" xfId="0" applyNumberFormat="1" applyFont="1" applyBorder="1"/>
    <xf numFmtId="169" fontId="17" fillId="0" borderId="60" xfId="0" applyNumberFormat="1" applyFont="1" applyBorder="1" applyAlignment="1">
      <alignment horizontal="right" vertical="center" wrapText="1"/>
    </xf>
    <xf numFmtId="39" fontId="71" fillId="0" borderId="10" xfId="1" applyNumberFormat="1" applyFont="1" applyBorder="1" applyAlignment="1">
      <alignment horizontal="center" vertical="center"/>
    </xf>
    <xf numFmtId="1" fontId="17" fillId="0" borderId="10" xfId="0" applyNumberFormat="1" applyFont="1" applyBorder="1" applyAlignment="1">
      <alignment horizontal="center" vertical="center"/>
    </xf>
    <xf numFmtId="178" fontId="71" fillId="0" borderId="10" xfId="2" applyNumberFormat="1" applyFont="1" applyBorder="1" applyAlignment="1">
      <alignment horizontal="center" vertical="center"/>
    </xf>
    <xf numFmtId="189" fontId="71" fillId="0" borderId="10" xfId="2" applyNumberFormat="1" applyFont="1" applyBorder="1" applyAlignment="1">
      <alignment horizontal="center" vertical="center"/>
    </xf>
    <xf numFmtId="39" fontId="71" fillId="0" borderId="10" xfId="0" applyNumberFormat="1" applyFont="1" applyBorder="1" applyAlignment="1">
      <alignment vertical="center"/>
    </xf>
    <xf numFmtId="168" fontId="17" fillId="0" borderId="10" xfId="1" applyNumberFormat="1" applyBorder="1" applyAlignment="1">
      <alignment horizontal="center" vertical="center"/>
    </xf>
    <xf numFmtId="0" fontId="91" fillId="0" borderId="10" xfId="2" applyFont="1" applyBorder="1" applyAlignment="1">
      <alignment horizontal="center"/>
    </xf>
    <xf numFmtId="0" fontId="42" fillId="0" borderId="10" xfId="0" applyFont="1" applyBorder="1" applyAlignment="1">
      <alignment horizontal="left" vertical="center" wrapText="1"/>
    </xf>
    <xf numFmtId="0" fontId="21" fillId="0" borderId="10" xfId="29" applyFont="1" applyBorder="1" applyAlignment="1">
      <alignment horizontal="center" wrapText="1"/>
    </xf>
    <xf numFmtId="0" fontId="73" fillId="0" borderId="10" xfId="29" applyFont="1" applyBorder="1" applyAlignment="1">
      <alignment vertical="center" wrapText="1"/>
    </xf>
    <xf numFmtId="193" fontId="71" fillId="0" borderId="10" xfId="1" applyNumberFormat="1" applyFont="1" applyBorder="1" applyAlignment="1">
      <alignment horizontal="center" vertical="center"/>
    </xf>
    <xf numFmtId="191" fontId="71" fillId="0" borderId="10" xfId="1" applyNumberFormat="1" applyFont="1" applyBorder="1" applyAlignment="1">
      <alignment horizontal="center" vertical="center"/>
    </xf>
    <xf numFmtId="171" fontId="71" fillId="0" borderId="10" xfId="1" applyNumberFormat="1" applyFont="1" applyBorder="1" applyAlignment="1">
      <alignment horizontal="center" vertical="center"/>
    </xf>
    <xf numFmtId="49" fontId="17" fillId="0" borderId="10" xfId="29" applyNumberFormat="1" applyBorder="1" applyAlignment="1">
      <alignment horizontal="center" vertical="center" wrapText="1"/>
    </xf>
    <xf numFmtId="0" fontId="73" fillId="0" borderId="10" xfId="29" applyFont="1" applyBorder="1" applyAlignment="1">
      <alignment horizontal="left" vertical="top" wrapText="1"/>
    </xf>
    <xf numFmtId="49" fontId="17" fillId="0" borderId="10" xfId="29" applyNumberFormat="1" applyBorder="1" applyAlignment="1">
      <alignment horizontal="center" vertical="center"/>
    </xf>
    <xf numFmtId="0" fontId="71" fillId="0" borderId="10" xfId="29" applyFont="1" applyBorder="1"/>
    <xf numFmtId="0" fontId="21" fillId="3" borderId="57" xfId="2" applyFont="1" applyFill="1" applyBorder="1" applyAlignment="1">
      <alignment horizontal="center" vertical="center"/>
    </xf>
    <xf numFmtId="1" fontId="21" fillId="3" borderId="57" xfId="2" applyNumberFormat="1" applyFont="1" applyFill="1" applyBorder="1" applyAlignment="1">
      <alignment horizontal="center" vertical="center"/>
    </xf>
    <xf numFmtId="44" fontId="21" fillId="3" borderId="57" xfId="198" applyFont="1" applyFill="1" applyBorder="1" applyAlignment="1">
      <alignment horizontal="center" vertical="center"/>
    </xf>
    <xf numFmtId="173" fontId="21" fillId="3" borderId="57" xfId="2" applyNumberFormat="1" applyFont="1" applyFill="1" applyBorder="1" applyAlignment="1">
      <alignment horizontal="center" vertical="center"/>
    </xf>
    <xf numFmtId="44" fontId="21" fillId="0" borderId="0" xfId="198" applyFont="1"/>
    <xf numFmtId="189" fontId="17" fillId="0" borderId="0" xfId="0" applyNumberFormat="1" applyFont="1" applyAlignment="1">
      <alignment horizontal="right"/>
    </xf>
    <xf numFmtId="0" fontId="24" fillId="0" borderId="57" xfId="0" applyFont="1" applyBorder="1"/>
    <xf numFmtId="0" fontId="20" fillId="0" borderId="57" xfId="0" applyFont="1" applyBorder="1"/>
    <xf numFmtId="0" fontId="24" fillId="0" borderId="57" xfId="0" applyFont="1" applyBorder="1" applyAlignment="1">
      <alignment wrapText="1"/>
    </xf>
    <xf numFmtId="189" fontId="68" fillId="0" borderId="0" xfId="0" applyNumberFormat="1" applyFont="1"/>
    <xf numFmtId="0" fontId="68" fillId="0" borderId="0" xfId="0" applyFont="1" applyAlignment="1">
      <alignment horizontal="center" vertical="center"/>
    </xf>
    <xf numFmtId="44" fontId="68" fillId="0" borderId="0" xfId="198" applyFont="1"/>
    <xf numFmtId="44" fontId="68" fillId="0" borderId="0" xfId="198" applyFont="1" applyAlignment="1">
      <alignment horizontal="right" vertical="center"/>
    </xf>
    <xf numFmtId="44" fontId="71" fillId="0" borderId="0" xfId="2" applyNumberFormat="1" applyFont="1"/>
    <xf numFmtId="0" fontId="71" fillId="0" borderId="0" xfId="2" applyFont="1" applyAlignment="1">
      <alignment horizontal="left" vertical="center" wrapText="1"/>
    </xf>
    <xf numFmtId="0" fontId="24" fillId="0" borderId="71" xfId="0" applyFont="1" applyBorder="1"/>
    <xf numFmtId="0" fontId="20" fillId="0" borderId="39" xfId="0" applyFont="1" applyBorder="1"/>
    <xf numFmtId="0" fontId="24" fillId="0" borderId="38" xfId="0" applyFont="1" applyBorder="1"/>
    <xf numFmtId="0" fontId="24" fillId="0" borderId="36" xfId="0" applyFont="1" applyBorder="1"/>
    <xf numFmtId="0" fontId="20" fillId="0" borderId="72" xfId="0" applyFont="1" applyBorder="1" applyAlignment="1">
      <alignment horizontal="center"/>
    </xf>
    <xf numFmtId="0" fontId="20" fillId="0" borderId="67" xfId="0" applyFont="1" applyBorder="1" applyAlignment="1">
      <alignment horizontal="center"/>
    </xf>
    <xf numFmtId="44" fontId="20" fillId="0" borderId="73" xfId="198" applyFont="1" applyBorder="1" applyAlignment="1"/>
    <xf numFmtId="44" fontId="20" fillId="0" borderId="37" xfId="0" applyNumberFormat="1" applyFont="1" applyBorder="1" applyAlignment="1">
      <alignment wrapText="1"/>
    </xf>
    <xf numFmtId="44" fontId="20" fillId="0" borderId="26" xfId="0" applyNumberFormat="1" applyFont="1" applyBorder="1"/>
    <xf numFmtId="0" fontId="24" fillId="0" borderId="71" xfId="0" applyFont="1" applyBorder="1" applyAlignment="1">
      <alignment horizontal="center"/>
    </xf>
    <xf numFmtId="0" fontId="20" fillId="0" borderId="70" xfId="0" applyFont="1" applyBorder="1" applyAlignment="1">
      <alignment horizontal="left"/>
    </xf>
    <xf numFmtId="0" fontId="20" fillId="0" borderId="68" xfId="0" applyFont="1" applyBorder="1"/>
    <xf numFmtId="44" fontId="20" fillId="0" borderId="40" xfId="0" applyNumberFormat="1" applyFont="1" applyBorder="1"/>
    <xf numFmtId="44" fontId="20" fillId="0" borderId="37" xfId="0" applyNumberFormat="1" applyFont="1" applyBorder="1"/>
    <xf numFmtId="0" fontId="20" fillId="0" borderId="36" xfId="0" applyFont="1" applyBorder="1" applyAlignment="1">
      <alignment horizontal="center"/>
    </xf>
    <xf numFmtId="0" fontId="20" fillId="0" borderId="70" xfId="0" applyFont="1" applyBorder="1" applyAlignment="1">
      <alignment horizontal="center"/>
    </xf>
    <xf numFmtId="0" fontId="20" fillId="0" borderId="68" xfId="0" applyFont="1" applyBorder="1" applyAlignment="1">
      <alignment horizontal="center"/>
    </xf>
    <xf numFmtId="0" fontId="24" fillId="0" borderId="33" xfId="0" applyFont="1" applyBorder="1"/>
    <xf numFmtId="44" fontId="20" fillId="0" borderId="37" xfId="198" applyFont="1" applyBorder="1" applyAlignment="1"/>
    <xf numFmtId="0" fontId="24" fillId="0" borderId="36" xfId="0" applyFont="1" applyBorder="1" applyAlignment="1">
      <alignment horizontal="center"/>
    </xf>
    <xf numFmtId="0" fontId="24" fillId="0" borderId="35" xfId="0" applyFont="1" applyBorder="1"/>
    <xf numFmtId="44" fontId="20" fillId="0" borderId="67" xfId="0" applyNumberFormat="1" applyFont="1" applyBorder="1"/>
    <xf numFmtId="0" fontId="20" fillId="0" borderId="70" xfId="0" applyFont="1" applyBorder="1"/>
    <xf numFmtId="0" fontId="24" fillId="0" borderId="68" xfId="0" applyFont="1" applyBorder="1"/>
    <xf numFmtId="0" fontId="20" fillId="12" borderId="57" xfId="0" applyFont="1" applyFill="1" applyBorder="1" applyAlignment="1">
      <alignment horizontal="left" wrapText="1"/>
    </xf>
    <xf numFmtId="0" fontId="20" fillId="12" borderId="57" xfId="0" applyFont="1" applyFill="1" applyBorder="1" applyAlignment="1">
      <alignment wrapText="1"/>
    </xf>
    <xf numFmtId="0" fontId="20" fillId="12" borderId="57" xfId="0" applyFont="1" applyFill="1" applyBorder="1"/>
    <xf numFmtId="44" fontId="20" fillId="12" borderId="37" xfId="0" applyNumberFormat="1" applyFont="1" applyFill="1" applyBorder="1"/>
    <xf numFmtId="189" fontId="17" fillId="0" borderId="0" xfId="0" applyNumberFormat="1" applyFont="1" applyAlignment="1">
      <alignment horizontal="right" vertical="center"/>
    </xf>
    <xf numFmtId="0" fontId="34" fillId="0" borderId="0" xfId="0" applyFont="1" applyAlignment="1">
      <alignment vertical="center" wrapText="1"/>
    </xf>
    <xf numFmtId="0" fontId="35" fillId="0" borderId="0" xfId="0" applyFont="1" applyAlignment="1">
      <alignment vertical="center" wrapText="1"/>
    </xf>
    <xf numFmtId="0" fontId="21" fillId="0" borderId="10" xfId="0" applyFont="1" applyBorder="1" applyAlignment="1">
      <alignment vertical="center"/>
    </xf>
    <xf numFmtId="14" fontId="68" fillId="0" borderId="0" xfId="0" applyNumberFormat="1" applyFont="1" applyAlignment="1">
      <alignment vertical="center"/>
    </xf>
    <xf numFmtId="0" fontId="17" fillId="0" borderId="0" xfId="1" applyAlignment="1">
      <alignment vertical="center" wrapText="1"/>
    </xf>
    <xf numFmtId="0" fontId="21" fillId="0" borderId="0" xfId="1" applyFont="1" applyAlignment="1">
      <alignment vertical="center" wrapText="1"/>
    </xf>
    <xf numFmtId="0" fontId="21" fillId="2" borderId="2" xfId="1" applyFont="1" applyFill="1" applyBorder="1" applyAlignment="1">
      <alignment horizontal="center" vertical="center" wrapText="1"/>
    </xf>
    <xf numFmtId="0" fontId="17" fillId="0" borderId="74" xfId="1" applyBorder="1" applyAlignment="1">
      <alignment horizontal="center" vertical="center"/>
    </xf>
    <xf numFmtId="0" fontId="17" fillId="0" borderId="74" xfId="1" applyBorder="1" applyAlignment="1">
      <alignment vertical="center" wrapText="1"/>
    </xf>
    <xf numFmtId="188" fontId="17" fillId="0" borderId="74" xfId="197" applyNumberFormat="1" applyFont="1" applyFill="1" applyBorder="1" applyAlignment="1">
      <alignment horizontal="right" vertical="center"/>
    </xf>
    <xf numFmtId="0" fontId="114" fillId="0" borderId="0" xfId="503" applyFont="1"/>
    <xf numFmtId="0" fontId="113" fillId="0" borderId="0" xfId="503"/>
    <xf numFmtId="0" fontId="113" fillId="0" borderId="0" xfId="503" applyAlignment="1">
      <alignment vertical="center"/>
    </xf>
    <xf numFmtId="0" fontId="113" fillId="0" borderId="75" xfId="503" applyBorder="1" applyAlignment="1">
      <alignment horizontal="center" vertical="center"/>
    </xf>
    <xf numFmtId="2" fontId="113" fillId="15" borderId="75" xfId="503" applyNumberFormat="1" applyFill="1" applyBorder="1" applyAlignment="1">
      <alignment horizontal="center" vertical="center"/>
    </xf>
    <xf numFmtId="4" fontId="105" fillId="0" borderId="0" xfId="503" applyNumberFormat="1" applyFont="1" applyAlignment="1">
      <alignment vertical="center"/>
    </xf>
    <xf numFmtId="197" fontId="113" fillId="0" borderId="75" xfId="503" applyNumberFormat="1" applyBorder="1" applyAlignment="1">
      <alignment horizontal="center" vertical="center"/>
    </xf>
    <xf numFmtId="197" fontId="113" fillId="0" borderId="0" xfId="503" applyNumberFormat="1" applyAlignment="1">
      <alignment horizontal="center" vertical="center"/>
    </xf>
    <xf numFmtId="0" fontId="114" fillId="21" borderId="0" xfId="503" applyFont="1" applyFill="1" applyAlignment="1">
      <alignment vertical="center"/>
    </xf>
    <xf numFmtId="0" fontId="113" fillId="21" borderId="0" xfId="503" applyFill="1" applyAlignment="1">
      <alignment vertical="center"/>
    </xf>
    <xf numFmtId="165" fontId="113" fillId="21" borderId="0" xfId="503" applyNumberFormat="1" applyFill="1" applyAlignment="1">
      <alignment vertical="center"/>
    </xf>
    <xf numFmtId="165" fontId="114" fillId="13" borderId="0" xfId="503" applyNumberFormat="1" applyFont="1" applyFill="1" applyAlignment="1">
      <alignment vertical="center"/>
    </xf>
    <xf numFmtId="17" fontId="113" fillId="21" borderId="0" xfId="503" applyNumberFormat="1" applyFill="1" applyAlignment="1">
      <alignment vertical="center"/>
    </xf>
    <xf numFmtId="0" fontId="113" fillId="21" borderId="0" xfId="503" applyFill="1" applyAlignment="1">
      <alignment horizontal="center" vertical="center"/>
    </xf>
    <xf numFmtId="0" fontId="114" fillId="0" borderId="0" xfId="503" applyFont="1" applyAlignment="1">
      <alignment horizontal="center" vertical="center"/>
    </xf>
    <xf numFmtId="0" fontId="117" fillId="21" borderId="0" xfId="503" applyFont="1" applyFill="1" applyAlignment="1">
      <alignment horizontal="center" vertical="center"/>
    </xf>
    <xf numFmtId="0" fontId="113" fillId="0" borderId="0" xfId="503" applyAlignment="1">
      <alignment horizontal="center" vertical="center"/>
    </xf>
    <xf numFmtId="17" fontId="113" fillId="0" borderId="0" xfId="503" applyNumberFormat="1" applyAlignment="1">
      <alignment vertical="center"/>
    </xf>
    <xf numFmtId="198" fontId="0" fillId="0" borderId="0" xfId="504" applyNumberFormat="1" applyFont="1" applyAlignment="1">
      <alignment horizontal="center" vertical="center"/>
    </xf>
    <xf numFmtId="196" fontId="113" fillId="0" borderId="0" xfId="503" applyNumberFormat="1"/>
    <xf numFmtId="199" fontId="113" fillId="21" borderId="0" xfId="503" applyNumberFormat="1" applyFill="1" applyAlignment="1">
      <alignment vertical="center"/>
    </xf>
    <xf numFmtId="198" fontId="0" fillId="0" borderId="0" xfId="504" applyNumberFormat="1" applyFont="1" applyAlignment="1">
      <alignment horizontal="center"/>
    </xf>
    <xf numFmtId="198" fontId="0" fillId="13" borderId="0" xfId="504" applyNumberFormat="1" applyFont="1" applyFill="1" applyAlignment="1">
      <alignment horizontal="center" vertical="center"/>
    </xf>
    <xf numFmtId="196" fontId="0" fillId="13" borderId="0" xfId="504" applyNumberFormat="1" applyFont="1" applyFill="1" applyAlignment="1">
      <alignment horizontal="center" vertical="center"/>
    </xf>
    <xf numFmtId="165" fontId="117" fillId="0" borderId="0" xfId="503" applyNumberFormat="1" applyFont="1" applyAlignment="1">
      <alignment vertical="center"/>
    </xf>
    <xf numFmtId="165" fontId="113" fillId="0" borderId="0" xfId="503" applyNumberFormat="1" applyAlignment="1">
      <alignment vertical="center"/>
    </xf>
    <xf numFmtId="0" fontId="113" fillId="0" borderId="0" xfId="503" quotePrefix="1" applyAlignment="1">
      <alignment vertical="center"/>
    </xf>
    <xf numFmtId="196" fontId="113" fillId="0" borderId="0" xfId="503" applyNumberFormat="1" applyAlignment="1">
      <alignment vertical="center"/>
    </xf>
    <xf numFmtId="43" fontId="117" fillId="0" borderId="0" xfId="505" applyFont="1" applyAlignment="1">
      <alignment vertical="center"/>
    </xf>
    <xf numFmtId="0" fontId="72" fillId="0" borderId="0" xfId="503" applyFont="1" applyAlignment="1">
      <alignment vertical="center"/>
    </xf>
    <xf numFmtId="10" fontId="72" fillId="0" borderId="0" xfId="506" applyNumberFormat="1" applyFont="1" applyAlignment="1">
      <alignment vertical="center"/>
    </xf>
    <xf numFmtId="198" fontId="0" fillId="0" borderId="0" xfId="504" applyNumberFormat="1" applyFont="1" applyFill="1" applyAlignment="1">
      <alignment horizontal="center" vertical="center"/>
    </xf>
    <xf numFmtId="199" fontId="113" fillId="0" borderId="0" xfId="503" applyNumberFormat="1" applyAlignment="1">
      <alignment vertical="center"/>
    </xf>
    <xf numFmtId="0" fontId="2" fillId="0" borderId="0" xfId="507"/>
    <xf numFmtId="0" fontId="21" fillId="3" borderId="49" xfId="221" applyFont="1" applyFill="1" applyBorder="1" applyAlignment="1">
      <alignment horizontal="center" vertical="top" wrapText="1"/>
    </xf>
    <xf numFmtId="0" fontId="21" fillId="3" borderId="57" xfId="221" applyFont="1" applyFill="1" applyBorder="1" applyAlignment="1">
      <alignment horizontal="center" vertical="top" wrapText="1"/>
    </xf>
    <xf numFmtId="0" fontId="21" fillId="3" borderId="53" xfId="221" applyFont="1" applyFill="1" applyBorder="1" applyAlignment="1">
      <alignment horizontal="center" vertical="center" wrapText="1"/>
    </xf>
    <xf numFmtId="0" fontId="21" fillId="3" borderId="53" xfId="221" applyFont="1" applyFill="1" applyBorder="1" applyAlignment="1">
      <alignment horizontal="center" vertical="top"/>
    </xf>
    <xf numFmtId="4" fontId="21" fillId="3" borderId="53" xfId="221" applyNumberFormat="1" applyFont="1" applyFill="1" applyBorder="1" applyAlignment="1">
      <alignment horizontal="center" vertical="top"/>
    </xf>
    <xf numFmtId="39" fontId="21" fillId="3" borderId="81" xfId="221" applyNumberFormat="1" applyFont="1" applyFill="1" applyBorder="1" applyAlignment="1">
      <alignment horizontal="center" vertical="top"/>
    </xf>
    <xf numFmtId="0" fontId="21" fillId="2" borderId="6" xfId="0" applyFont="1" applyFill="1" applyBorder="1" applyAlignment="1">
      <alignment horizontal="center" vertical="center" wrapText="1"/>
    </xf>
    <xf numFmtId="0" fontId="2" fillId="0" borderId="0" xfId="507" applyAlignment="1">
      <alignment vertical="center"/>
    </xf>
    <xf numFmtId="2" fontId="2" fillId="0" borderId="0" xfId="507" applyNumberFormat="1"/>
    <xf numFmtId="0" fontId="71" fillId="2" borderId="54" xfId="394" applyFont="1" applyFill="1" applyBorder="1" applyAlignment="1">
      <alignment horizontal="center" vertical="top"/>
    </xf>
    <xf numFmtId="0" fontId="71" fillId="2" borderId="54" xfId="394" applyFont="1" applyFill="1" applyBorder="1" applyAlignment="1">
      <alignment vertical="center" wrapText="1"/>
    </xf>
    <xf numFmtId="171" fontId="71" fillId="2" borderId="54" xfId="394" applyNumberFormat="1" applyFont="1" applyFill="1" applyBorder="1" applyAlignment="1">
      <alignment horizontal="center" vertical="center"/>
    </xf>
    <xf numFmtId="4" fontId="2" fillId="0" borderId="0" xfId="507" applyNumberFormat="1"/>
    <xf numFmtId="0" fontId="2" fillId="0" borderId="0" xfId="507" applyAlignment="1">
      <alignment vertical="center" wrapText="1"/>
    </xf>
    <xf numFmtId="44" fontId="17" fillId="22" borderId="0" xfId="2" applyNumberFormat="1" applyFill="1"/>
    <xf numFmtId="44" fontId="17" fillId="0" borderId="82" xfId="266" applyFont="1" applyBorder="1" applyAlignment="1" applyProtection="1">
      <alignment horizontal="right" vertical="center"/>
    </xf>
    <xf numFmtId="44" fontId="17" fillId="0" borderId="83" xfId="266" applyFont="1" applyBorder="1" applyAlignment="1" applyProtection="1">
      <alignment horizontal="right" vertical="center"/>
    </xf>
    <xf numFmtId="44" fontId="17" fillId="0" borderId="83" xfId="266" applyFont="1" applyBorder="1" applyAlignment="1" applyProtection="1">
      <alignment vertical="center"/>
    </xf>
    <xf numFmtId="44" fontId="17" fillId="2" borderId="88" xfId="266" applyFont="1" applyFill="1" applyBorder="1" applyAlignment="1" applyProtection="1">
      <alignment vertical="center"/>
    </xf>
    <xf numFmtId="49" fontId="17" fillId="2" borderId="90" xfId="0" applyNumberFormat="1" applyFont="1" applyFill="1" applyBorder="1" applyAlignment="1">
      <alignment horizontal="center" vertical="center"/>
    </xf>
    <xf numFmtId="0" fontId="17" fillId="2" borderId="90" xfId="1" applyFill="1" applyBorder="1" applyAlignment="1">
      <alignment horizontal="center" vertical="center"/>
    </xf>
    <xf numFmtId="44" fontId="21" fillId="2" borderId="91" xfId="198" applyFont="1" applyFill="1" applyBorder="1" applyAlignment="1" applyProtection="1">
      <alignment horizontal="right" vertical="center"/>
    </xf>
    <xf numFmtId="189" fontId="21" fillId="3" borderId="57" xfId="2" applyNumberFormat="1" applyFont="1" applyFill="1" applyBorder="1" applyAlignment="1">
      <alignment horizontal="center" vertical="center"/>
    </xf>
    <xf numFmtId="44" fontId="71" fillId="0" borderId="0" xfId="198" applyFont="1" applyBorder="1" applyAlignment="1" applyProtection="1">
      <alignment horizontal="right" vertical="center"/>
    </xf>
    <xf numFmtId="44" fontId="21" fillId="2" borderId="91" xfId="198" applyFont="1" applyFill="1" applyBorder="1" applyAlignment="1" applyProtection="1">
      <alignment horizontal="right" vertical="top"/>
    </xf>
    <xf numFmtId="0" fontId="93" fillId="0" borderId="0" xfId="87" applyFont="1" applyAlignment="1">
      <alignment horizontal="center" vertical="center" wrapText="1"/>
    </xf>
    <xf numFmtId="0" fontId="17" fillId="2" borderId="90" xfId="1" applyFill="1" applyBorder="1" applyAlignment="1">
      <alignment horizontal="center" vertical="top"/>
    </xf>
    <xf numFmtId="0" fontId="17" fillId="2" borderId="90" xfId="1" applyFill="1" applyBorder="1" applyAlignment="1">
      <alignment vertical="top" wrapText="1"/>
    </xf>
    <xf numFmtId="1" fontId="17" fillId="2" borderId="90" xfId="1" applyNumberFormat="1" applyFill="1" applyBorder="1" applyAlignment="1">
      <alignment horizontal="center" vertical="center"/>
    </xf>
    <xf numFmtId="189" fontId="17" fillId="2" borderId="90" xfId="1" applyNumberFormat="1" applyFill="1" applyBorder="1" applyAlignment="1">
      <alignment horizontal="right" vertical="top"/>
    </xf>
    <xf numFmtId="0" fontId="21" fillId="2" borderId="91" xfId="1" applyFont="1" applyFill="1" applyBorder="1" applyAlignment="1">
      <alignment horizontal="center" vertical="center"/>
    </xf>
    <xf numFmtId="0" fontId="21" fillId="2" borderId="91" xfId="1" applyFont="1" applyFill="1" applyBorder="1" applyAlignment="1">
      <alignment horizontal="center" vertical="top"/>
    </xf>
    <xf numFmtId="0" fontId="17" fillId="2" borderId="90" xfId="0" applyFont="1" applyFill="1" applyBorder="1" applyAlignment="1">
      <alignment horizontal="center" vertical="center"/>
    </xf>
    <xf numFmtId="0" fontId="17" fillId="2" borderId="90" xfId="0" applyFont="1" applyFill="1" applyBorder="1" applyAlignment="1">
      <alignment vertical="center"/>
    </xf>
    <xf numFmtId="49" fontId="17" fillId="2" borderId="91" xfId="0" applyNumberFormat="1" applyFont="1" applyFill="1" applyBorder="1" applyAlignment="1">
      <alignment horizontal="center" vertical="center"/>
    </xf>
    <xf numFmtId="44" fontId="21" fillId="3" borderId="90" xfId="266" applyFont="1" applyFill="1" applyBorder="1" applyAlignment="1" applyProtection="1">
      <alignment horizontal="center" vertical="center"/>
    </xf>
    <xf numFmtId="44" fontId="21" fillId="3" borderId="88" xfId="266" applyFont="1" applyFill="1" applyBorder="1" applyAlignment="1" applyProtection="1">
      <alignment horizontal="center" vertical="center"/>
    </xf>
    <xf numFmtId="0" fontId="21" fillId="2" borderId="90" xfId="1" applyFont="1" applyFill="1" applyBorder="1" applyAlignment="1">
      <alignment horizontal="center" vertical="center"/>
    </xf>
    <xf numFmtId="49" fontId="17" fillId="2" borderId="90" xfId="0" applyNumberFormat="1" applyFont="1" applyFill="1" applyBorder="1" applyAlignment="1">
      <alignment horizontal="center"/>
    </xf>
    <xf numFmtId="49" fontId="17" fillId="2" borderId="6" xfId="0" applyNumberFormat="1" applyFont="1" applyFill="1" applyBorder="1" applyAlignment="1">
      <alignment horizontal="center"/>
    </xf>
    <xf numFmtId="2" fontId="17" fillId="0" borderId="10" xfId="2" applyNumberFormat="1" applyBorder="1" applyAlignment="1">
      <alignment horizontal="center" vertical="center"/>
    </xf>
    <xf numFmtId="0" fontId="68" fillId="0" borderId="10" xfId="0" applyFont="1" applyBorder="1" applyAlignment="1">
      <alignment vertical="center"/>
    </xf>
    <xf numFmtId="0" fontId="71" fillId="0" borderId="10" xfId="0" applyFont="1" applyBorder="1" applyAlignment="1">
      <alignment vertical="center"/>
    </xf>
    <xf numFmtId="172" fontId="73" fillId="0" borderId="10" xfId="47" applyFont="1" applyBorder="1" applyAlignment="1">
      <alignment vertical="center" wrapText="1"/>
    </xf>
    <xf numFmtId="0" fontId="17" fillId="0" borderId="11" xfId="2" applyBorder="1" applyAlignment="1">
      <alignment horizontal="center"/>
    </xf>
    <xf numFmtId="49" fontId="17" fillId="2" borderId="91" xfId="0" applyNumberFormat="1" applyFont="1" applyFill="1" applyBorder="1" applyAlignment="1">
      <alignment horizontal="center"/>
    </xf>
    <xf numFmtId="2" fontId="17" fillId="0" borderId="10" xfId="35" applyNumberFormat="1" applyFont="1" applyBorder="1" applyAlignment="1">
      <alignment horizontal="center" vertical="center"/>
    </xf>
    <xf numFmtId="2" fontId="17" fillId="0" borderId="10" xfId="2" applyNumberFormat="1" applyBorder="1" applyAlignment="1">
      <alignment horizontal="center" vertical="center" wrapText="1"/>
    </xf>
    <xf numFmtId="2" fontId="17" fillId="2" borderId="90" xfId="0" applyNumberFormat="1" applyFont="1" applyFill="1" applyBorder="1" applyAlignment="1">
      <alignment horizontal="center" vertical="center"/>
    </xf>
    <xf numFmtId="2" fontId="17" fillId="2" borderId="6" xfId="0" applyNumberFormat="1" applyFont="1" applyFill="1" applyBorder="1" applyAlignment="1">
      <alignment horizontal="center" vertical="center"/>
    </xf>
    <xf numFmtId="178" fontId="17" fillId="0" borderId="10" xfId="35" applyNumberFormat="1" applyFont="1" applyBorder="1" applyAlignment="1">
      <alignment horizontal="center" vertical="center"/>
    </xf>
    <xf numFmtId="0" fontId="17" fillId="2" borderId="90" xfId="2" applyFill="1" applyBorder="1"/>
    <xf numFmtId="0" fontId="71" fillId="2" borderId="90" xfId="2" applyFont="1" applyFill="1" applyBorder="1" applyAlignment="1">
      <alignment vertical="center"/>
    </xf>
    <xf numFmtId="1" fontId="71" fillId="2" borderId="90" xfId="2" applyNumberFormat="1" applyFont="1" applyFill="1" applyBorder="1" applyAlignment="1">
      <alignment horizontal="center" vertical="center"/>
    </xf>
    <xf numFmtId="49" fontId="17" fillId="2" borderId="90" xfId="2" applyNumberFormat="1" applyFill="1" applyBorder="1" applyAlignment="1">
      <alignment horizontal="center" vertical="center"/>
    </xf>
    <xf numFmtId="49" fontId="17" fillId="2" borderId="6" xfId="2" applyNumberFormat="1" applyFill="1" applyBorder="1" applyAlignment="1">
      <alignment horizontal="center" vertical="center"/>
    </xf>
    <xf numFmtId="0" fontId="73" fillId="2" borderId="90" xfId="29" applyFont="1" applyFill="1" applyBorder="1" applyAlignment="1">
      <alignment vertical="center"/>
    </xf>
    <xf numFmtId="44" fontId="71" fillId="0" borderId="0" xfId="277" applyFont="1" applyAlignment="1">
      <alignment vertical="center"/>
    </xf>
    <xf numFmtId="0" fontId="39" fillId="0" borderId="0" xfId="2" applyFont="1" applyAlignment="1">
      <alignment horizontal="right" vertical="top"/>
    </xf>
    <xf numFmtId="44" fontId="17" fillId="2" borderId="0" xfId="198" applyFont="1" applyFill="1" applyBorder="1"/>
    <xf numFmtId="44" fontId="21" fillId="2" borderId="0" xfId="198" applyFont="1" applyFill="1" applyBorder="1" applyAlignment="1">
      <alignment horizontal="right" indent="1"/>
    </xf>
    <xf numFmtId="44" fontId="17" fillId="0" borderId="0" xfId="198" applyFont="1" applyBorder="1" applyAlignment="1">
      <alignment horizontal="right" vertical="center" wrapText="1"/>
    </xf>
    <xf numFmtId="44" fontId="40" fillId="0" borderId="0" xfId="198" applyFont="1" applyBorder="1" applyAlignment="1">
      <alignment horizontal="right" vertical="center" wrapText="1"/>
    </xf>
    <xf numFmtId="44" fontId="0" fillId="0" borderId="0" xfId="198" applyFont="1" applyBorder="1" applyAlignment="1">
      <alignment horizontal="right" vertical="center" wrapText="1"/>
    </xf>
    <xf numFmtId="44" fontId="21" fillId="2" borderId="0" xfId="198" applyFont="1" applyFill="1" applyBorder="1" applyAlignment="1">
      <alignment horizontal="right" vertical="top"/>
    </xf>
    <xf numFmtId="44" fontId="17" fillId="0" borderId="0" xfId="2" applyNumberFormat="1" applyAlignment="1">
      <alignment horizontal="center"/>
    </xf>
    <xf numFmtId="44" fontId="17" fillId="0" borderId="0" xfId="198" applyFont="1" applyAlignment="1"/>
    <xf numFmtId="44" fontId="21" fillId="0" borderId="0" xfId="198" applyFont="1" applyAlignment="1"/>
    <xf numFmtId="2" fontId="17" fillId="0" borderId="10" xfId="0" applyNumberFormat="1" applyFont="1" applyBorder="1" applyAlignment="1">
      <alignment horizontal="center" vertical="center"/>
    </xf>
    <xf numFmtId="0" fontId="17" fillId="2" borderId="90" xfId="2" applyFill="1" applyBorder="1" applyAlignment="1">
      <alignment vertical="center"/>
    </xf>
    <xf numFmtId="1" fontId="17" fillId="2" borderId="90" xfId="2" applyNumberFormat="1" applyFill="1" applyBorder="1" applyAlignment="1">
      <alignment horizontal="center" vertical="center"/>
    </xf>
    <xf numFmtId="172" fontId="17" fillId="0" borderId="95" xfId="35" applyFont="1" applyBorder="1" applyAlignment="1">
      <alignment vertical="center"/>
    </xf>
    <xf numFmtId="0" fontId="17" fillId="2" borderId="90" xfId="2" applyFill="1" applyBorder="1" applyAlignment="1">
      <alignment vertical="center" wrapText="1"/>
    </xf>
    <xf numFmtId="0" fontId="73" fillId="2" borderId="6" xfId="394" applyFont="1" applyFill="1" applyBorder="1" applyAlignment="1">
      <alignment horizontal="center" vertical="top"/>
    </xf>
    <xf numFmtId="0" fontId="2" fillId="0" borderId="0" xfId="507" applyAlignment="1">
      <alignment horizontal="center"/>
    </xf>
    <xf numFmtId="0" fontId="71" fillId="2" borderId="54" xfId="394" applyFont="1" applyFill="1" applyBorder="1" applyAlignment="1">
      <alignment horizontal="center" vertical="center"/>
    </xf>
    <xf numFmtId="0" fontId="73" fillId="2" borderId="6" xfId="394" applyFont="1" applyFill="1" applyBorder="1" applyAlignment="1">
      <alignment horizontal="center" vertical="center"/>
    </xf>
    <xf numFmtId="0" fontId="73" fillId="2" borderId="0" xfId="394" applyFont="1" applyFill="1" applyAlignment="1">
      <alignment horizontal="center" vertical="center"/>
    </xf>
    <xf numFmtId="0" fontId="73" fillId="2" borderId="0" xfId="394" applyFont="1" applyFill="1" applyAlignment="1">
      <alignment horizontal="center" vertical="top"/>
    </xf>
    <xf numFmtId="0" fontId="73" fillId="2" borderId="0" xfId="394" applyFont="1" applyFill="1" applyAlignment="1">
      <alignment horizontal="center" vertical="top" wrapText="1"/>
    </xf>
    <xf numFmtId="170" fontId="73" fillId="2" borderId="0" xfId="394" applyNumberFormat="1" applyFont="1" applyFill="1" applyAlignment="1">
      <alignment horizontal="right" vertical="top"/>
    </xf>
    <xf numFmtId="0" fontId="21" fillId="3" borderId="57" xfId="29" applyFont="1" applyFill="1" applyBorder="1" applyAlignment="1">
      <alignment horizontal="center" vertical="center" wrapText="1"/>
    </xf>
    <xf numFmtId="49" fontId="17" fillId="2" borderId="90" xfId="0" applyNumberFormat="1" applyFont="1" applyFill="1" applyBorder="1" applyAlignment="1">
      <alignment horizontal="center" vertical="center" wrapText="1"/>
    </xf>
    <xf numFmtId="49" fontId="17" fillId="2" borderId="6" xfId="0" applyNumberFormat="1" applyFont="1" applyFill="1" applyBorder="1" applyAlignment="1">
      <alignment horizontal="center" vertical="center" wrapText="1"/>
    </xf>
    <xf numFmtId="0" fontId="17" fillId="0" borderId="0" xfId="0" applyFont="1" applyAlignment="1">
      <alignment wrapText="1"/>
    </xf>
    <xf numFmtId="0" fontId="21" fillId="3" borderId="49" xfId="29" applyFont="1" applyFill="1" applyBorder="1" applyAlignment="1">
      <alignment horizontal="center" vertical="center" wrapText="1"/>
    </xf>
    <xf numFmtId="0" fontId="21" fillId="0" borderId="0" xfId="210" applyFont="1" applyAlignment="1">
      <alignment horizontal="left" vertical="center" wrapText="1"/>
    </xf>
    <xf numFmtId="0" fontId="21" fillId="0" borderId="0" xfId="210" applyFont="1" applyAlignment="1">
      <alignment horizontal="left" vertical="top"/>
    </xf>
    <xf numFmtId="0" fontId="17" fillId="0" borderId="0" xfId="210" applyFont="1" applyAlignment="1">
      <alignment horizontal="left" vertical="top" wrapText="1"/>
    </xf>
    <xf numFmtId="0" fontId="17" fillId="0" borderId="0" xfId="210" applyFont="1" applyAlignment="1">
      <alignment vertical="top" wrapText="1"/>
    </xf>
    <xf numFmtId="0" fontId="17" fillId="0" borderId="0" xfId="210" applyFont="1" applyAlignment="1">
      <alignment vertical="center" wrapText="1"/>
    </xf>
    <xf numFmtId="0" fontId="17" fillId="0" borderId="0" xfId="210" applyFont="1" applyAlignment="1">
      <alignment horizontal="center" vertical="center" wrapText="1"/>
    </xf>
    <xf numFmtId="0" fontId="17" fillId="0" borderId="0" xfId="208" applyFont="1" applyAlignment="1">
      <alignment horizontal="center" vertical="center" wrapText="1"/>
    </xf>
    <xf numFmtId="0" fontId="17" fillId="2" borderId="90" xfId="0" applyFont="1" applyFill="1" applyBorder="1" applyAlignment="1">
      <alignment horizontal="center" vertical="center" wrapText="1"/>
    </xf>
    <xf numFmtId="0" fontId="21" fillId="2" borderId="90" xfId="0" applyFont="1" applyFill="1" applyBorder="1"/>
    <xf numFmtId="0" fontId="17" fillId="0" borderId="0" xfId="81" applyAlignment="1">
      <alignment horizontal="left" vertical="top"/>
    </xf>
    <xf numFmtId="0" fontId="17" fillId="0" borderId="0" xfId="210" applyFont="1" applyAlignment="1">
      <alignment horizontal="left" vertical="center" wrapText="1"/>
    </xf>
    <xf numFmtId="0" fontId="17" fillId="0" borderId="0" xfId="81" applyAlignment="1">
      <alignment horizontal="center" vertical="center" wrapText="1"/>
    </xf>
    <xf numFmtId="0" fontId="21" fillId="0" borderId="0" xfId="210" applyFont="1" applyAlignment="1">
      <alignment horizontal="left" vertical="top" wrapText="1"/>
    </xf>
    <xf numFmtId="0" fontId="21" fillId="0" borderId="0" xfId="39" applyFont="1" applyAlignment="1">
      <alignment horizontal="left"/>
    </xf>
    <xf numFmtId="0" fontId="21" fillId="0" borderId="0" xfId="210" applyFont="1" applyAlignment="1">
      <alignment horizontal="center" vertical="center" wrapText="1"/>
    </xf>
    <xf numFmtId="49" fontId="17" fillId="2" borderId="97" xfId="0" applyNumberFormat="1" applyFont="1" applyFill="1" applyBorder="1" applyAlignment="1">
      <alignment horizontal="center" vertical="center"/>
    </xf>
    <xf numFmtId="0" fontId="17" fillId="2" borderId="90" xfId="0" applyFont="1" applyFill="1" applyBorder="1" applyAlignment="1">
      <alignment horizontal="center"/>
    </xf>
    <xf numFmtId="0" fontId="21" fillId="0" borderId="0" xfId="2" applyFont="1" applyAlignment="1">
      <alignment vertical="center" wrapText="1"/>
    </xf>
    <xf numFmtId="0" fontId="17" fillId="2" borderId="90" xfId="0" applyFont="1" applyFill="1" applyBorder="1"/>
    <xf numFmtId="1" fontId="17" fillId="2" borderId="90" xfId="0" applyNumberFormat="1" applyFont="1" applyFill="1" applyBorder="1" applyAlignment="1">
      <alignment horizontal="center" vertical="center"/>
    </xf>
    <xf numFmtId="0" fontId="17" fillId="0" borderId="99" xfId="2" applyBorder="1" applyAlignment="1">
      <alignment horizontal="center" vertical="center"/>
    </xf>
    <xf numFmtId="1" fontId="17" fillId="0" borderId="99" xfId="2" applyNumberFormat="1" applyBorder="1" applyAlignment="1">
      <alignment horizontal="center" vertical="center"/>
    </xf>
    <xf numFmtId="44" fontId="17" fillId="0" borderId="99" xfId="198" applyFont="1" applyBorder="1" applyAlignment="1">
      <alignment horizontal="center" vertical="top"/>
    </xf>
    <xf numFmtId="0" fontId="68" fillId="0" borderId="99" xfId="2" applyFont="1" applyBorder="1" applyAlignment="1">
      <alignment horizontal="center" vertical="center"/>
    </xf>
    <xf numFmtId="1" fontId="68" fillId="0" borderId="99" xfId="2" applyNumberFormat="1" applyFont="1" applyBorder="1" applyAlignment="1">
      <alignment horizontal="center" vertical="center"/>
    </xf>
    <xf numFmtId="44" fontId="68" fillId="0" borderId="99" xfId="198" applyFont="1" applyBorder="1" applyAlignment="1">
      <alignment horizontal="center" vertical="top"/>
    </xf>
    <xf numFmtId="1" fontId="17" fillId="0" borderId="99" xfId="45" applyNumberFormat="1" applyFont="1" applyBorder="1" applyAlignment="1">
      <alignment horizontal="center" vertical="center" wrapText="1"/>
    </xf>
    <xf numFmtId="44" fontId="17" fillId="0" borderId="99" xfId="198" applyFont="1" applyBorder="1" applyAlignment="1">
      <alignment horizontal="right" vertical="top"/>
    </xf>
    <xf numFmtId="0" fontId="17" fillId="0" borderId="99" xfId="0" applyFont="1" applyBorder="1" applyAlignment="1">
      <alignment horizontal="center" vertical="center" wrapText="1"/>
    </xf>
    <xf numFmtId="2" fontId="17" fillId="0" borderId="99" xfId="45" applyNumberFormat="1" applyFont="1" applyBorder="1" applyAlignment="1">
      <alignment horizontal="center" vertical="center" wrapText="1"/>
    </xf>
    <xf numFmtId="44" fontId="0" fillId="0" borderId="99" xfId="198" applyFont="1" applyBorder="1" applyAlignment="1">
      <alignment horizontal="right" vertical="center"/>
    </xf>
    <xf numFmtId="44" fontId="17" fillId="0" borderId="99" xfId="198" applyFont="1" applyBorder="1" applyAlignment="1">
      <alignment vertical="center" wrapText="1"/>
    </xf>
    <xf numFmtId="44" fontId="17" fillId="0" borderId="99" xfId="198" applyFont="1" applyBorder="1" applyAlignment="1"/>
    <xf numFmtId="44" fontId="74" fillId="0" borderId="99" xfId="198" applyFont="1" applyBorder="1" applyAlignment="1">
      <alignment horizontal="right" vertical="top"/>
    </xf>
    <xf numFmtId="0" fontId="40" fillId="0" borderId="99" xfId="0" applyFont="1" applyBorder="1" applyAlignment="1">
      <alignment horizontal="center" vertical="center" wrapText="1"/>
    </xf>
    <xf numFmtId="44" fontId="40" fillId="0" borderId="99" xfId="198" applyFont="1" applyBorder="1" applyAlignment="1">
      <alignment horizontal="right" vertical="center"/>
    </xf>
    <xf numFmtId="44" fontId="17" fillId="0" borderId="99" xfId="198" applyFont="1" applyBorder="1" applyAlignment="1">
      <alignment horizontal="right" vertical="center" wrapText="1"/>
    </xf>
    <xf numFmtId="44" fontId="17" fillId="0" borderId="99" xfId="198" applyFont="1" applyBorder="1" applyAlignment="1">
      <alignment horizontal="right" vertical="center"/>
    </xf>
    <xf numFmtId="0" fontId="0" fillId="0" borderId="99" xfId="0" applyBorder="1" applyAlignment="1">
      <alignment horizontal="center" vertical="center" wrapText="1"/>
    </xf>
    <xf numFmtId="1" fontId="17" fillId="0" borderId="99" xfId="19" applyNumberFormat="1" applyFont="1" applyFill="1" applyBorder="1" applyAlignment="1">
      <alignment horizontal="center" vertical="center"/>
    </xf>
    <xf numFmtId="0" fontId="17" fillId="0" borderId="99" xfId="2" applyBorder="1" applyAlignment="1">
      <alignment horizontal="center" vertical="top" wrapText="1"/>
    </xf>
    <xf numFmtId="0" fontId="41" fillId="0" borderId="99" xfId="0" applyFont="1" applyBorder="1" applyAlignment="1">
      <alignment vertical="center" wrapText="1"/>
    </xf>
    <xf numFmtId="44" fontId="17" fillId="0" borderId="99" xfId="266" applyFont="1" applyBorder="1" applyAlignment="1">
      <alignment vertical="center" wrapText="1"/>
    </xf>
    <xf numFmtId="44" fontId="17" fillId="0" borderId="99" xfId="266" applyFont="1" applyBorder="1" applyAlignment="1">
      <alignment horizontal="right" vertical="center" wrapText="1"/>
    </xf>
    <xf numFmtId="0" fontId="100" fillId="0" borderId="100" xfId="507" applyFont="1" applyBorder="1" applyAlignment="1">
      <alignment vertical="center" wrapText="1"/>
    </xf>
    <xf numFmtId="168" fontId="71" fillId="0" borderId="99" xfId="394" applyNumberFormat="1" applyFont="1" applyBorder="1" applyAlignment="1">
      <alignment vertical="center"/>
    </xf>
    <xf numFmtId="0" fontId="100" fillId="0" borderId="0" xfId="507" applyFont="1" applyAlignment="1">
      <alignment vertical="center" wrapText="1"/>
    </xf>
    <xf numFmtId="39" fontId="71" fillId="0" borderId="99" xfId="329" applyNumberFormat="1" applyFont="1" applyBorder="1" applyAlignment="1">
      <alignment vertical="center"/>
    </xf>
    <xf numFmtId="44" fontId="17" fillId="0" borderId="99" xfId="266" applyFont="1" applyFill="1" applyBorder="1" applyAlignment="1">
      <alignment horizontal="right" vertical="center" wrapText="1"/>
    </xf>
    <xf numFmtId="0" fontId="17" fillId="0" borderId="0" xfId="507" applyFont="1" applyAlignment="1">
      <alignment vertical="center" wrapText="1"/>
    </xf>
    <xf numFmtId="0" fontId="70" fillId="0" borderId="0" xfId="507" applyFont="1" applyAlignment="1">
      <alignment vertical="center" wrapText="1"/>
    </xf>
    <xf numFmtId="0" fontId="71" fillId="0" borderId="99" xfId="397" applyFont="1" applyBorder="1" applyAlignment="1">
      <alignment horizontal="center" wrapText="1"/>
    </xf>
    <xf numFmtId="0" fontId="71" fillId="0" borderId="99" xfId="397" applyFont="1" applyBorder="1">
      <alignment wrapText="1"/>
    </xf>
    <xf numFmtId="0" fontId="71" fillId="0" borderId="99" xfId="81" applyFont="1" applyBorder="1" applyAlignment="1">
      <alignment horizontal="center" vertical="center" wrapText="1"/>
    </xf>
    <xf numFmtId="0" fontId="71" fillId="0" borderId="0" xfId="221" applyFont="1" applyAlignment="1">
      <alignment horizontal="left" vertical="center" wrapText="1"/>
    </xf>
    <xf numFmtId="0" fontId="73" fillId="0" borderId="0" xfId="221" applyFont="1" applyAlignment="1">
      <alignment horizontal="left" vertical="center" wrapText="1"/>
    </xf>
    <xf numFmtId="0" fontId="119" fillId="0" borderId="0" xfId="221" applyFont="1" applyAlignment="1">
      <alignment horizontal="left" vertical="center" wrapText="1"/>
    </xf>
    <xf numFmtId="0" fontId="71" fillId="0" borderId="99" xfId="329" applyFont="1" applyBorder="1" applyAlignment="1">
      <alignment horizontal="center" vertical="center"/>
    </xf>
    <xf numFmtId="0" fontId="118" fillId="0" borderId="0" xfId="507" applyFont="1" applyAlignment="1">
      <alignment vertical="center" wrapText="1"/>
    </xf>
    <xf numFmtId="0" fontId="71" fillId="0" borderId="99" xfId="221" applyFont="1" applyBorder="1" applyAlignment="1">
      <alignment horizontal="center" vertical="top"/>
    </xf>
    <xf numFmtId="0" fontId="71" fillId="0" borderId="99" xfId="221" applyFont="1" applyBorder="1" applyAlignment="1">
      <alignment vertical="top"/>
    </xf>
    <xf numFmtId="0" fontId="119" fillId="0" borderId="0" xfId="507" applyFont="1" applyAlignment="1">
      <alignment vertical="center" wrapText="1"/>
    </xf>
    <xf numFmtId="0" fontId="71" fillId="0" borderId="99" xfId="397" applyFont="1" applyBorder="1" applyAlignment="1">
      <alignment horizontal="center" vertical="center" wrapText="1"/>
    </xf>
    <xf numFmtId="0" fontId="71" fillId="0" borderId="99" xfId="221" applyFont="1" applyBorder="1" applyAlignment="1">
      <alignment horizontal="center" vertical="center"/>
    </xf>
    <xf numFmtId="0" fontId="71" fillId="0" borderId="99" xfId="84" applyFont="1" applyBorder="1" applyAlignment="1">
      <alignment horizontal="center" vertical="center"/>
    </xf>
    <xf numFmtId="44" fontId="71" fillId="0" borderId="99" xfId="394" applyNumberFormat="1" applyFont="1" applyBorder="1" applyAlignment="1">
      <alignment vertical="center"/>
    </xf>
    <xf numFmtId="0" fontId="69" fillId="0" borderId="0" xfId="507" applyFont="1" applyAlignment="1">
      <alignment vertical="center" wrapText="1"/>
    </xf>
    <xf numFmtId="0" fontId="71" fillId="0" borderId="99" xfId="84" applyFont="1" applyBorder="1" applyAlignment="1">
      <alignment vertical="center"/>
    </xf>
    <xf numFmtId="44" fontId="17" fillId="0" borderId="99" xfId="266" applyFont="1" applyBorder="1" applyAlignment="1">
      <alignment vertical="center"/>
    </xf>
    <xf numFmtId="0" fontId="22" fillId="0" borderId="99" xfId="0" applyFont="1" applyBorder="1" applyAlignment="1">
      <alignment horizontal="right" vertical="center" wrapText="1"/>
    </xf>
    <xf numFmtId="0" fontId="69" fillId="0" borderId="99" xfId="507" applyFont="1" applyBorder="1" applyAlignment="1">
      <alignment vertical="center" wrapText="1"/>
    </xf>
    <xf numFmtId="0" fontId="71" fillId="0" borderId="99" xfId="397" applyFont="1" applyBorder="1" applyAlignment="1">
      <alignment vertical="center" wrapText="1"/>
    </xf>
    <xf numFmtId="0" fontId="100" fillId="0" borderId="99" xfId="507" applyFont="1" applyBorder="1" applyAlignment="1">
      <alignment vertical="center" wrapText="1"/>
    </xf>
    <xf numFmtId="179" fontId="71" fillId="0" borderId="99" xfId="329" applyNumberFormat="1" applyFont="1" applyBorder="1" applyAlignment="1">
      <alignment vertical="center" wrapText="1"/>
    </xf>
    <xf numFmtId="0" fontId="70" fillId="0" borderId="99" xfId="507" applyFont="1" applyBorder="1" applyAlignment="1">
      <alignment vertical="center" wrapText="1"/>
    </xf>
    <xf numFmtId="1" fontId="71" fillId="0" borderId="99" xfId="88" applyNumberFormat="1" applyFont="1" applyBorder="1" applyAlignment="1">
      <alignment vertical="center"/>
    </xf>
    <xf numFmtId="0" fontId="71" fillId="0" borderId="99" xfId="81" applyFont="1" applyBorder="1" applyAlignment="1">
      <alignment horizontal="center" vertical="center"/>
    </xf>
    <xf numFmtId="1" fontId="71" fillId="0" borderId="99" xfId="83" applyNumberFormat="1" applyFont="1" applyBorder="1"/>
    <xf numFmtId="1" fontId="71" fillId="0" borderId="99" xfId="78" applyNumberFormat="1" applyFont="1" applyBorder="1" applyAlignment="1">
      <alignment horizontal="center" vertical="center"/>
    </xf>
    <xf numFmtId="0" fontId="71" fillId="0" borderId="99" xfId="81" applyFont="1" applyBorder="1" applyAlignment="1">
      <alignment vertical="center"/>
    </xf>
    <xf numFmtId="0" fontId="71" fillId="0" borderId="99" xfId="507" applyFont="1" applyBorder="1" applyAlignment="1">
      <alignment horizontal="center"/>
    </xf>
    <xf numFmtId="0" fontId="71" fillId="0" borderId="0" xfId="329" applyFont="1" applyAlignment="1">
      <alignment vertical="center" wrapText="1"/>
    </xf>
    <xf numFmtId="0" fontId="17" fillId="0" borderId="99" xfId="507" applyFont="1" applyBorder="1" applyAlignment="1">
      <alignment vertical="center" wrapText="1"/>
    </xf>
    <xf numFmtId="0" fontId="114" fillId="0" borderId="0" xfId="0" applyFont="1" applyAlignment="1">
      <alignment vertical="center" wrapText="1"/>
    </xf>
    <xf numFmtId="0" fontId="71" fillId="0" borderId="99" xfId="396" applyFont="1" applyBorder="1" applyAlignment="1">
      <alignment vertical="center"/>
    </xf>
    <xf numFmtId="1" fontId="71" fillId="0" borderId="99" xfId="88" applyNumberFormat="1" applyFont="1" applyBorder="1" applyAlignment="1">
      <alignment horizontal="center" vertical="center"/>
    </xf>
    <xf numFmtId="0" fontId="71" fillId="0" borderId="99" xfId="396" applyFont="1" applyBorder="1" applyAlignment="1">
      <alignment horizontal="center" vertical="center"/>
    </xf>
    <xf numFmtId="0" fontId="71" fillId="0" borderId="99" xfId="81" applyFont="1" applyBorder="1" applyAlignment="1">
      <alignment vertical="center" wrapText="1"/>
    </xf>
    <xf numFmtId="0" fontId="71" fillId="0" borderId="99" xfId="398" applyFont="1" applyBorder="1" applyAlignment="1">
      <alignment vertical="center"/>
    </xf>
    <xf numFmtId="168" fontId="17" fillId="0" borderId="99" xfId="1" applyNumberFormat="1" applyBorder="1" applyAlignment="1">
      <alignment horizontal="right" vertical="top"/>
    </xf>
    <xf numFmtId="0" fontId="70" fillId="0" borderId="0" xfId="0" applyFont="1" applyAlignment="1">
      <alignment vertical="center" wrapText="1"/>
    </xf>
    <xf numFmtId="44" fontId="17" fillId="0" borderId="99" xfId="198" applyFont="1" applyBorder="1" applyAlignment="1">
      <alignment vertical="center"/>
    </xf>
    <xf numFmtId="0" fontId="17" fillId="0" borderId="99" xfId="0" applyFont="1" applyBorder="1" applyAlignment="1">
      <alignment horizontal="center" vertical="center"/>
    </xf>
    <xf numFmtId="2" fontId="0" fillId="0" borderId="99" xfId="0" applyNumberFormat="1" applyBorder="1" applyAlignment="1">
      <alignment horizontal="center" vertical="center"/>
    </xf>
    <xf numFmtId="0" fontId="0" fillId="0" borderId="99" xfId="0" applyBorder="1" applyAlignment="1">
      <alignment horizontal="center" vertical="center"/>
    </xf>
    <xf numFmtId="2" fontId="17" fillId="0" borderId="99" xfId="0" applyNumberFormat="1" applyFont="1" applyBorder="1" applyAlignment="1">
      <alignment horizontal="center" vertical="center"/>
    </xf>
    <xf numFmtId="0" fontId="21" fillId="0" borderId="99" xfId="0" applyFont="1" applyBorder="1" applyAlignment="1">
      <alignment horizontal="center" vertical="center"/>
    </xf>
    <xf numFmtId="0" fontId="17" fillId="2" borderId="6" xfId="1" applyFill="1" applyBorder="1" applyAlignment="1">
      <alignment horizontal="center" vertical="center"/>
    </xf>
    <xf numFmtId="0" fontId="73" fillId="2" borderId="6" xfId="1" applyFont="1" applyFill="1" applyBorder="1" applyAlignment="1">
      <alignment horizontal="center" vertical="top" wrapText="1"/>
    </xf>
    <xf numFmtId="172" fontId="17" fillId="0" borderId="0" xfId="35" applyFont="1" applyAlignment="1">
      <alignment vertical="top" wrapText="1"/>
    </xf>
    <xf numFmtId="44" fontId="17" fillId="0" borderId="99" xfId="198" applyFont="1" applyBorder="1" applyAlignment="1" applyProtection="1">
      <alignment horizontal="right" vertical="top"/>
    </xf>
    <xf numFmtId="0" fontId="71" fillId="0" borderId="0" xfId="2" applyFont="1" applyAlignment="1">
      <alignment horizontal="center" vertical="center"/>
    </xf>
    <xf numFmtId="168" fontId="71" fillId="0" borderId="99" xfId="1" applyNumberFormat="1" applyFont="1" applyBorder="1" applyAlignment="1">
      <alignment horizontal="right" vertical="top"/>
    </xf>
    <xf numFmtId="0" fontId="17" fillId="0" borderId="0" xfId="87" applyFont="1" applyAlignment="1">
      <alignment horizontal="center" vertical="center"/>
    </xf>
    <xf numFmtId="0" fontId="71" fillId="0" borderId="99" xfId="2" applyFont="1" applyBorder="1"/>
    <xf numFmtId="44" fontId="71" fillId="0" borderId="99" xfId="198" applyFont="1" applyBorder="1" applyAlignment="1">
      <alignment horizontal="right" vertical="top"/>
    </xf>
    <xf numFmtId="0" fontId="71" fillId="0" borderId="11" xfId="0" applyFont="1" applyBorder="1" applyAlignment="1">
      <alignment horizontal="center"/>
    </xf>
    <xf numFmtId="2" fontId="71" fillId="0" borderId="99" xfId="45" applyNumberFormat="1" applyFont="1" applyBorder="1" applyAlignment="1">
      <alignment horizontal="center" vertical="center" wrapText="1"/>
    </xf>
    <xf numFmtId="44" fontId="71" fillId="0" borderId="99" xfId="198" applyFont="1" applyBorder="1" applyAlignment="1">
      <alignment horizontal="center" vertical="top"/>
    </xf>
    <xf numFmtId="0" fontId="71" fillId="0" borderId="99" xfId="2" applyFont="1" applyBorder="1" applyAlignment="1">
      <alignment horizontal="center" vertical="center"/>
    </xf>
    <xf numFmtId="169" fontId="71" fillId="0" borderId="99" xfId="2" applyNumberFormat="1" applyFont="1" applyBorder="1" applyAlignment="1">
      <alignment horizontal="center" vertical="top"/>
    </xf>
    <xf numFmtId="0" fontId="74" fillId="0" borderId="11" xfId="0" applyFont="1" applyBorder="1" applyAlignment="1">
      <alignment horizontal="center"/>
    </xf>
    <xf numFmtId="0" fontId="17" fillId="0" borderId="11" xfId="0" applyFont="1" applyBorder="1" applyAlignment="1">
      <alignment horizontal="center"/>
    </xf>
    <xf numFmtId="0" fontId="17" fillId="0" borderId="0" xfId="2" applyAlignment="1">
      <alignment horizontal="left" wrapText="1"/>
    </xf>
    <xf numFmtId="0" fontId="17" fillId="0" borderId="99" xfId="2" applyBorder="1" applyAlignment="1">
      <alignment horizontal="center"/>
    </xf>
    <xf numFmtId="0" fontId="71" fillId="0" borderId="10" xfId="87" applyFont="1" applyBorder="1" applyAlignment="1">
      <alignment horizontal="center" vertical="distributed"/>
    </xf>
    <xf numFmtId="0" fontId="71" fillId="0" borderId="10" xfId="87" applyFont="1" applyBorder="1" applyAlignment="1">
      <alignment horizontal="center" vertical="center"/>
    </xf>
    <xf numFmtId="0" fontId="32" fillId="0" borderId="10" xfId="0" applyFont="1" applyBorder="1" applyAlignment="1">
      <alignment horizontal="left" vertical="center" wrapText="1"/>
    </xf>
    <xf numFmtId="0" fontId="21" fillId="0" borderId="11" xfId="0" applyFont="1" applyBorder="1" applyAlignment="1">
      <alignment horizontal="center"/>
    </xf>
    <xf numFmtId="0" fontId="17" fillId="0" borderId="99" xfId="2" applyBorder="1" applyAlignment="1">
      <alignment horizontal="center" wrapText="1"/>
    </xf>
    <xf numFmtId="0" fontId="21" fillId="0" borderId="99" xfId="29" applyFont="1" applyBorder="1" applyAlignment="1">
      <alignment horizontal="center" wrapText="1"/>
    </xf>
    <xf numFmtId="49" fontId="17" fillId="0" borderId="0" xfId="29" applyNumberFormat="1" applyAlignment="1">
      <alignment horizontal="center" vertical="center"/>
    </xf>
    <xf numFmtId="171" fontId="71" fillId="0" borderId="99" xfId="29" applyNumberFormat="1" applyFont="1" applyBorder="1" applyAlignment="1">
      <alignment horizontal="center" vertical="center"/>
    </xf>
    <xf numFmtId="0" fontId="71" fillId="0" borderId="99" xfId="30" applyFont="1" applyBorder="1" applyAlignment="1">
      <alignment horizontal="center" vertical="distributed"/>
    </xf>
    <xf numFmtId="0" fontId="17" fillId="0" borderId="99" xfId="221" applyBorder="1" applyAlignment="1">
      <alignment horizontal="center" vertical="distributed"/>
    </xf>
    <xf numFmtId="0" fontId="71" fillId="0" borderId="0" xfId="0" applyFont="1" applyAlignment="1">
      <alignment horizontal="center"/>
    </xf>
    <xf numFmtId="0" fontId="71" fillId="0" borderId="0" xfId="29" applyFont="1" applyAlignment="1">
      <alignment horizontal="center" vertical="center"/>
    </xf>
    <xf numFmtId="0" fontId="73" fillId="0" borderId="0" xfId="29" applyFont="1" applyAlignment="1">
      <alignment vertical="center"/>
    </xf>
    <xf numFmtId="0" fontId="71" fillId="0" borderId="99" xfId="29" applyFont="1" applyBorder="1" applyAlignment="1">
      <alignment horizontal="center" vertical="center"/>
    </xf>
    <xf numFmtId="172" fontId="71" fillId="0" borderId="99" xfId="35" applyFont="1" applyBorder="1" applyAlignment="1">
      <alignment vertical="top" wrapText="1"/>
    </xf>
    <xf numFmtId="0" fontId="73" fillId="2" borderId="90" xfId="29" applyFont="1" applyFill="1" applyBorder="1" applyAlignment="1">
      <alignment horizontal="center" vertical="center"/>
    </xf>
    <xf numFmtId="0" fontId="73" fillId="0" borderId="99" xfId="29" applyFont="1" applyBorder="1" applyAlignment="1">
      <alignment horizontal="left" vertical="center"/>
    </xf>
    <xf numFmtId="44" fontId="71" fillId="0" borderId="0" xfId="277" applyFont="1" applyBorder="1" applyAlignment="1">
      <alignment horizontal="center"/>
    </xf>
    <xf numFmtId="0" fontId="71" fillId="0" borderId="99" xfId="29" applyFont="1" applyBorder="1" applyAlignment="1">
      <alignment horizontal="left" wrapText="1"/>
    </xf>
    <xf numFmtId="0" fontId="71" fillId="0" borderId="99" xfId="221" applyFont="1" applyBorder="1" applyAlignment="1">
      <alignment horizontal="center" vertical="distributed"/>
    </xf>
    <xf numFmtId="0" fontId="71" fillId="0" borderId="99" xfId="29" applyFont="1" applyBorder="1" applyAlignment="1">
      <alignment horizontal="center" vertical="top"/>
    </xf>
    <xf numFmtId="0" fontId="17" fillId="0" borderId="99" xfId="29" applyBorder="1" applyAlignment="1">
      <alignment horizontal="center" vertical="top" wrapText="1"/>
    </xf>
    <xf numFmtId="0" fontId="73" fillId="0" borderId="99" xfId="29" applyFont="1" applyBorder="1" applyAlignment="1">
      <alignment horizontal="center" vertical="center"/>
    </xf>
    <xf numFmtId="44" fontId="71" fillId="0" borderId="0" xfId="277" applyFont="1" applyFill="1" applyBorder="1" applyAlignment="1">
      <alignment horizontal="center"/>
    </xf>
    <xf numFmtId="172" fontId="71" fillId="0" borderId="0" xfId="35" applyFont="1" applyAlignment="1">
      <alignment vertical="top" wrapText="1"/>
    </xf>
    <xf numFmtId="172" fontId="71" fillId="0" borderId="0" xfId="35" applyFont="1" applyAlignment="1">
      <alignment horizontal="center" vertical="center"/>
    </xf>
    <xf numFmtId="172" fontId="71" fillId="0" borderId="99" xfId="35" applyFont="1" applyBorder="1" applyAlignment="1">
      <alignment horizontal="center" vertical="center"/>
    </xf>
    <xf numFmtId="0" fontId="21" fillId="0" borderId="10" xfId="45" applyFont="1" applyBorder="1" applyAlignment="1">
      <alignment horizontal="center" wrapText="1"/>
    </xf>
    <xf numFmtId="0" fontId="17" fillId="0" borderId="10" xfId="45" applyFont="1" applyBorder="1" applyAlignment="1">
      <alignment wrapText="1"/>
    </xf>
    <xf numFmtId="2" fontId="17" fillId="0" borderId="10" xfId="45" applyNumberFormat="1" applyFont="1" applyBorder="1" applyAlignment="1">
      <alignment wrapText="1"/>
    </xf>
    <xf numFmtId="0" fontId="21" fillId="0" borderId="11" xfId="0" applyFont="1" applyBorder="1" applyAlignment="1">
      <alignment horizontal="center" vertical="center"/>
    </xf>
    <xf numFmtId="178" fontId="21" fillId="0" borderId="10" xfId="45" applyNumberFormat="1" applyFont="1" applyBorder="1" applyAlignment="1">
      <alignment horizontal="center" vertical="center" wrapText="1"/>
    </xf>
    <xf numFmtId="1" fontId="21" fillId="0" borderId="10" xfId="45" applyNumberFormat="1" applyFont="1" applyBorder="1" applyAlignment="1">
      <alignment horizontal="center" vertical="center" wrapText="1"/>
    </xf>
    <xf numFmtId="0" fontId="17" fillId="0" borderId="10" xfId="2" applyBorder="1" applyAlignment="1">
      <alignment horizontal="center" vertical="top"/>
    </xf>
    <xf numFmtId="2" fontId="17" fillId="0" borderId="10" xfId="1" applyNumberFormat="1" applyBorder="1" applyAlignment="1">
      <alignment horizontal="center" vertical="center"/>
    </xf>
    <xf numFmtId="0" fontId="21" fillId="0" borderId="10" xfId="2" applyFont="1" applyBorder="1" applyAlignment="1">
      <alignment vertical="top" wrapText="1"/>
    </xf>
    <xf numFmtId="1" fontId="17" fillId="0" borderId="10" xfId="2" applyNumberFormat="1" applyBorder="1" applyAlignment="1">
      <alignment horizontal="center" vertical="center"/>
    </xf>
    <xf numFmtId="172" fontId="17" fillId="0" borderId="10" xfId="35" applyFont="1" applyBorder="1" applyAlignment="1">
      <alignment vertical="top"/>
    </xf>
    <xf numFmtId="0" fontId="71" fillId="0" borderId="11" xfId="0" applyFont="1" applyBorder="1" applyAlignment="1">
      <alignment horizontal="center" vertical="center"/>
    </xf>
    <xf numFmtId="178" fontId="17" fillId="0" borderId="10" xfId="45" applyNumberFormat="1" applyFont="1" applyBorder="1" applyAlignment="1">
      <alignment horizontal="center" vertical="center" wrapText="1"/>
    </xf>
    <xf numFmtId="178" fontId="71" fillId="0" borderId="10" xfId="1" applyNumberFormat="1" applyFont="1" applyBorder="1" applyAlignment="1">
      <alignment horizontal="center" vertical="center"/>
    </xf>
    <xf numFmtId="0" fontId="71" fillId="0" borderId="10" xfId="1" applyFont="1" applyBorder="1" applyAlignment="1">
      <alignment horizontal="left" vertical="center" wrapText="1"/>
    </xf>
    <xf numFmtId="2" fontId="71" fillId="0" borderId="10" xfId="1" applyNumberFormat="1" applyFont="1" applyBorder="1" applyAlignment="1">
      <alignment horizontal="center" vertical="center"/>
    </xf>
    <xf numFmtId="2" fontId="17" fillId="2" borderId="91" xfId="0" applyNumberFormat="1" applyFont="1" applyFill="1" applyBorder="1" applyAlignment="1">
      <alignment horizontal="center" vertical="center"/>
    </xf>
    <xf numFmtId="0" fontId="21" fillId="0" borderId="10" xfId="45" applyFont="1" applyBorder="1" applyAlignment="1">
      <alignment horizontal="left" wrapText="1"/>
    </xf>
    <xf numFmtId="1" fontId="17" fillId="0" borderId="11" xfId="45" applyNumberFormat="1" applyFont="1" applyBorder="1" applyAlignment="1">
      <alignment horizontal="center" vertical="center"/>
    </xf>
    <xf numFmtId="172" fontId="21" fillId="0" borderId="0" xfId="44" applyFont="1" applyAlignment="1">
      <alignment wrapText="1"/>
    </xf>
    <xf numFmtId="0" fontId="74" fillId="0" borderId="11" xfId="0" applyFont="1" applyBorder="1" applyAlignment="1">
      <alignment horizontal="center" vertical="center"/>
    </xf>
    <xf numFmtId="0" fontId="71" fillId="0" borderId="11" xfId="1" applyFont="1" applyBorder="1" applyAlignment="1">
      <alignment horizontal="center" vertical="center"/>
    </xf>
    <xf numFmtId="172" fontId="21" fillId="0" borderId="10" xfId="35" applyFont="1" applyBorder="1" applyAlignment="1">
      <alignment horizontal="center" vertical="center" wrapText="1"/>
    </xf>
    <xf numFmtId="44" fontId="21" fillId="2" borderId="6" xfId="198" applyFont="1" applyFill="1" applyBorder="1" applyAlignment="1" applyProtection="1">
      <alignment horizontal="right" vertical="top"/>
    </xf>
    <xf numFmtId="0" fontId="21" fillId="0" borderId="11" xfId="2" applyFont="1" applyBorder="1" applyAlignment="1">
      <alignment horizontal="left" vertical="top" wrapText="1"/>
    </xf>
    <xf numFmtId="172" fontId="68" fillId="0" borderId="99" xfId="35" applyFont="1" applyBorder="1" applyAlignment="1">
      <alignment horizontal="center" vertical="center"/>
    </xf>
    <xf numFmtId="172" fontId="68" fillId="0" borderId="0" xfId="35" applyFont="1" applyAlignment="1">
      <alignment vertical="top" wrapText="1"/>
    </xf>
    <xf numFmtId="1" fontId="68" fillId="0" borderId="0" xfId="0" applyNumberFormat="1" applyFont="1" applyAlignment="1">
      <alignment horizontal="center" vertical="center"/>
    </xf>
    <xf numFmtId="0" fontId="71" fillId="0" borderId="0" xfId="0" applyFont="1" applyAlignment="1">
      <alignment vertical="center" wrapText="1"/>
    </xf>
    <xf numFmtId="1" fontId="71" fillId="0" borderId="0" xfId="0" applyNumberFormat="1" applyFont="1" applyAlignment="1">
      <alignment horizontal="center" vertical="center"/>
    </xf>
    <xf numFmtId="0" fontId="21" fillId="2" borderId="90" xfId="1" applyFont="1" applyFill="1" applyBorder="1" applyAlignment="1">
      <alignment horizontal="center" vertical="top"/>
    </xf>
    <xf numFmtId="0" fontId="21" fillId="2" borderId="90" xfId="1" applyFont="1" applyFill="1" applyBorder="1" applyAlignment="1">
      <alignment horizontal="center" vertical="top" wrapText="1"/>
    </xf>
    <xf numFmtId="171" fontId="21" fillId="2" borderId="90" xfId="1" applyNumberFormat="1" applyFont="1" applyFill="1" applyBorder="1" applyAlignment="1">
      <alignment horizontal="center" vertical="center"/>
    </xf>
    <xf numFmtId="44" fontId="71" fillId="0" borderId="0" xfId="198" applyFont="1" applyBorder="1" applyAlignment="1" applyProtection="1">
      <alignment horizontal="center" vertical="center" wrapText="1"/>
    </xf>
    <xf numFmtId="44" fontId="21" fillId="2" borderId="0" xfId="198" applyFont="1" applyFill="1" applyBorder="1" applyAlignment="1" applyProtection="1">
      <alignment vertical="center"/>
    </xf>
    <xf numFmtId="44" fontId="71" fillId="0" borderId="0" xfId="198" applyFont="1" applyFill="1" applyBorder="1" applyAlignment="1" applyProtection="1">
      <alignment vertical="center"/>
    </xf>
    <xf numFmtId="44" fontId="71" fillId="0" borderId="0" xfId="198" applyFont="1" applyFill="1" applyBorder="1" applyAlignment="1" applyProtection="1">
      <alignment horizontal="center" vertical="center" wrapText="1"/>
    </xf>
    <xf numFmtId="44" fontId="73" fillId="0" borderId="0" xfId="198" applyFont="1" applyBorder="1" applyAlignment="1" applyProtection="1">
      <alignment horizontal="right" vertical="center"/>
    </xf>
    <xf numFmtId="44" fontId="71" fillId="0" borderId="0" xfId="198" applyFont="1" applyFill="1" applyBorder="1" applyAlignment="1" applyProtection="1">
      <alignment horizontal="center" vertical="center"/>
    </xf>
    <xf numFmtId="189" fontId="17" fillId="0" borderId="0" xfId="198" applyNumberFormat="1" applyFont="1" applyBorder="1" applyAlignment="1" applyProtection="1">
      <alignment vertical="center"/>
    </xf>
    <xf numFmtId="44" fontId="21" fillId="0" borderId="0" xfId="198" applyFont="1" applyBorder="1" applyAlignment="1" applyProtection="1">
      <alignment vertical="center"/>
    </xf>
    <xf numFmtId="44" fontId="17" fillId="2" borderId="0" xfId="198" applyFont="1" applyFill="1" applyBorder="1" applyAlignment="1" applyProtection="1">
      <alignment horizontal="right" vertical="center"/>
    </xf>
    <xf numFmtId="44" fontId="21" fillId="2" borderId="0" xfId="198" applyFont="1" applyFill="1" applyBorder="1" applyAlignment="1" applyProtection="1">
      <alignment horizontal="right" vertical="center"/>
    </xf>
    <xf numFmtId="44" fontId="73" fillId="0" borderId="0" xfId="198" applyFont="1" applyBorder="1" applyAlignment="1" applyProtection="1">
      <alignment vertical="center"/>
    </xf>
    <xf numFmtId="44" fontId="71" fillId="0" borderId="0" xfId="198" applyFont="1" applyFill="1" applyBorder="1" applyAlignment="1" applyProtection="1">
      <alignment horizontal="right" vertical="center"/>
    </xf>
    <xf numFmtId="44" fontId="17" fillId="2" borderId="0" xfId="198" applyFont="1" applyFill="1" applyBorder="1" applyAlignment="1" applyProtection="1">
      <alignment vertical="center"/>
    </xf>
    <xf numFmtId="44" fontId="74" fillId="0" borderId="0" xfId="198" applyFont="1" applyBorder="1" applyAlignment="1" applyProtection="1">
      <alignment vertical="center"/>
    </xf>
    <xf numFmtId="44" fontId="21" fillId="0" borderId="0" xfId="198" applyFont="1" applyFill="1" applyBorder="1" applyAlignment="1" applyProtection="1">
      <alignment vertical="center"/>
    </xf>
    <xf numFmtId="0" fontId="20" fillId="0" borderId="34" xfId="0" applyFont="1" applyBorder="1"/>
    <xf numFmtId="0" fontId="24" fillId="0" borderId="72" xfId="0" applyFont="1" applyBorder="1" applyAlignment="1">
      <alignment horizontal="center"/>
    </xf>
    <xf numFmtId="0" fontId="24" fillId="0" borderId="38" xfId="0" applyFont="1" applyBorder="1" applyAlignment="1">
      <alignment horizontal="center"/>
    </xf>
    <xf numFmtId="0" fontId="24" fillId="0" borderId="39" xfId="0" applyFont="1" applyBorder="1"/>
    <xf numFmtId="44" fontId="20" fillId="0" borderId="40" xfId="198" applyFont="1" applyBorder="1" applyAlignment="1"/>
    <xf numFmtId="0" fontId="96" fillId="0" borderId="0" xfId="508" applyFont="1" applyAlignment="1">
      <alignment horizontal="center"/>
    </xf>
    <xf numFmtId="0" fontId="71" fillId="0" borderId="0" xfId="508" applyFont="1" applyAlignment="1">
      <alignment vertical="center"/>
    </xf>
    <xf numFmtId="0" fontId="119" fillId="0" borderId="0" xfId="508" applyFont="1" applyAlignment="1">
      <alignment vertical="center"/>
    </xf>
    <xf numFmtId="0" fontId="94" fillId="0" borderId="0" xfId="508" applyFont="1" applyAlignment="1">
      <alignment vertical="center"/>
    </xf>
    <xf numFmtId="0" fontId="17" fillId="0" borderId="0" xfId="508" applyFont="1" applyAlignment="1">
      <alignment vertical="center" textRotation="90" wrapText="1"/>
    </xf>
    <xf numFmtId="0" fontId="90" fillId="0" borderId="0" xfId="508" applyFont="1" applyAlignment="1">
      <alignment horizontal="center" vertical="center"/>
    </xf>
    <xf numFmtId="0" fontId="71" fillId="23" borderId="57" xfId="508" applyFont="1" applyFill="1" applyBorder="1" applyAlignment="1">
      <alignment vertical="center"/>
    </xf>
    <xf numFmtId="0" fontId="71" fillId="24" borderId="57" xfId="508" applyFont="1" applyFill="1" applyBorder="1" applyAlignment="1">
      <alignment vertical="center"/>
    </xf>
    <xf numFmtId="0" fontId="17" fillId="0" borderId="69" xfId="508" applyFont="1" applyBorder="1" applyAlignment="1">
      <alignment vertical="center" textRotation="90" wrapText="1"/>
    </xf>
    <xf numFmtId="0" fontId="71" fillId="0" borderId="0" xfId="508" applyFont="1" applyAlignment="1">
      <alignment vertical="center" wrapText="1"/>
    </xf>
    <xf numFmtId="0" fontId="71" fillId="0" borderId="17" xfId="508" applyFont="1" applyBorder="1" applyAlignment="1">
      <alignment horizontal="center" vertical="center"/>
    </xf>
    <xf numFmtId="0" fontId="71" fillId="0" borderId="14" xfId="508" applyFont="1" applyBorder="1" applyAlignment="1">
      <alignment horizontal="center" vertical="center"/>
    </xf>
    <xf numFmtId="0" fontId="71" fillId="0" borderId="103" xfId="508" applyFont="1" applyBorder="1" applyAlignment="1">
      <alignment horizontal="center" vertical="center"/>
    </xf>
    <xf numFmtId="0" fontId="71" fillId="0" borderId="104" xfId="508" applyFont="1" applyBorder="1" applyAlignment="1">
      <alignment horizontal="center" vertical="center"/>
    </xf>
    <xf numFmtId="0" fontId="71" fillId="0" borderId="18" xfId="508" applyFont="1" applyBorder="1" applyAlignment="1">
      <alignment horizontal="center" vertical="center"/>
    </xf>
    <xf numFmtId="0" fontId="71" fillId="0" borderId="0" xfId="508" applyFont="1" applyAlignment="1">
      <alignment horizontal="center" vertical="center"/>
    </xf>
    <xf numFmtId="9" fontId="71" fillId="0" borderId="0" xfId="509" applyFont="1" applyAlignment="1">
      <alignment vertical="center"/>
    </xf>
    <xf numFmtId="0" fontId="17" fillId="0" borderId="106" xfId="508" applyFont="1" applyBorder="1" applyAlignment="1">
      <alignment vertical="center"/>
    </xf>
    <xf numFmtId="0" fontId="71" fillId="23" borderId="36" xfId="508" applyFont="1" applyFill="1" applyBorder="1" applyAlignment="1">
      <alignment vertical="center"/>
    </xf>
    <xf numFmtId="0" fontId="71" fillId="23" borderId="37" xfId="508" applyFont="1" applyFill="1" applyBorder="1" applyAlignment="1">
      <alignment vertical="center"/>
    </xf>
    <xf numFmtId="0" fontId="71" fillId="0" borderId="36" xfId="508" applyFont="1" applyBorder="1" applyAlignment="1">
      <alignment vertical="center"/>
    </xf>
    <xf numFmtId="0" fontId="71" fillId="0" borderId="57" xfId="508" applyFont="1" applyBorder="1" applyAlignment="1">
      <alignment vertical="center"/>
    </xf>
    <xf numFmtId="0" fontId="71" fillId="0" borderId="37" xfId="508" applyFont="1" applyBorder="1" applyAlignment="1">
      <alignment vertical="center"/>
    </xf>
    <xf numFmtId="0" fontId="71" fillId="24" borderId="36" xfId="508" applyFont="1" applyFill="1" applyBorder="1" applyAlignment="1">
      <alignment vertical="center"/>
    </xf>
    <xf numFmtId="0" fontId="71" fillId="24" borderId="37" xfId="508" applyFont="1" applyFill="1" applyBorder="1" applyAlignment="1">
      <alignment vertical="center"/>
    </xf>
    <xf numFmtId="0" fontId="71" fillId="0" borderId="49" xfId="508" applyFont="1" applyBorder="1" applyAlignment="1">
      <alignment vertical="center"/>
    </xf>
    <xf numFmtId="9" fontId="71" fillId="0" borderId="57" xfId="509" applyFont="1" applyBorder="1" applyAlignment="1">
      <alignment vertical="center"/>
    </xf>
    <xf numFmtId="0" fontId="21" fillId="0" borderId="106" xfId="508" applyFont="1" applyBorder="1" applyAlignment="1">
      <alignment vertical="center"/>
    </xf>
    <xf numFmtId="9" fontId="71" fillId="0" borderId="57" xfId="509" applyFont="1" applyBorder="1" applyAlignment="1">
      <alignment horizontal="center" vertical="center"/>
    </xf>
    <xf numFmtId="0" fontId="68" fillId="0" borderId="57" xfId="508" applyFont="1" applyBorder="1" applyAlignment="1">
      <alignment vertical="center"/>
    </xf>
    <xf numFmtId="0" fontId="17" fillId="0" borderId="106" xfId="508" applyFont="1" applyBorder="1" applyAlignment="1">
      <alignment horizontal="left" vertical="center" indent="1"/>
    </xf>
    <xf numFmtId="0" fontId="71" fillId="23" borderId="50" xfId="508" applyFont="1" applyFill="1" applyBorder="1" applyAlignment="1">
      <alignment vertical="center"/>
    </xf>
    <xf numFmtId="0" fontId="71" fillId="0" borderId="50" xfId="508" applyFont="1" applyBorder="1" applyAlignment="1">
      <alignment vertical="center"/>
    </xf>
    <xf numFmtId="0" fontId="17" fillId="0" borderId="106" xfId="508" applyFont="1" applyBorder="1" applyAlignment="1">
      <alignment vertical="center" wrapText="1"/>
    </xf>
    <xf numFmtId="0" fontId="68" fillId="0" borderId="36" xfId="508" applyFont="1" applyBorder="1" applyAlignment="1">
      <alignment vertical="center" wrapText="1"/>
    </xf>
    <xf numFmtId="0" fontId="68" fillId="0" borderId="57" xfId="508" applyFont="1" applyBorder="1" applyAlignment="1">
      <alignment vertical="center" wrapText="1"/>
    </xf>
    <xf numFmtId="0" fontId="68" fillId="0" borderId="37" xfId="508" applyFont="1" applyBorder="1" applyAlignment="1">
      <alignment vertical="center"/>
    </xf>
    <xf numFmtId="0" fontId="68" fillId="0" borderId="0" xfId="508" applyFont="1" applyAlignment="1">
      <alignment vertical="center"/>
    </xf>
    <xf numFmtId="0" fontId="68" fillId="24" borderId="57" xfId="508" applyFont="1" applyFill="1" applyBorder="1" applyAlignment="1">
      <alignment vertical="center"/>
    </xf>
    <xf numFmtId="0" fontId="68" fillId="0" borderId="36" xfId="508" applyFont="1" applyBorder="1" applyAlignment="1">
      <alignment vertical="center"/>
    </xf>
    <xf numFmtId="0" fontId="68" fillId="24" borderId="37" xfId="508" applyFont="1" applyFill="1" applyBorder="1" applyAlignment="1">
      <alignment vertical="center"/>
    </xf>
    <xf numFmtId="0" fontId="68" fillId="23" borderId="36" xfId="508" applyFont="1" applyFill="1" applyBorder="1" applyAlignment="1">
      <alignment vertical="center"/>
    </xf>
    <xf numFmtId="0" fontId="68" fillId="23" borderId="57" xfId="508" applyFont="1" applyFill="1" applyBorder="1" applyAlignment="1">
      <alignment vertical="center"/>
    </xf>
    <xf numFmtId="0" fontId="17" fillId="0" borderId="107" xfId="508" applyFont="1" applyBorder="1" applyAlignment="1">
      <alignment vertical="center"/>
    </xf>
    <xf numFmtId="0" fontId="68" fillId="0" borderId="38" xfId="508" applyFont="1" applyBorder="1" applyAlignment="1">
      <alignment vertical="center"/>
    </xf>
    <xf numFmtId="0" fontId="68" fillId="0" borderId="39" xfId="508" applyFont="1" applyBorder="1" applyAlignment="1">
      <alignment vertical="center"/>
    </xf>
    <xf numFmtId="0" fontId="71" fillId="23" borderId="39" xfId="508" applyFont="1" applyFill="1" applyBorder="1" applyAlignment="1">
      <alignment vertical="center"/>
    </xf>
    <xf numFmtId="0" fontId="71" fillId="0" borderId="39" xfId="508" applyFont="1" applyBorder="1" applyAlignment="1">
      <alignment vertical="center"/>
    </xf>
    <xf numFmtId="0" fontId="71" fillId="0" borderId="40" xfId="508" applyFont="1" applyBorder="1" applyAlignment="1">
      <alignment vertical="center"/>
    </xf>
    <xf numFmtId="0" fontId="71" fillId="0" borderId="38" xfId="508" applyFont="1" applyBorder="1" applyAlignment="1">
      <alignment vertical="center"/>
    </xf>
    <xf numFmtId="0" fontId="123" fillId="0" borderId="71" xfId="508" applyFont="1" applyBorder="1" applyAlignment="1">
      <alignment vertical="center"/>
    </xf>
    <xf numFmtId="0" fontId="124" fillId="0" borderId="26" xfId="508" applyFont="1" applyBorder="1" applyAlignment="1">
      <alignment vertical="center"/>
    </xf>
    <xf numFmtId="0" fontId="124" fillId="0" borderId="0" xfId="508" applyFont="1" applyAlignment="1">
      <alignment vertical="center"/>
    </xf>
    <xf numFmtId="0" fontId="123" fillId="0" borderId="38" xfId="508" applyFont="1" applyBorder="1" applyAlignment="1">
      <alignment vertical="center"/>
    </xf>
    <xf numFmtId="0" fontId="124" fillId="0" borderId="39" xfId="508" applyFont="1" applyBorder="1" applyAlignment="1">
      <alignment vertical="center"/>
    </xf>
    <xf numFmtId="0" fontId="124" fillId="0" borderId="40" xfId="508" applyFont="1" applyBorder="1" applyAlignment="1">
      <alignment vertical="center"/>
    </xf>
    <xf numFmtId="0" fontId="17" fillId="0" borderId="0" xfId="508" applyFont="1" applyAlignment="1">
      <alignment vertical="center"/>
    </xf>
    <xf numFmtId="0" fontId="20" fillId="0" borderId="36" xfId="0" applyFont="1" applyBorder="1" applyAlignment="1">
      <alignment horizontal="center" vertical="center"/>
    </xf>
    <xf numFmtId="44" fontId="20" fillId="0" borderId="37" xfId="0" applyNumberFormat="1" applyFont="1" applyBorder="1" applyAlignment="1">
      <alignment vertical="center"/>
    </xf>
    <xf numFmtId="0" fontId="17" fillId="0" borderId="105" xfId="508" applyFont="1" applyBorder="1" applyAlignment="1">
      <alignment vertical="center"/>
    </xf>
    <xf numFmtId="9" fontId="71" fillId="0" borderId="0" xfId="509" applyFont="1" applyFill="1" applyAlignment="1">
      <alignment vertical="center"/>
    </xf>
    <xf numFmtId="0" fontId="71" fillId="0" borderId="33" xfId="508" applyFont="1" applyBorder="1" applyAlignment="1">
      <alignment vertical="center"/>
    </xf>
    <xf numFmtId="0" fontId="71" fillId="0" borderId="34" xfId="508" applyFont="1" applyBorder="1" applyAlignment="1">
      <alignment vertical="center"/>
    </xf>
    <xf numFmtId="0" fontId="71" fillId="0" borderId="35" xfId="508" applyFont="1" applyBorder="1" applyAlignment="1">
      <alignment vertical="center"/>
    </xf>
    <xf numFmtId="0" fontId="20" fillId="0" borderId="68" xfId="0" applyFont="1" applyBorder="1" applyAlignment="1">
      <alignment horizontal="center" vertical="center"/>
    </xf>
    <xf numFmtId="0" fontId="20" fillId="0" borderId="70" xfId="0" applyFont="1" applyBorder="1" applyAlignment="1">
      <alignment horizontal="center" vertical="center"/>
    </xf>
    <xf numFmtId="0" fontId="20" fillId="0" borderId="67" xfId="0" applyFont="1" applyBorder="1" applyAlignment="1">
      <alignment horizontal="center" vertical="center"/>
    </xf>
    <xf numFmtId="0" fontId="24" fillId="0" borderId="33" xfId="0" applyFont="1" applyBorder="1" applyAlignment="1">
      <alignment vertical="center"/>
    </xf>
    <xf numFmtId="0" fontId="20" fillId="0" borderId="34" xfId="0" applyFont="1" applyBorder="1" applyAlignment="1">
      <alignment vertical="center"/>
    </xf>
    <xf numFmtId="0" fontId="24" fillId="0" borderId="35" xfId="0" applyFont="1" applyBorder="1" applyAlignment="1">
      <alignment vertical="center"/>
    </xf>
    <xf numFmtId="0" fontId="24" fillId="0" borderId="36" xfId="0" applyFont="1" applyBorder="1" applyAlignment="1">
      <alignment horizontal="center" vertical="center"/>
    </xf>
    <xf numFmtId="0" fontId="24" fillId="0" borderId="57" xfId="0" applyFont="1" applyBorder="1" applyAlignment="1">
      <alignment vertical="center"/>
    </xf>
    <xf numFmtId="44" fontId="20" fillId="0" borderId="37" xfId="198" applyFont="1" applyBorder="1" applyAlignment="1">
      <alignment vertical="center"/>
    </xf>
    <xf numFmtId="170" fontId="0" fillId="0" borderId="0" xfId="197" applyFont="1" applyAlignment="1">
      <alignment vertical="center"/>
    </xf>
    <xf numFmtId="44" fontId="20" fillId="0" borderId="37" xfId="198" applyFont="1" applyFill="1" applyBorder="1" applyAlignment="1">
      <alignment vertical="center"/>
    </xf>
    <xf numFmtId="0" fontId="24" fillId="0" borderId="72" xfId="0" applyFont="1" applyBorder="1" applyAlignment="1">
      <alignment horizontal="center" vertical="center"/>
    </xf>
    <xf numFmtId="44" fontId="20" fillId="25" borderId="73" xfId="198" applyFont="1" applyFill="1" applyBorder="1" applyAlignment="1">
      <alignment vertical="center"/>
    </xf>
    <xf numFmtId="0" fontId="24" fillId="0" borderId="38" xfId="0" applyFont="1" applyBorder="1" applyAlignment="1">
      <alignment horizontal="center" vertical="center"/>
    </xf>
    <xf numFmtId="0" fontId="24" fillId="0" borderId="39" xfId="0" applyFont="1" applyBorder="1" applyAlignment="1">
      <alignment vertical="center"/>
    </xf>
    <xf numFmtId="44" fontId="20" fillId="0" borderId="40" xfId="198" applyFont="1" applyBorder="1" applyAlignment="1">
      <alignment vertical="center"/>
    </xf>
    <xf numFmtId="0" fontId="24" fillId="0" borderId="68" xfId="0" applyFont="1" applyBorder="1" applyAlignment="1">
      <alignment vertical="center"/>
    </xf>
    <xf numFmtId="0" fontId="20" fillId="0" borderId="70" xfId="0" applyFont="1" applyBorder="1" applyAlignment="1">
      <alignment vertical="center"/>
    </xf>
    <xf numFmtId="44" fontId="20" fillId="0" borderId="67" xfId="0" applyNumberFormat="1" applyFont="1" applyBorder="1" applyAlignment="1">
      <alignment vertical="center"/>
    </xf>
    <xf numFmtId="0" fontId="24" fillId="0" borderId="71" xfId="0" applyFont="1" applyBorder="1" applyAlignment="1">
      <alignment vertical="center"/>
    </xf>
    <xf numFmtId="44" fontId="20" fillId="0" borderId="26" xfId="0" applyNumberFormat="1" applyFont="1" applyBorder="1" applyAlignment="1">
      <alignment vertical="center"/>
    </xf>
    <xf numFmtId="0" fontId="24" fillId="0" borderId="36" xfId="0" applyFont="1" applyBorder="1" applyAlignment="1">
      <alignment vertical="center"/>
    </xf>
    <xf numFmtId="0" fontId="20" fillId="12" borderId="57" xfId="0" applyFont="1" applyFill="1" applyBorder="1" applyAlignment="1">
      <alignment horizontal="left" vertical="center" wrapText="1"/>
    </xf>
    <xf numFmtId="0" fontId="20" fillId="12" borderId="57" xfId="0" applyFont="1" applyFill="1" applyBorder="1" applyAlignment="1">
      <alignment vertical="center" wrapText="1"/>
    </xf>
    <xf numFmtId="44" fontId="20" fillId="0" borderId="37" xfId="0" applyNumberFormat="1" applyFont="1" applyBorder="1" applyAlignment="1">
      <alignment vertical="center" wrapText="1"/>
    </xf>
    <xf numFmtId="0" fontId="20" fillId="12" borderId="57" xfId="0" applyFont="1" applyFill="1" applyBorder="1" applyAlignment="1">
      <alignment vertical="center"/>
    </xf>
    <xf numFmtId="44" fontId="20" fillId="12" borderId="37" xfId="0" applyNumberFormat="1" applyFont="1" applyFill="1" applyBorder="1" applyAlignment="1">
      <alignment vertical="center"/>
    </xf>
    <xf numFmtId="0" fontId="20" fillId="0" borderId="57" xfId="0" applyFont="1" applyBorder="1" applyAlignment="1">
      <alignment vertical="center"/>
    </xf>
    <xf numFmtId="0" fontId="24" fillId="0" borderId="57" xfId="0" applyFont="1" applyBorder="1" applyAlignment="1">
      <alignment vertical="center" wrapText="1"/>
    </xf>
    <xf numFmtId="0" fontId="24" fillId="0" borderId="38" xfId="0" applyFont="1" applyBorder="1" applyAlignment="1">
      <alignment vertical="center"/>
    </xf>
    <xf numFmtId="0" fontId="20" fillId="0" borderId="39" xfId="0" applyFont="1" applyBorder="1" applyAlignment="1">
      <alignment vertical="center"/>
    </xf>
    <xf numFmtId="44" fontId="20" fillId="0" borderId="40" xfId="0" applyNumberFormat="1" applyFont="1" applyBorder="1" applyAlignment="1">
      <alignment vertical="center"/>
    </xf>
    <xf numFmtId="0" fontId="24" fillId="0" borderId="71" xfId="0" applyFont="1" applyBorder="1" applyAlignment="1">
      <alignment horizontal="center" vertical="center"/>
    </xf>
    <xf numFmtId="0" fontId="20" fillId="0" borderId="72" xfId="0" applyFont="1" applyBorder="1" applyAlignment="1">
      <alignment horizontal="center" vertical="center"/>
    </xf>
    <xf numFmtId="44" fontId="20" fillId="0" borderId="73" xfId="198" applyFont="1" applyBorder="1" applyAlignment="1">
      <alignment vertical="center"/>
    </xf>
    <xf numFmtId="0" fontId="20" fillId="0" borderId="68" xfId="0" applyFont="1" applyBorder="1" applyAlignment="1">
      <alignment vertical="center"/>
    </xf>
    <xf numFmtId="0" fontId="20" fillId="0" borderId="70" xfId="0" applyFont="1" applyBorder="1" applyAlignment="1">
      <alignment horizontal="left" vertical="center"/>
    </xf>
    <xf numFmtId="170" fontId="22" fillId="0" borderId="0" xfId="197" applyFont="1" applyAlignment="1">
      <alignment vertical="center"/>
    </xf>
    <xf numFmtId="0" fontId="21" fillId="26" borderId="57" xfId="0" applyFont="1" applyFill="1" applyBorder="1" applyAlignment="1">
      <alignment vertical="center"/>
    </xf>
    <xf numFmtId="44" fontId="21" fillId="26" borderId="57" xfId="0" applyNumberFormat="1" applyFont="1" applyFill="1" applyBorder="1" applyAlignment="1">
      <alignment vertical="center"/>
    </xf>
    <xf numFmtId="0" fontId="21" fillId="26" borderId="57" xfId="0" applyFont="1" applyFill="1" applyBorder="1" applyAlignment="1">
      <alignment horizontal="center" vertical="center"/>
    </xf>
    <xf numFmtId="43" fontId="21" fillId="26" borderId="57" xfId="0" applyNumberFormat="1" applyFont="1" applyFill="1" applyBorder="1" applyAlignment="1">
      <alignment vertical="center"/>
    </xf>
    <xf numFmtId="0" fontId="21" fillId="0" borderId="0" xfId="0" applyFont="1" applyAlignment="1">
      <alignment horizontal="center" vertical="center" wrapText="1"/>
    </xf>
    <xf numFmtId="0" fontId="21" fillId="0" borderId="99" xfId="0" applyFont="1" applyBorder="1" applyAlignment="1">
      <alignment horizontal="center" vertical="center" wrapText="1"/>
    </xf>
    <xf numFmtId="0" fontId="73" fillId="2" borderId="54" xfId="394" applyFont="1" applyFill="1" applyBorder="1" applyAlignment="1">
      <alignment horizontal="center" vertical="top"/>
    </xf>
    <xf numFmtId="0" fontId="21" fillId="2" borderId="90" xfId="2" applyFont="1" applyFill="1" applyBorder="1" applyAlignment="1">
      <alignment horizontal="center" vertical="center"/>
    </xf>
    <xf numFmtId="0" fontId="21" fillId="2" borderId="6" xfId="2" applyFont="1" applyFill="1" applyBorder="1" applyAlignment="1">
      <alignment horizontal="center" vertical="center"/>
    </xf>
    <xf numFmtId="44" fontId="17" fillId="0" borderId="87" xfId="266" applyFont="1" applyBorder="1" applyAlignment="1" applyProtection="1">
      <alignment horizontal="right" vertical="center"/>
      <protection locked="0"/>
    </xf>
    <xf numFmtId="44" fontId="92" fillId="0" borderId="0" xfId="277" applyFont="1" applyBorder="1" applyAlignment="1" applyProtection="1">
      <alignment horizontal="center" vertical="distributed"/>
      <protection locked="0"/>
    </xf>
    <xf numFmtId="44" fontId="17" fillId="0" borderId="0" xfId="266" applyFont="1" applyBorder="1" applyAlignment="1" applyProtection="1">
      <alignment horizontal="right" vertical="center"/>
      <protection locked="0"/>
    </xf>
    <xf numFmtId="44" fontId="17" fillId="4" borderId="90" xfId="266" applyFont="1" applyFill="1" applyBorder="1" applyAlignment="1" applyProtection="1">
      <alignment vertical="center"/>
      <protection locked="0"/>
    </xf>
    <xf numFmtId="44" fontId="17" fillId="4" borderId="6" xfId="266" applyFont="1" applyFill="1" applyBorder="1" applyAlignment="1" applyProtection="1">
      <alignment vertical="center"/>
      <protection locked="0"/>
    </xf>
    <xf numFmtId="44" fontId="17" fillId="0" borderId="90" xfId="266" applyFont="1" applyBorder="1" applyAlignment="1" applyProtection="1">
      <alignment horizontal="right" vertical="center"/>
      <protection locked="0"/>
    </xf>
    <xf numFmtId="44" fontId="17" fillId="0" borderId="0" xfId="266" applyFont="1" applyBorder="1" applyAlignment="1" applyProtection="1">
      <alignment vertical="center"/>
      <protection locked="0"/>
    </xf>
    <xf numFmtId="44" fontId="0" fillId="2" borderId="90" xfId="198" applyFont="1" applyFill="1" applyBorder="1" applyAlignment="1" applyProtection="1">
      <alignment horizontal="center" vertical="center"/>
    </xf>
    <xf numFmtId="44" fontId="0" fillId="2" borderId="90" xfId="198" applyFont="1" applyFill="1" applyBorder="1" applyAlignment="1" applyProtection="1">
      <alignment vertical="center"/>
    </xf>
    <xf numFmtId="44" fontId="0" fillId="2" borderId="91" xfId="198" applyFont="1" applyFill="1" applyBorder="1" applyAlignment="1" applyProtection="1">
      <alignment horizontal="center" vertical="center"/>
    </xf>
    <xf numFmtId="44" fontId="0" fillId="2" borderId="6" xfId="198" applyFont="1" applyFill="1" applyBorder="1" applyAlignment="1" applyProtection="1">
      <alignment horizontal="center" vertical="center"/>
    </xf>
    <xf numFmtId="44" fontId="21" fillId="2" borderId="6" xfId="198" applyFont="1" applyFill="1" applyBorder="1" applyAlignment="1" applyProtection="1">
      <alignment horizontal="center" vertical="center"/>
    </xf>
    <xf numFmtId="44" fontId="17" fillId="2" borderId="90" xfId="198" applyFont="1" applyFill="1" applyBorder="1" applyAlignment="1" applyProtection="1">
      <alignment horizontal="center" vertical="center"/>
    </xf>
    <xf numFmtId="44" fontId="17" fillId="2" borderId="90" xfId="198" applyFont="1" applyFill="1" applyBorder="1" applyAlignment="1" applyProtection="1">
      <alignment vertical="center" wrapText="1"/>
    </xf>
    <xf numFmtId="44" fontId="21" fillId="2" borderId="91" xfId="198" applyFont="1" applyFill="1" applyBorder="1" applyAlignment="1" applyProtection="1">
      <alignment horizontal="center" vertical="center"/>
    </xf>
    <xf numFmtId="44" fontId="92" fillId="0" borderId="0" xfId="277" applyFont="1" applyBorder="1" applyAlignment="1" applyProtection="1">
      <alignment horizontal="center" vertical="distributed" wrapText="1"/>
      <protection locked="0"/>
    </xf>
    <xf numFmtId="189" fontId="17" fillId="4" borderId="90" xfId="0" applyNumberFormat="1" applyFont="1" applyFill="1" applyBorder="1" applyAlignment="1" applyProtection="1">
      <alignment vertical="center"/>
      <protection locked="0"/>
    </xf>
    <xf numFmtId="189" fontId="17" fillId="4" borderId="6" xfId="0" applyNumberFormat="1" applyFont="1" applyFill="1" applyBorder="1" applyAlignment="1" applyProtection="1">
      <alignment vertical="center"/>
      <protection locked="0"/>
    </xf>
    <xf numFmtId="44" fontId="0" fillId="4" borderId="90" xfId="198" applyFont="1" applyFill="1" applyBorder="1" applyAlignment="1" applyProtection="1">
      <alignment vertical="center"/>
      <protection locked="0"/>
    </xf>
    <xf numFmtId="44" fontId="0" fillId="4" borderId="6" xfId="198" applyFont="1" applyFill="1" applyBorder="1" applyAlignment="1" applyProtection="1">
      <alignment vertical="center"/>
      <protection locked="0"/>
    </xf>
    <xf numFmtId="44" fontId="21" fillId="2" borderId="5" xfId="198" applyFont="1" applyFill="1" applyBorder="1" applyAlignment="1" applyProtection="1">
      <alignment horizontal="right" vertical="center"/>
      <protection locked="0"/>
    </xf>
    <xf numFmtId="44" fontId="17" fillId="4" borderId="90" xfId="198" applyFont="1" applyFill="1" applyBorder="1" applyAlignment="1" applyProtection="1">
      <alignment vertical="center"/>
      <protection locked="0"/>
    </xf>
    <xf numFmtId="44" fontId="17" fillId="4" borderId="6" xfId="198" applyFont="1" applyFill="1" applyBorder="1" applyAlignment="1" applyProtection="1">
      <alignment vertical="center"/>
      <protection locked="0"/>
    </xf>
    <xf numFmtId="189" fontId="17" fillId="2" borderId="90" xfId="1" applyNumberFormat="1" applyFill="1" applyBorder="1" applyAlignment="1" applyProtection="1">
      <alignment horizontal="right" vertical="center"/>
      <protection locked="0"/>
    </xf>
    <xf numFmtId="189" fontId="21" fillId="2" borderId="6" xfId="1" applyNumberFormat="1" applyFont="1" applyFill="1" applyBorder="1" applyAlignment="1" applyProtection="1">
      <alignment horizontal="right" vertical="center"/>
      <protection locked="0"/>
    </xf>
    <xf numFmtId="44" fontId="73" fillId="2" borderId="89" xfId="266" applyFont="1" applyFill="1" applyBorder="1" applyAlignment="1" applyProtection="1">
      <alignment vertical="center"/>
    </xf>
    <xf numFmtId="44" fontId="87" fillId="0" borderId="88" xfId="266" applyFont="1" applyBorder="1" applyAlignment="1" applyProtection="1">
      <alignment vertical="center"/>
    </xf>
    <xf numFmtId="44" fontId="73" fillId="2" borderId="5" xfId="198" applyFont="1" applyFill="1" applyBorder="1" applyAlignment="1" applyProtection="1">
      <alignment horizontal="right" vertical="top"/>
    </xf>
    <xf numFmtId="189" fontId="17" fillId="0" borderId="111" xfId="1" applyNumberFormat="1" applyBorder="1" applyAlignment="1" applyProtection="1">
      <alignment horizontal="right" vertical="top"/>
      <protection locked="0"/>
    </xf>
    <xf numFmtId="44" fontId="17" fillId="0" borderId="111" xfId="198" applyFont="1" applyBorder="1" applyAlignment="1" applyProtection="1">
      <alignment horizontal="right" vertical="top"/>
      <protection locked="0"/>
    </xf>
    <xf numFmtId="44" fontId="71" fillId="0" borderId="111" xfId="198" applyFont="1" applyFill="1" applyBorder="1" applyAlignment="1" applyProtection="1">
      <alignment horizontal="right" vertical="top"/>
      <protection locked="0"/>
    </xf>
    <xf numFmtId="44" fontId="71" fillId="0" borderId="111" xfId="198" applyFont="1" applyBorder="1" applyAlignment="1" applyProtection="1">
      <alignment horizontal="right" vertical="top"/>
      <protection locked="0"/>
    </xf>
    <xf numFmtId="0" fontId="126" fillId="27" borderId="0" xfId="0" applyFont="1" applyFill="1"/>
    <xf numFmtId="0" fontId="128" fillId="27" borderId="0" xfId="2" applyFont="1" applyFill="1" applyAlignment="1">
      <alignment vertical="center"/>
    </xf>
    <xf numFmtId="0" fontId="128" fillId="27" borderId="0" xfId="0" applyFont="1" applyFill="1"/>
    <xf numFmtId="0" fontId="129" fillId="27" borderId="0" xfId="0" applyFont="1" applyFill="1" applyAlignment="1">
      <alignment wrapText="1"/>
    </xf>
    <xf numFmtId="0" fontId="128" fillId="27" borderId="0" xfId="0" applyFont="1" applyFill="1" applyAlignment="1">
      <alignment vertical="center"/>
    </xf>
    <xf numFmtId="0" fontId="127" fillId="27" borderId="0" xfId="0" applyFont="1" applyFill="1"/>
    <xf numFmtId="44" fontId="71" fillId="0" borderId="0" xfId="266" applyFont="1" applyFill="1" applyBorder="1" applyAlignment="1" applyProtection="1">
      <alignment horizontal="right" vertical="top"/>
    </xf>
    <xf numFmtId="44" fontId="68" fillId="0" borderId="0" xfId="266" applyFont="1" applyFill="1" applyBorder="1" applyAlignment="1" applyProtection="1">
      <alignment horizontal="right" vertical="top"/>
    </xf>
    <xf numFmtId="44" fontId="71" fillId="0" borderId="0" xfId="198" applyFont="1" applyFill="1" applyBorder="1" applyAlignment="1" applyProtection="1">
      <alignment horizontal="right" vertical="top"/>
    </xf>
    <xf numFmtId="0" fontId="21" fillId="3" borderId="92" xfId="2" applyFont="1" applyFill="1" applyBorder="1" applyAlignment="1">
      <alignment horizontal="center" vertical="center" wrapText="1"/>
    </xf>
    <xf numFmtId="0" fontId="21" fillId="3" borderId="90" xfId="2" applyFont="1" applyFill="1" applyBorder="1" applyAlignment="1">
      <alignment horizontal="center" vertical="center" wrapText="1"/>
    </xf>
    <xf numFmtId="0" fontId="21" fillId="3" borderId="84" xfId="2" applyFont="1" applyFill="1" applyBorder="1" applyAlignment="1">
      <alignment horizontal="center" vertical="center" wrapText="1"/>
    </xf>
    <xf numFmtId="0" fontId="17" fillId="0" borderId="87" xfId="0" applyFont="1" applyBorder="1" applyAlignment="1">
      <alignment horizontal="center" vertical="center"/>
    </xf>
    <xf numFmtId="0" fontId="17" fillId="0" borderId="85" xfId="1" applyBorder="1" applyAlignment="1">
      <alignment horizontal="center" vertical="center"/>
    </xf>
    <xf numFmtId="0" fontId="17" fillId="0" borderId="85" xfId="1" applyBorder="1" applyAlignment="1">
      <alignment horizontal="left" vertical="center" wrapText="1"/>
    </xf>
    <xf numFmtId="39" fontId="17" fillId="0" borderId="86" xfId="1" applyNumberFormat="1" applyBorder="1" applyAlignment="1">
      <alignment horizontal="center" vertical="center"/>
    </xf>
    <xf numFmtId="171" fontId="17" fillId="0" borderId="85" xfId="1" applyNumberFormat="1" applyBorder="1" applyAlignment="1">
      <alignment horizontal="center" vertical="center"/>
    </xf>
    <xf numFmtId="0" fontId="93" fillId="0" borderId="0" xfId="87" applyFont="1" applyAlignment="1">
      <alignment horizontal="center" vertical="center"/>
    </xf>
    <xf numFmtId="44" fontId="92" fillId="0" borderId="83" xfId="277" applyFont="1" applyBorder="1" applyAlignment="1" applyProtection="1">
      <alignment vertical="distributed"/>
    </xf>
    <xf numFmtId="0" fontId="93" fillId="0" borderId="0" xfId="0" applyFont="1"/>
    <xf numFmtId="39" fontId="17" fillId="0" borderId="0" xfId="1" applyNumberFormat="1" applyAlignment="1">
      <alignment horizontal="center" vertical="center"/>
    </xf>
    <xf numFmtId="4" fontId="71" fillId="0" borderId="0" xfId="0" applyNumberFormat="1" applyFont="1" applyAlignment="1">
      <alignment horizontal="center" vertical="center" wrapText="1"/>
    </xf>
    <xf numFmtId="4" fontId="71" fillId="0" borderId="0" xfId="0" applyNumberFormat="1" applyFont="1" applyAlignment="1">
      <alignment vertical="center" wrapText="1"/>
    </xf>
    <xf numFmtId="4" fontId="17" fillId="0" borderId="0" xfId="0" applyNumberFormat="1" applyFont="1" applyAlignment="1">
      <alignment horizontal="center" vertical="center" wrapText="1"/>
    </xf>
    <xf numFmtId="49" fontId="71" fillId="0" borderId="0" xfId="0" applyNumberFormat="1" applyFont="1" applyAlignment="1">
      <alignment horizontal="center" vertical="center" wrapText="1"/>
    </xf>
    <xf numFmtId="49" fontId="17" fillId="0" borderId="0" xfId="0" applyNumberFormat="1" applyFont="1" applyAlignment="1">
      <alignment horizontal="center" vertical="center" wrapText="1"/>
    </xf>
    <xf numFmtId="4" fontId="73" fillId="0" borderId="0" xfId="0" applyNumberFormat="1" applyFont="1" applyAlignment="1">
      <alignment horizontal="center" vertical="center" wrapText="1"/>
    </xf>
    <xf numFmtId="4" fontId="17" fillId="0" borderId="0" xfId="0" applyNumberFormat="1" applyFont="1" applyAlignment="1">
      <alignment vertical="center" wrapText="1"/>
    </xf>
    <xf numFmtId="0" fontId="17" fillId="0" borderId="90" xfId="0" applyFont="1" applyBorder="1" applyAlignment="1">
      <alignment vertical="center"/>
    </xf>
    <xf numFmtId="4" fontId="68" fillId="0" borderId="0" xfId="0" applyNumberFormat="1" applyFont="1" applyAlignment="1">
      <alignment horizontal="center" vertical="center" wrapText="1"/>
    </xf>
    <xf numFmtId="44" fontId="17" fillId="0" borderId="83" xfId="266" applyFont="1" applyFill="1" applyBorder="1" applyAlignment="1" applyProtection="1">
      <alignment horizontal="right" vertical="center"/>
    </xf>
    <xf numFmtId="0" fontId="17" fillId="19" borderId="90" xfId="0" applyFont="1" applyFill="1" applyBorder="1" applyAlignment="1">
      <alignment horizontal="center" vertical="center"/>
    </xf>
    <xf numFmtId="0" fontId="17" fillId="3" borderId="90" xfId="0" applyFont="1" applyFill="1" applyBorder="1" applyAlignment="1">
      <alignment vertical="center"/>
    </xf>
    <xf numFmtId="0" fontId="17" fillId="19" borderId="91" xfId="0" applyFont="1" applyFill="1" applyBorder="1" applyAlignment="1">
      <alignment horizontal="center" vertical="center"/>
    </xf>
    <xf numFmtId="0" fontId="17" fillId="19" borderId="6" xfId="0" applyFont="1" applyFill="1" applyBorder="1" applyAlignment="1">
      <alignment horizontal="center" vertical="center"/>
    </xf>
    <xf numFmtId="44" fontId="17" fillId="0" borderId="0" xfId="266" applyFont="1" applyAlignment="1" applyProtection="1">
      <alignment vertical="center"/>
    </xf>
    <xf numFmtId="44" fontId="68" fillId="0" borderId="0" xfId="266" applyFont="1" applyAlignment="1" applyProtection="1">
      <alignment vertical="center"/>
    </xf>
    <xf numFmtId="0" fontId="20" fillId="0" borderId="0" xfId="2" applyFont="1" applyAlignment="1">
      <alignment horizontal="right" vertical="center"/>
    </xf>
    <xf numFmtId="0" fontId="21" fillId="3" borderId="56" xfId="2" applyFont="1" applyFill="1" applyBorder="1" applyAlignment="1">
      <alignment horizontal="center" vertical="center" wrapText="1"/>
    </xf>
    <xf numFmtId="189" fontId="21" fillId="3" borderId="0" xfId="2" applyNumberFormat="1" applyFont="1" applyFill="1" applyAlignment="1">
      <alignment horizontal="center" vertical="center"/>
    </xf>
    <xf numFmtId="49" fontId="73" fillId="0" borderId="0" xfId="0" applyNumberFormat="1" applyFont="1" applyAlignment="1">
      <alignment vertical="center" wrapText="1"/>
    </xf>
    <xf numFmtId="44" fontId="92" fillId="0" borderId="0" xfId="277" applyFont="1" applyBorder="1" applyAlignment="1" applyProtection="1">
      <alignment vertical="distributed" wrapText="1"/>
    </xf>
    <xf numFmtId="189" fontId="17" fillId="0" borderId="0" xfId="1" applyNumberFormat="1" applyAlignment="1">
      <alignment horizontal="right" vertical="center"/>
    </xf>
    <xf numFmtId="189" fontId="17" fillId="0" borderId="0" xfId="2" applyNumberFormat="1" applyAlignment="1">
      <alignment vertical="center"/>
    </xf>
    <xf numFmtId="171" fontId="17" fillId="0" borderId="0" xfId="1" applyNumberFormat="1" applyAlignment="1">
      <alignment horizontal="center" vertical="center"/>
    </xf>
    <xf numFmtId="169" fontId="17" fillId="0" borderId="0" xfId="63" applyNumberFormat="1" applyFont="1" applyAlignment="1">
      <alignment horizontal="right" vertical="center"/>
    </xf>
    <xf numFmtId="0" fontId="71" fillId="0" borderId="0" xfId="0" applyFont="1" applyAlignment="1">
      <alignment horizontal="center" vertical="center" wrapText="1"/>
    </xf>
    <xf numFmtId="169" fontId="71" fillId="0" borderId="0" xfId="63" applyNumberFormat="1" applyFont="1" applyAlignment="1">
      <alignment horizontal="right" vertical="center"/>
    </xf>
    <xf numFmtId="39" fontId="17" fillId="0" borderId="0" xfId="2" applyNumberFormat="1" applyAlignment="1">
      <alignment vertical="center"/>
    </xf>
    <xf numFmtId="169" fontId="71" fillId="0" borderId="0" xfId="2" applyNumberFormat="1" applyFont="1" applyAlignment="1">
      <alignment horizontal="center" vertical="center"/>
    </xf>
    <xf numFmtId="39" fontId="17" fillId="0" borderId="0" xfId="0" applyNumberFormat="1" applyFont="1" applyAlignment="1">
      <alignment vertical="center" wrapText="1"/>
    </xf>
    <xf numFmtId="39" fontId="71" fillId="0" borderId="0" xfId="0" applyNumberFormat="1" applyFont="1" applyAlignment="1">
      <alignment vertical="center"/>
    </xf>
    <xf numFmtId="39" fontId="74" fillId="0" borderId="0" xfId="0" applyNumberFormat="1" applyFont="1" applyAlignment="1">
      <alignment vertical="center"/>
    </xf>
    <xf numFmtId="189" fontId="17" fillId="2" borderId="0" xfId="0" applyNumberFormat="1" applyFont="1" applyFill="1" applyAlignment="1">
      <alignment vertical="center"/>
    </xf>
    <xf numFmtId="0" fontId="17" fillId="2" borderId="91" xfId="0" applyFont="1" applyFill="1" applyBorder="1" applyAlignment="1">
      <alignment horizontal="center" vertical="center"/>
    </xf>
    <xf numFmtId="0" fontId="74" fillId="0" borderId="0" xfId="0" applyFont="1" applyAlignment="1">
      <alignment vertical="center"/>
    </xf>
    <xf numFmtId="0" fontId="17" fillId="12" borderId="0" xfId="0" applyFont="1" applyFill="1" applyAlignment="1">
      <alignment vertical="center"/>
    </xf>
    <xf numFmtId="189" fontId="71" fillId="0" borderId="0" xfId="2" applyNumberFormat="1" applyFont="1" applyAlignment="1">
      <alignment vertical="center"/>
    </xf>
    <xf numFmtId="0" fontId="73" fillId="0" borderId="0" xfId="0" applyFont="1" applyAlignment="1">
      <alignment vertical="center"/>
    </xf>
    <xf numFmtId="0" fontId="22" fillId="0" borderId="0" xfId="0" applyFont="1" applyAlignment="1">
      <alignment horizontal="right" vertical="center"/>
    </xf>
    <xf numFmtId="4" fontId="17" fillId="0" borderId="0" xfId="0" applyNumberFormat="1" applyFont="1" applyAlignment="1">
      <alignment vertical="center"/>
    </xf>
    <xf numFmtId="189" fontId="73" fillId="0" borderId="0" xfId="2" applyNumberFormat="1" applyFont="1" applyAlignment="1">
      <alignment vertical="center"/>
    </xf>
    <xf numFmtId="44" fontId="0" fillId="2" borderId="0" xfId="198" applyFont="1" applyFill="1" applyBorder="1" applyAlignment="1" applyProtection="1">
      <alignment vertical="center"/>
    </xf>
    <xf numFmtId="189" fontId="21" fillId="2" borderId="0" xfId="198" applyNumberFormat="1" applyFont="1" applyFill="1" applyBorder="1" applyAlignment="1" applyProtection="1">
      <alignment vertical="center"/>
    </xf>
    <xf numFmtId="44" fontId="0" fillId="0" borderId="0" xfId="198" applyFont="1" applyBorder="1" applyAlignment="1" applyProtection="1">
      <alignment vertical="center"/>
    </xf>
    <xf numFmtId="0" fontId="40" fillId="12" borderId="0" xfId="0" applyFont="1" applyFill="1" applyAlignment="1">
      <alignment vertical="center"/>
    </xf>
    <xf numFmtId="49" fontId="90" fillId="0" borderId="0" xfId="0" applyNumberFormat="1" applyFont="1" applyAlignment="1">
      <alignment vertical="center" wrapText="1"/>
    </xf>
    <xf numFmtId="189" fontId="71" fillId="0" borderId="0" xfId="2" applyNumberFormat="1" applyFont="1" applyAlignment="1">
      <alignment horizontal="center" vertical="center"/>
    </xf>
    <xf numFmtId="2" fontId="17" fillId="0" borderId="0" xfId="0" applyNumberFormat="1" applyFont="1" applyAlignment="1">
      <alignment horizontal="center" vertical="center"/>
    </xf>
    <xf numFmtId="0" fontId="71" fillId="0" borderId="111" xfId="2" applyFont="1" applyBorder="1" applyAlignment="1">
      <alignment horizontal="center" vertical="center"/>
    </xf>
    <xf numFmtId="0" fontId="71" fillId="0" borderId="111" xfId="0" applyFont="1" applyBorder="1" applyAlignment="1">
      <alignment vertical="center"/>
    </xf>
    <xf numFmtId="0" fontId="40" fillId="0" borderId="0" xfId="0" applyFont="1" applyAlignment="1">
      <alignment vertical="center"/>
    </xf>
    <xf numFmtId="44" fontId="68" fillId="0" borderId="0" xfId="198" applyFont="1" applyFill="1" applyBorder="1" applyAlignment="1" applyProtection="1">
      <alignment vertical="center"/>
    </xf>
    <xf numFmtId="0" fontId="68" fillId="20" borderId="0" xfId="0" applyFont="1" applyFill="1" applyAlignment="1">
      <alignment vertical="center"/>
    </xf>
    <xf numFmtId="177" fontId="17" fillId="0" borderId="111" xfId="2" applyNumberFormat="1" applyBorder="1" applyAlignment="1">
      <alignment horizontal="center" vertical="center"/>
    </xf>
    <xf numFmtId="0" fontId="17" fillId="2" borderId="90" xfId="1" applyFill="1" applyBorder="1" applyAlignment="1">
      <alignment vertical="center" wrapText="1"/>
    </xf>
    <xf numFmtId="171" fontId="17" fillId="2" borderId="90" xfId="1" applyNumberFormat="1" applyFill="1" applyBorder="1" applyAlignment="1">
      <alignment horizontal="center" vertical="center"/>
    </xf>
    <xf numFmtId="0" fontId="71" fillId="12" borderId="0" xfId="0" applyFont="1" applyFill="1" applyAlignment="1">
      <alignment vertical="center"/>
    </xf>
    <xf numFmtId="191" fontId="71" fillId="0" borderId="111" xfId="2" applyNumberFormat="1" applyFont="1" applyBorder="1" applyAlignment="1">
      <alignment horizontal="center" vertical="center"/>
    </xf>
    <xf numFmtId="0" fontId="17" fillId="0" borderId="111" xfId="0" applyFont="1" applyBorder="1" applyAlignment="1">
      <alignment horizontal="center" vertical="center"/>
    </xf>
    <xf numFmtId="0" fontId="17" fillId="0" borderId="91" xfId="0" applyFont="1" applyBorder="1" applyAlignment="1">
      <alignment horizontal="center" vertical="center"/>
    </xf>
    <xf numFmtId="189" fontId="17" fillId="2" borderId="0" xfId="1" applyNumberFormat="1" applyFill="1" applyAlignment="1">
      <alignment horizontal="right" vertical="center"/>
    </xf>
    <xf numFmtId="189" fontId="73" fillId="2" borderId="5" xfId="1" applyNumberFormat="1" applyFont="1" applyFill="1" applyBorder="1" applyAlignment="1">
      <alignment horizontal="right" vertical="center"/>
    </xf>
    <xf numFmtId="189" fontId="21" fillId="2" borderId="0" xfId="1" applyNumberFormat="1" applyFont="1" applyFill="1" applyAlignment="1">
      <alignment horizontal="right" vertical="center"/>
    </xf>
    <xf numFmtId="189" fontId="17" fillId="0" borderId="0" xfId="0" applyNumberFormat="1" applyFont="1" applyAlignment="1">
      <alignment vertical="center"/>
    </xf>
    <xf numFmtId="189" fontId="68" fillId="0" borderId="0" xfId="0" applyNumberFormat="1" applyFont="1" applyAlignment="1">
      <alignment vertical="center"/>
    </xf>
    <xf numFmtId="44" fontId="21" fillId="2" borderId="74" xfId="198" applyFont="1" applyFill="1" applyBorder="1" applyAlignment="1" applyProtection="1">
      <alignment horizontal="right" vertical="top"/>
    </xf>
    <xf numFmtId="168" fontId="17" fillId="2" borderId="112" xfId="1" applyNumberFormat="1" applyFill="1" applyBorder="1" applyAlignment="1">
      <alignment horizontal="right" vertical="top"/>
    </xf>
    <xf numFmtId="44" fontId="17" fillId="0" borderId="10" xfId="198" applyFont="1" applyBorder="1" applyAlignment="1" applyProtection="1">
      <alignment horizontal="right" vertical="top"/>
      <protection locked="0"/>
    </xf>
    <xf numFmtId="189" fontId="17" fillId="0" borderId="10" xfId="0" applyNumberFormat="1" applyFont="1" applyBorder="1" applyProtection="1">
      <protection locked="0"/>
    </xf>
    <xf numFmtId="44" fontId="17" fillId="0" borderId="10" xfId="198" applyFont="1" applyBorder="1" applyAlignment="1" applyProtection="1">
      <alignment horizontal="center"/>
      <protection locked="0"/>
    </xf>
    <xf numFmtId="189" fontId="21" fillId="0" borderId="10" xfId="2" applyNumberFormat="1" applyFont="1" applyBorder="1" applyAlignment="1" applyProtection="1">
      <alignment horizontal="center"/>
      <protection locked="0"/>
    </xf>
    <xf numFmtId="189" fontId="17" fillId="0" borderId="10" xfId="1" applyNumberFormat="1" applyBorder="1" applyAlignment="1" applyProtection="1">
      <alignment vertical="top"/>
      <protection locked="0"/>
    </xf>
    <xf numFmtId="44" fontId="71" fillId="0" borderId="10" xfId="198" applyFont="1" applyBorder="1" applyAlignment="1" applyProtection="1">
      <alignment vertical="top"/>
      <protection locked="0"/>
    </xf>
    <xf numFmtId="189" fontId="71" fillId="0" borderId="10" xfId="1" applyNumberFormat="1" applyFont="1" applyBorder="1" applyAlignment="1" applyProtection="1">
      <alignment vertical="top"/>
      <protection locked="0"/>
    </xf>
    <xf numFmtId="44" fontId="71" fillId="0" borderId="10" xfId="198" applyFont="1" applyBorder="1" applyAlignment="1" applyProtection="1">
      <alignment horizontal="center"/>
      <protection locked="0"/>
    </xf>
    <xf numFmtId="189" fontId="17" fillId="0" borderId="10" xfId="2" applyNumberFormat="1" applyBorder="1" applyProtection="1">
      <protection locked="0"/>
    </xf>
    <xf numFmtId="44" fontId="71" fillId="0" borderId="10" xfId="198" applyFont="1" applyBorder="1" applyAlignment="1" applyProtection="1">
      <alignment horizontal="right" vertical="top"/>
      <protection locked="0"/>
    </xf>
    <xf numFmtId="189" fontId="71" fillId="0" borderId="10" xfId="2" applyNumberFormat="1" applyFont="1" applyBorder="1" applyAlignment="1" applyProtection="1">
      <alignment horizontal="center"/>
      <protection locked="0"/>
    </xf>
    <xf numFmtId="189" fontId="89" fillId="0" borderId="10" xfId="1" applyNumberFormat="1" applyFont="1" applyBorder="1" applyAlignment="1" applyProtection="1">
      <alignment vertical="top"/>
      <protection locked="0"/>
    </xf>
    <xf numFmtId="189" fontId="71" fillId="0" borderId="10" xfId="0" applyNumberFormat="1" applyFont="1" applyBorder="1" applyProtection="1">
      <protection locked="0"/>
    </xf>
    <xf numFmtId="44" fontId="71" fillId="0" borderId="10" xfId="198" applyFont="1" applyBorder="1" applyAlignment="1" applyProtection="1">
      <protection locked="0"/>
    </xf>
    <xf numFmtId="189" fontId="68" fillId="0" borderId="10" xfId="1" applyNumberFormat="1" applyFont="1" applyBorder="1" applyAlignment="1" applyProtection="1">
      <alignment vertical="top"/>
      <protection locked="0"/>
    </xf>
    <xf numFmtId="189" fontId="71" fillId="0" borderId="10" xfId="2" applyNumberFormat="1" applyFont="1" applyBorder="1" applyAlignment="1" applyProtection="1">
      <alignment horizontal="right" vertical="top"/>
      <protection locked="0"/>
    </xf>
    <xf numFmtId="44" fontId="71" fillId="0" borderId="10" xfId="198" applyFont="1" applyFill="1" applyBorder="1" applyAlignment="1" applyProtection="1">
      <alignment horizontal="center" vertical="center" wrapText="1"/>
      <protection locked="0"/>
    </xf>
    <xf numFmtId="44" fontId="71" fillId="0" borderId="10" xfId="198" applyFont="1" applyBorder="1" applyAlignment="1" applyProtection="1">
      <alignment horizontal="center" vertical="center"/>
      <protection locked="0"/>
    </xf>
    <xf numFmtId="189" fontId="17" fillId="4" borderId="5" xfId="0" applyNumberFormat="1" applyFont="1" applyFill="1" applyBorder="1" applyProtection="1">
      <protection locked="0"/>
    </xf>
    <xf numFmtId="189" fontId="17" fillId="0" borderId="11" xfId="2" applyNumberFormat="1" applyBorder="1" applyAlignment="1" applyProtection="1">
      <alignment horizontal="center" vertical="center"/>
      <protection locked="0"/>
    </xf>
    <xf numFmtId="189" fontId="74" fillId="0" borderId="11" xfId="2" applyNumberFormat="1" applyFont="1" applyBorder="1" applyAlignment="1" applyProtection="1">
      <alignment horizontal="center"/>
      <protection locked="0"/>
    </xf>
    <xf numFmtId="44" fontId="71" fillId="0" borderId="11" xfId="198" applyFont="1" applyBorder="1" applyAlignment="1" applyProtection="1">
      <alignment horizontal="center" vertical="center"/>
      <protection locked="0"/>
    </xf>
    <xf numFmtId="189" fontId="68" fillId="0" borderId="11" xfId="2" applyNumberFormat="1" applyFont="1" applyBorder="1" applyAlignment="1" applyProtection="1">
      <alignment horizontal="center"/>
      <protection locked="0"/>
    </xf>
    <xf numFmtId="189" fontId="71" fillId="0" borderId="11" xfId="2" applyNumberFormat="1" applyFont="1" applyBorder="1" applyAlignment="1" applyProtection="1">
      <alignment horizontal="center"/>
      <protection locked="0"/>
    </xf>
    <xf numFmtId="44" fontId="71" fillId="0" borderId="11" xfId="198" applyFont="1" applyBorder="1" applyAlignment="1" applyProtection="1">
      <alignment horizontal="center"/>
      <protection locked="0"/>
    </xf>
    <xf numFmtId="168" fontId="21" fillId="0" borderId="10" xfId="1" applyNumberFormat="1" applyFont="1" applyBorder="1" applyAlignment="1" applyProtection="1">
      <alignment horizontal="center" vertical="center"/>
      <protection locked="0"/>
    </xf>
    <xf numFmtId="168" fontId="17" fillId="0" borderId="10" xfId="1" applyNumberFormat="1" applyBorder="1" applyAlignment="1" applyProtection="1">
      <alignment horizontal="center"/>
      <protection locked="0"/>
    </xf>
    <xf numFmtId="189" fontId="68" fillId="0" borderId="0" xfId="2" applyNumberFormat="1" applyFont="1" applyAlignment="1" applyProtection="1">
      <alignment horizontal="center"/>
      <protection locked="0"/>
    </xf>
    <xf numFmtId="44" fontId="17" fillId="0" borderId="10" xfId="198" applyFont="1" applyFill="1" applyBorder="1" applyAlignment="1" applyProtection="1">
      <alignment vertical="center"/>
      <protection locked="0"/>
    </xf>
    <xf numFmtId="44" fontId="68" fillId="0" borderId="10" xfId="198" applyFont="1" applyFill="1" applyBorder="1" applyAlignment="1" applyProtection="1">
      <alignment vertical="center"/>
      <protection locked="0"/>
    </xf>
    <xf numFmtId="44" fontId="71" fillId="0" borderId="10" xfId="198" applyFont="1" applyFill="1" applyBorder="1" applyAlignment="1" applyProtection="1">
      <alignment vertical="center"/>
      <protection locked="0"/>
    </xf>
    <xf numFmtId="189" fontId="17" fillId="0" borderId="11" xfId="0" applyNumberFormat="1" applyFont="1" applyBorder="1" applyProtection="1">
      <protection locked="0"/>
    </xf>
    <xf numFmtId="189" fontId="71" fillId="0" borderId="10" xfId="2" applyNumberFormat="1" applyFont="1" applyBorder="1" applyAlignment="1" applyProtection="1">
      <alignment horizontal="center" vertical="center"/>
      <protection locked="0"/>
    </xf>
    <xf numFmtId="44" fontId="71" fillId="0" borderId="10" xfId="198" applyFont="1" applyFill="1" applyBorder="1" applyAlignment="1" applyProtection="1">
      <alignment horizontal="center" vertical="center"/>
      <protection locked="0"/>
    </xf>
    <xf numFmtId="44" fontId="17" fillId="0" borderId="10" xfId="198" applyFont="1" applyBorder="1" applyProtection="1">
      <protection locked="0"/>
    </xf>
    <xf numFmtId="189" fontId="71" fillId="0" borderId="0" xfId="2" applyNumberFormat="1" applyFont="1" applyAlignment="1" applyProtection="1">
      <alignment horizontal="center"/>
      <protection locked="0"/>
    </xf>
    <xf numFmtId="189" fontId="71" fillId="0" borderId="0" xfId="2" applyNumberFormat="1" applyFont="1" applyAlignment="1" applyProtection="1">
      <alignment horizontal="right"/>
      <protection locked="0"/>
    </xf>
    <xf numFmtId="44" fontId="71" fillId="0" borderId="0" xfId="198" applyFont="1" applyBorder="1" applyAlignment="1" applyProtection="1">
      <alignment horizontal="center" vertical="center"/>
      <protection locked="0"/>
    </xf>
    <xf numFmtId="44" fontId="17" fillId="0" borderId="11" xfId="198" applyFont="1" applyFill="1" applyBorder="1" applyAlignment="1" applyProtection="1">
      <alignment horizontal="center" vertical="center"/>
      <protection locked="0"/>
    </xf>
    <xf numFmtId="189" fontId="21" fillId="2" borderId="90" xfId="1" applyNumberFormat="1" applyFont="1" applyFill="1" applyBorder="1" applyAlignment="1" applyProtection="1">
      <alignment horizontal="right" vertical="top"/>
      <protection locked="0"/>
    </xf>
    <xf numFmtId="189" fontId="21" fillId="2" borderId="6" xfId="1" applyNumberFormat="1" applyFont="1" applyFill="1" applyBorder="1" applyAlignment="1" applyProtection="1">
      <alignment horizontal="right" vertical="top"/>
      <protection locked="0"/>
    </xf>
    <xf numFmtId="44" fontId="17" fillId="0" borderId="10" xfId="198" applyFont="1" applyBorder="1" applyAlignment="1" applyProtection="1">
      <alignment horizontal="right" vertical="center"/>
      <protection locked="0"/>
    </xf>
    <xf numFmtId="44" fontId="17" fillId="0" borderId="10" xfId="198" applyFont="1" applyBorder="1" applyAlignment="1" applyProtection="1">
      <protection locked="0"/>
    </xf>
    <xf numFmtId="44" fontId="21" fillId="0" borderId="10" xfId="198" applyFont="1" applyBorder="1" applyAlignment="1" applyProtection="1">
      <alignment horizontal="right" vertical="top"/>
      <protection locked="0"/>
    </xf>
    <xf numFmtId="44" fontId="17" fillId="0" borderId="10" xfId="198" applyFont="1" applyBorder="1" applyAlignment="1" applyProtection="1">
      <alignment vertical="top"/>
      <protection locked="0"/>
    </xf>
    <xf numFmtId="44" fontId="17" fillId="0" borderId="10" xfId="198" applyFont="1" applyFill="1" applyBorder="1" applyAlignment="1" applyProtection="1">
      <alignment horizontal="right" vertical="top"/>
      <protection locked="0"/>
    </xf>
    <xf numFmtId="44" fontId="71" fillId="0" borderId="10" xfId="198" applyFont="1" applyBorder="1" applyAlignment="1" applyProtection="1">
      <alignment horizontal="right" vertical="center"/>
      <protection locked="0"/>
    </xf>
    <xf numFmtId="44" fontId="71" fillId="0" borderId="10" xfId="198" applyFont="1" applyFill="1" applyBorder="1" applyAlignment="1" applyProtection="1">
      <alignment horizontal="right" vertical="center"/>
      <protection locked="0"/>
    </xf>
    <xf numFmtId="44" fontId="17" fillId="4" borderId="5" xfId="198" applyFont="1" applyFill="1" applyBorder="1" applyAlignment="1" applyProtection="1">
      <protection locked="0"/>
    </xf>
    <xf numFmtId="44" fontId="21" fillId="0" borderId="10" xfId="198" applyFont="1" applyBorder="1" applyAlignment="1" applyProtection="1">
      <alignment vertical="center"/>
      <protection locked="0"/>
    </xf>
    <xf numFmtId="44" fontId="17" fillId="0" borderId="10" xfId="198" applyFont="1" applyBorder="1" applyAlignment="1" applyProtection="1">
      <alignment vertical="center"/>
      <protection locked="0"/>
    </xf>
    <xf numFmtId="44" fontId="73" fillId="3" borderId="57" xfId="198" applyFont="1" applyFill="1" applyBorder="1" applyAlignment="1" applyProtection="1">
      <alignment horizontal="center" vertical="center" wrapText="1"/>
    </xf>
    <xf numFmtId="0" fontId="39" fillId="0" borderId="0" xfId="2" applyFont="1"/>
    <xf numFmtId="172" fontId="17" fillId="0" borderId="0" xfId="35" applyFont="1" applyAlignment="1">
      <alignment horizontal="center" vertical="center"/>
    </xf>
    <xf numFmtId="172" fontId="21" fillId="0" borderId="0" xfId="35" applyFont="1" applyAlignment="1">
      <alignment vertical="top" wrapText="1"/>
    </xf>
    <xf numFmtId="172" fontId="17" fillId="0" borderId="99" xfId="35" applyFont="1" applyBorder="1" applyAlignment="1">
      <alignment horizontal="center" vertical="center"/>
    </xf>
    <xf numFmtId="44" fontId="71" fillId="0" borderId="99" xfId="198" applyFont="1" applyBorder="1" applyAlignment="1" applyProtection="1">
      <alignment horizontal="right" vertical="center"/>
    </xf>
    <xf numFmtId="49" fontId="17" fillId="0" borderId="99" xfId="0" applyNumberFormat="1" applyFont="1" applyBorder="1" applyAlignment="1">
      <alignment horizontal="center" vertical="center"/>
    </xf>
    <xf numFmtId="172" fontId="21" fillId="0" borderId="0" xfId="35" applyFont="1" applyAlignment="1">
      <alignment horizontal="center" vertical="center"/>
    </xf>
    <xf numFmtId="0" fontId="21" fillId="0" borderId="0" xfId="2" applyFont="1" applyAlignment="1">
      <alignment vertical="center"/>
    </xf>
    <xf numFmtId="1" fontId="73" fillId="0" borderId="10" xfId="2" applyNumberFormat="1" applyFont="1" applyBorder="1" applyAlignment="1">
      <alignment horizontal="center" vertical="center" wrapText="1"/>
    </xf>
    <xf numFmtId="0" fontId="17" fillId="0" borderId="11" xfId="2" applyBorder="1" applyAlignment="1">
      <alignment vertical="center" wrapText="1"/>
    </xf>
    <xf numFmtId="0" fontId="71" fillId="0" borderId="99" xfId="1" applyFont="1" applyBorder="1" applyAlignment="1">
      <alignment horizontal="center" vertical="center"/>
    </xf>
    <xf numFmtId="0" fontId="68" fillId="0" borderId="0" xfId="1" applyFont="1" applyAlignment="1">
      <alignment horizontal="center" vertical="center"/>
    </xf>
    <xf numFmtId="0" fontId="68" fillId="0" borderId="11" xfId="1" applyFont="1" applyBorder="1" applyAlignment="1">
      <alignment horizontal="center" vertical="top"/>
    </xf>
    <xf numFmtId="0" fontId="68" fillId="0" borderId="11" xfId="1" applyFont="1" applyBorder="1" applyAlignment="1">
      <alignment horizontal="left" vertical="top" wrapText="1"/>
    </xf>
    <xf numFmtId="0" fontId="21" fillId="0" borderId="11" xfId="2" applyFont="1" applyBorder="1" applyAlignment="1">
      <alignment vertical="center" wrapText="1"/>
    </xf>
    <xf numFmtId="0" fontId="71" fillId="0" borderId="10" xfId="2" applyFont="1" applyBorder="1"/>
    <xf numFmtId="0" fontId="21" fillId="0" borderId="0" xfId="1" applyFont="1" applyAlignment="1">
      <alignment horizontal="left" vertical="center" wrapText="1"/>
    </xf>
    <xf numFmtId="0" fontId="17" fillId="0" borderId="0" xfId="36" applyAlignment="1">
      <alignment vertical="center" wrapText="1"/>
    </xf>
    <xf numFmtId="172" fontId="71" fillId="0" borderId="11" xfId="35" applyFont="1" applyBorder="1" applyAlignment="1">
      <alignment horizontal="center" vertical="center"/>
    </xf>
    <xf numFmtId="2" fontId="17" fillId="0" borderId="99" xfId="35" applyNumberFormat="1" applyFont="1" applyBorder="1" applyAlignment="1">
      <alignment horizontal="center" vertical="center"/>
    </xf>
    <xf numFmtId="0" fontId="71" fillId="0" borderId="10" xfId="2" applyFont="1" applyBorder="1" applyAlignment="1">
      <alignment vertical="center"/>
    </xf>
    <xf numFmtId="0" fontId="21" fillId="0" borderId="0" xfId="2" applyFont="1" applyAlignment="1">
      <alignment wrapText="1"/>
    </xf>
    <xf numFmtId="0" fontId="17" fillId="0" borderId="0" xfId="2" applyAlignment="1">
      <alignment wrapText="1"/>
    </xf>
    <xf numFmtId="0" fontId="71" fillId="0" borderId="10" xfId="6" applyFont="1" applyBorder="1" applyAlignment="1">
      <alignment horizontal="center" vertical="center"/>
    </xf>
    <xf numFmtId="0" fontId="71" fillId="0" borderId="10" xfId="2" applyFont="1" applyBorder="1" applyAlignment="1">
      <alignment horizontal="center" wrapText="1"/>
    </xf>
    <xf numFmtId="0" fontId="71" fillId="0" borderId="0" xfId="2" applyFont="1" applyAlignment="1">
      <alignment wrapText="1"/>
    </xf>
    <xf numFmtId="0" fontId="71" fillId="0" borderId="99" xfId="2" applyFont="1" applyBorder="1" applyAlignment="1">
      <alignment horizontal="center" vertical="center" wrapText="1"/>
    </xf>
    <xf numFmtId="0" fontId="71" fillId="0" borderId="99" xfId="2" applyFont="1" applyBorder="1" applyAlignment="1">
      <alignment horizontal="center" wrapText="1"/>
    </xf>
    <xf numFmtId="0" fontId="73" fillId="0" borderId="99" xfId="2" applyFont="1" applyBorder="1" applyAlignment="1">
      <alignment wrapText="1"/>
    </xf>
    <xf numFmtId="0" fontId="71" fillId="0" borderId="99" xfId="2" applyFont="1" applyBorder="1" applyAlignment="1">
      <alignment wrapText="1"/>
    </xf>
    <xf numFmtId="0" fontId="73" fillId="0" borderId="0" xfId="2" applyFont="1" applyAlignment="1">
      <alignment wrapText="1"/>
    </xf>
    <xf numFmtId="0" fontId="73" fillId="0" borderId="99" xfId="2" applyFont="1" applyBorder="1" applyAlignment="1">
      <alignment horizontal="center" vertical="center" wrapText="1"/>
    </xf>
    <xf numFmtId="0" fontId="21" fillId="0" borderId="99" xfId="2" applyFont="1" applyBorder="1" applyAlignment="1">
      <alignment horizontal="center" wrapText="1"/>
    </xf>
    <xf numFmtId="0" fontId="21" fillId="0" borderId="99" xfId="2" applyFont="1" applyBorder="1" applyAlignment="1">
      <alignment vertical="center" wrapText="1"/>
    </xf>
    <xf numFmtId="0" fontId="17" fillId="0" borderId="99" xfId="2" applyBorder="1" applyAlignment="1">
      <alignment wrapText="1"/>
    </xf>
    <xf numFmtId="178" fontId="73" fillId="0" borderId="99" xfId="45" applyNumberFormat="1" applyFont="1" applyBorder="1" applyAlignment="1">
      <alignment horizontal="center" vertical="center" wrapText="1"/>
    </xf>
    <xf numFmtId="0" fontId="71" fillId="0" borderId="10" xfId="45" applyFont="1" applyBorder="1" applyAlignment="1">
      <alignment horizontal="center" vertical="center" wrapText="1"/>
    </xf>
    <xf numFmtId="1" fontId="71" fillId="0" borderId="10" xfId="45" applyNumberFormat="1" applyFont="1" applyBorder="1" applyAlignment="1">
      <alignment horizontal="center" vertical="center" wrapText="1"/>
    </xf>
    <xf numFmtId="0" fontId="17" fillId="0" borderId="99" xfId="1" applyBorder="1" applyAlignment="1">
      <alignment horizontal="center" vertical="top"/>
    </xf>
    <xf numFmtId="49" fontId="17" fillId="0" borderId="99" xfId="45" applyNumberFormat="1" applyFont="1" applyBorder="1" applyAlignment="1">
      <alignment horizontal="center" vertical="center" wrapText="1"/>
    </xf>
    <xf numFmtId="0" fontId="21" fillId="0" borderId="0" xfId="2" applyFont="1" applyAlignment="1">
      <alignment horizontal="left" vertical="top" wrapText="1"/>
    </xf>
    <xf numFmtId="0" fontId="17" fillId="0" borderId="99" xfId="45" applyFont="1" applyBorder="1" applyAlignment="1">
      <alignment horizontal="center" vertical="center" wrapText="1"/>
    </xf>
    <xf numFmtId="2" fontId="71" fillId="0" borderId="10" xfId="45" applyNumberFormat="1" applyFont="1" applyBorder="1" applyAlignment="1">
      <alignment horizontal="center" vertical="center" wrapText="1"/>
    </xf>
    <xf numFmtId="0" fontId="17" fillId="0" borderId="10" xfId="2" applyBorder="1" applyAlignment="1">
      <alignment horizontal="left"/>
    </xf>
    <xf numFmtId="1" fontId="71" fillId="0" borderId="11" xfId="45" applyNumberFormat="1" applyFont="1" applyBorder="1" applyAlignment="1">
      <alignment horizontal="center" vertical="center" wrapText="1"/>
    </xf>
    <xf numFmtId="0" fontId="71" fillId="0" borderId="99" xfId="1" applyFont="1" applyBorder="1" applyAlignment="1">
      <alignment horizontal="center" vertical="top"/>
    </xf>
    <xf numFmtId="0" fontId="71" fillId="0" borderId="99" xfId="0" applyFont="1" applyBorder="1"/>
    <xf numFmtId="0" fontId="68" fillId="0" borderId="99" xfId="1" applyFont="1" applyBorder="1" applyAlignment="1">
      <alignment horizontal="center" vertical="top"/>
    </xf>
    <xf numFmtId="178" fontId="21" fillId="0" borderId="99" xfId="2" applyNumberFormat="1" applyFont="1" applyBorder="1" applyAlignment="1">
      <alignment horizontal="center" vertical="center"/>
    </xf>
    <xf numFmtId="0" fontId="21" fillId="0" borderId="99" xfId="2" applyFont="1" applyBorder="1" applyAlignment="1">
      <alignment horizontal="center" vertical="top" wrapText="1"/>
    </xf>
    <xf numFmtId="1" fontId="71" fillId="0" borderId="99" xfId="2" applyNumberFormat="1" applyFont="1" applyBorder="1" applyAlignment="1">
      <alignment horizontal="center" vertical="center"/>
    </xf>
    <xf numFmtId="0" fontId="71" fillId="0" borderId="99" xfId="2" applyFont="1" applyBorder="1" applyAlignment="1">
      <alignment horizontal="center" vertical="top"/>
    </xf>
    <xf numFmtId="0" fontId="0" fillId="0" borderId="0" xfId="2" applyFont="1"/>
    <xf numFmtId="0" fontId="17" fillId="0" borderId="0" xfId="45" applyFont="1" applyAlignment="1">
      <alignment horizontal="center" vertical="center" wrapText="1"/>
    </xf>
    <xf numFmtId="2" fontId="17" fillId="0" borderId="0" xfId="45" applyNumberFormat="1" applyFont="1" applyAlignment="1">
      <alignment vertical="center" wrapText="1"/>
    </xf>
    <xf numFmtId="49" fontId="17" fillId="0" borderId="0" xfId="45" applyNumberFormat="1" applyFont="1" applyAlignment="1">
      <alignment horizontal="center" vertical="center" wrapText="1"/>
    </xf>
    <xf numFmtId="2" fontId="17" fillId="0" borderId="0" xfId="45" applyNumberFormat="1" applyFont="1" applyAlignment="1">
      <alignment wrapText="1"/>
    </xf>
    <xf numFmtId="178" fontId="21" fillId="0" borderId="99" xfId="35" applyNumberFormat="1" applyFont="1" applyBorder="1" applyAlignment="1">
      <alignment horizontal="center" vertical="top"/>
    </xf>
    <xf numFmtId="172" fontId="17" fillId="0" borderId="0" xfId="0" applyNumberFormat="1" applyFont="1"/>
    <xf numFmtId="172" fontId="17" fillId="0" borderId="0" xfId="0" applyNumberFormat="1" applyFont="1" applyAlignment="1">
      <alignment horizontal="center"/>
    </xf>
    <xf numFmtId="172" fontId="17" fillId="0" borderId="0" xfId="44" applyFont="1" applyAlignment="1">
      <alignment horizontal="right" vertical="top" wrapText="1"/>
    </xf>
    <xf numFmtId="49" fontId="17" fillId="0" borderId="99" xfId="2" applyNumberFormat="1" applyBorder="1" applyAlignment="1">
      <alignment horizontal="center" vertical="center"/>
    </xf>
    <xf numFmtId="49" fontId="21" fillId="0" borderId="99" xfId="2" applyNumberFormat="1" applyFont="1" applyBorder="1" applyAlignment="1">
      <alignment horizontal="center" vertical="center"/>
    </xf>
    <xf numFmtId="44" fontId="71" fillId="0" borderId="99" xfId="198" applyFont="1" applyBorder="1" applyProtection="1"/>
    <xf numFmtId="49" fontId="17" fillId="0" borderId="0" xfId="2" applyNumberFormat="1" applyAlignment="1">
      <alignment horizontal="center" vertical="center"/>
    </xf>
    <xf numFmtId="44" fontId="71" fillId="2" borderId="93" xfId="198" applyFont="1" applyFill="1" applyBorder="1" applyAlignment="1" applyProtection="1">
      <alignment horizontal="right" vertical="center"/>
    </xf>
    <xf numFmtId="44" fontId="68" fillId="0" borderId="0" xfId="198" applyFont="1" applyAlignment="1" applyProtection="1">
      <alignment vertical="center"/>
    </xf>
    <xf numFmtId="44" fontId="71" fillId="0" borderId="0" xfId="198" applyFont="1" applyAlignment="1" applyProtection="1">
      <alignment vertical="center"/>
    </xf>
    <xf numFmtId="44" fontId="17" fillId="0" borderId="10" xfId="198" applyFont="1" applyFill="1" applyBorder="1" applyAlignment="1" applyProtection="1">
      <alignment horizontal="right" vertical="center"/>
      <protection locked="0"/>
    </xf>
    <xf numFmtId="44" fontId="71" fillId="0" borderId="10" xfId="198" applyFont="1" applyBorder="1" applyAlignment="1" applyProtection="1">
      <alignment vertical="center"/>
      <protection locked="0"/>
    </xf>
    <xf numFmtId="44" fontId="71" fillId="0" borderId="0" xfId="277" applyFont="1" applyBorder="1" applyAlignment="1" applyProtection="1">
      <alignment horizontal="center" vertical="distributed"/>
      <protection locked="0"/>
    </xf>
    <xf numFmtId="44" fontId="71" fillId="4" borderId="5" xfId="198" applyFont="1" applyFill="1" applyBorder="1" applyAlignment="1" applyProtection="1">
      <alignment vertical="center"/>
      <protection locked="0"/>
    </xf>
    <xf numFmtId="168" fontId="17" fillId="0" borderId="10" xfId="1" applyNumberFormat="1" applyBorder="1" applyAlignment="1" applyProtection="1">
      <alignment horizontal="center" vertical="center"/>
      <protection locked="0"/>
    </xf>
    <xf numFmtId="44" fontId="73" fillId="0" borderId="99" xfId="277" applyFont="1" applyBorder="1" applyAlignment="1" applyProtection="1">
      <alignment horizontal="right" vertical="center"/>
      <protection locked="0"/>
    </xf>
    <xf numFmtId="44" fontId="73" fillId="0" borderId="10" xfId="277" applyFont="1" applyBorder="1" applyAlignment="1" applyProtection="1">
      <alignment horizontal="right" vertical="center"/>
      <protection locked="0"/>
    </xf>
    <xf numFmtId="44" fontId="71" fillId="0" borderId="10" xfId="277" applyFont="1" applyBorder="1" applyAlignment="1" applyProtection="1">
      <alignment horizontal="right" vertical="center"/>
      <protection locked="0"/>
    </xf>
    <xf numFmtId="44" fontId="71" fillId="0" borderId="10" xfId="277" applyFont="1" applyBorder="1" applyAlignment="1" applyProtection="1">
      <alignment horizontal="center" vertical="center"/>
      <protection locked="0"/>
    </xf>
    <xf numFmtId="44" fontId="71" fillId="0" borderId="99" xfId="277" applyFont="1" applyBorder="1" applyAlignment="1" applyProtection="1">
      <alignment horizontal="center" vertical="center"/>
      <protection locked="0"/>
    </xf>
    <xf numFmtId="190" fontId="71" fillId="0" borderId="99" xfId="221" applyNumberFormat="1" applyFont="1" applyBorder="1" applyAlignment="1" applyProtection="1">
      <alignment horizontal="right" vertical="center"/>
      <protection locked="0"/>
    </xf>
    <xf numFmtId="190" fontId="71" fillId="0" borderId="0" xfId="221" applyNumberFormat="1" applyFont="1" applyAlignment="1" applyProtection="1">
      <alignment horizontal="right" vertical="center"/>
      <protection locked="0"/>
    </xf>
    <xf numFmtId="0" fontId="73" fillId="2" borderId="5" xfId="29" applyFont="1" applyFill="1" applyBorder="1" applyAlignment="1" applyProtection="1">
      <alignment vertical="center"/>
      <protection locked="0"/>
    </xf>
    <xf numFmtId="44" fontId="73" fillId="0" borderId="0" xfId="277" applyFont="1" applyBorder="1" applyAlignment="1" applyProtection="1">
      <alignment horizontal="center" vertical="center"/>
      <protection locked="0"/>
    </xf>
    <xf numFmtId="44" fontId="71" fillId="0" borderId="0" xfId="277" applyFont="1" applyBorder="1" applyAlignment="1" applyProtection="1">
      <alignment horizontal="center"/>
      <protection locked="0"/>
    </xf>
    <xf numFmtId="44" fontId="71" fillId="0" borderId="0" xfId="277" applyFont="1" applyBorder="1" applyAlignment="1" applyProtection="1">
      <alignment horizontal="center" vertical="center"/>
      <protection locked="0"/>
    </xf>
    <xf numFmtId="44" fontId="71" fillId="0" borderId="0" xfId="277" applyFont="1" applyFill="1" applyBorder="1" applyAlignment="1" applyProtection="1">
      <alignment horizontal="center"/>
      <protection locked="0"/>
    </xf>
    <xf numFmtId="44" fontId="71" fillId="2" borderId="54" xfId="198" applyFont="1" applyFill="1" applyBorder="1" applyAlignment="1" applyProtection="1">
      <alignment horizontal="right" vertical="center"/>
      <protection locked="0"/>
    </xf>
    <xf numFmtId="44" fontId="73" fillId="2" borderId="6" xfId="198" applyFont="1" applyFill="1" applyBorder="1" applyAlignment="1" applyProtection="1">
      <alignment horizontal="right" vertical="center"/>
      <protection locked="0"/>
    </xf>
    <xf numFmtId="39" fontId="17" fillId="0" borderId="99" xfId="221" applyNumberFormat="1" applyBorder="1" applyAlignment="1">
      <alignment horizontal="center" vertical="distributed"/>
    </xf>
    <xf numFmtId="0" fontId="98" fillId="0" borderId="0" xfId="0" applyFont="1"/>
    <xf numFmtId="44" fontId="0" fillId="0" borderId="99" xfId="198" applyFont="1" applyBorder="1" applyAlignment="1" applyProtection="1">
      <alignment horizontal="center" vertical="distributed"/>
    </xf>
    <xf numFmtId="44" fontId="17" fillId="0" borderId="99" xfId="198" applyFont="1" applyBorder="1" applyAlignment="1" applyProtection="1">
      <alignment horizontal="center" vertical="distributed"/>
    </xf>
    <xf numFmtId="0" fontId="73" fillId="0" borderId="0" xfId="276" applyFont="1"/>
    <xf numFmtId="0" fontId="71" fillId="2" borderId="90" xfId="1" applyFont="1" applyFill="1" applyBorder="1" applyAlignment="1">
      <alignment horizontal="center" vertical="center"/>
    </xf>
    <xf numFmtId="0" fontId="71" fillId="2" borderId="90" xfId="1" applyFont="1" applyFill="1" applyBorder="1" applyAlignment="1">
      <alignment horizontal="center" vertical="top"/>
    </xf>
    <xf numFmtId="0" fontId="73" fillId="2" borderId="90" xfId="1" applyFont="1" applyFill="1" applyBorder="1" applyAlignment="1">
      <alignment vertical="center" wrapText="1"/>
    </xf>
    <xf numFmtId="171" fontId="71" fillId="2" borderId="90" xfId="1" applyNumberFormat="1" applyFont="1" applyFill="1" applyBorder="1" applyAlignment="1">
      <alignment horizontal="center" vertical="center"/>
    </xf>
    <xf numFmtId="44" fontId="71" fillId="2" borderId="90" xfId="277" applyFont="1" applyFill="1" applyBorder="1" applyAlignment="1" applyProtection="1">
      <alignment horizontal="right" vertical="top"/>
    </xf>
    <xf numFmtId="0" fontId="73" fillId="19" borderId="6" xfId="276" applyFont="1" applyFill="1" applyBorder="1"/>
    <xf numFmtId="0" fontId="73" fillId="2" borderId="6" xfId="1" applyFont="1" applyFill="1" applyBorder="1" applyAlignment="1">
      <alignment vertical="top"/>
    </xf>
    <xf numFmtId="0" fontId="73" fillId="2" borderId="6" xfId="1" applyFont="1" applyFill="1" applyBorder="1" applyAlignment="1">
      <alignment horizontal="center" vertical="center" wrapText="1"/>
    </xf>
    <xf numFmtId="0" fontId="73" fillId="2" borderId="6" xfId="1" applyFont="1" applyFill="1" applyBorder="1" applyAlignment="1">
      <alignment vertical="center" wrapText="1"/>
    </xf>
    <xf numFmtId="171" fontId="73" fillId="2" borderId="6" xfId="1" applyNumberFormat="1" applyFont="1" applyFill="1" applyBorder="1" applyAlignment="1">
      <alignment horizontal="center" vertical="center"/>
    </xf>
    <xf numFmtId="44" fontId="73" fillId="2" borderId="6" xfId="277" applyFont="1" applyFill="1" applyBorder="1" applyAlignment="1" applyProtection="1">
      <alignment horizontal="right" vertical="top"/>
    </xf>
    <xf numFmtId="173" fontId="21" fillId="0" borderId="0" xfId="2" applyNumberFormat="1" applyFont="1" applyAlignment="1">
      <alignment horizontal="center" vertical="center"/>
    </xf>
    <xf numFmtId="39" fontId="17" fillId="0" borderId="0" xfId="0" applyNumberFormat="1" applyFont="1"/>
    <xf numFmtId="39" fontId="73" fillId="0" borderId="0" xfId="0" applyNumberFormat="1" applyFont="1"/>
    <xf numFmtId="0" fontId="21" fillId="0" borderId="0" xfId="2" applyFont="1" applyAlignment="1">
      <alignment vertical="top" wrapText="1"/>
    </xf>
    <xf numFmtId="39" fontId="17" fillId="0" borderId="0" xfId="221" applyNumberFormat="1" applyAlignment="1">
      <alignment horizontal="center" vertical="distributed"/>
    </xf>
    <xf numFmtId="44" fontId="17" fillId="0" borderId="0" xfId="198" applyFont="1" applyFill="1" applyBorder="1" applyAlignment="1" applyProtection="1">
      <alignment horizontal="center" vertical="distributed"/>
    </xf>
    <xf numFmtId="0" fontId="98" fillId="0" borderId="0" xfId="0" applyFont="1" applyAlignment="1">
      <alignment vertical="center"/>
    </xf>
    <xf numFmtId="172" fontId="17" fillId="0" borderId="99" xfId="35" applyFont="1" applyBorder="1" applyAlignment="1">
      <alignment horizontal="center" vertical="center" wrapText="1"/>
    </xf>
    <xf numFmtId="172" fontId="17" fillId="0" borderId="99" xfId="35" applyFont="1" applyBorder="1" applyAlignment="1">
      <alignment vertical="center" wrapText="1"/>
    </xf>
    <xf numFmtId="172" fontId="17" fillId="0" borderId="99" xfId="35" applyFont="1" applyBorder="1" applyAlignment="1">
      <alignment horizontal="center" vertical="top"/>
    </xf>
    <xf numFmtId="0" fontId="17" fillId="0" borderId="99" xfId="221" applyBorder="1" applyAlignment="1">
      <alignment horizontal="center" vertical="top" wrapText="1"/>
    </xf>
    <xf numFmtId="44" fontId="73" fillId="0" borderId="0" xfId="277" applyFont="1" applyFill="1" applyBorder="1" applyAlignment="1" applyProtection="1">
      <alignment vertical="center" wrapText="1"/>
    </xf>
    <xf numFmtId="44" fontId="17" fillId="0" borderId="99" xfId="198" applyFont="1" applyBorder="1" applyAlignment="1" applyProtection="1">
      <alignment horizontal="right" vertical="center" wrapText="1"/>
    </xf>
    <xf numFmtId="0" fontId="17" fillId="0" borderId="108" xfId="221" applyBorder="1" applyAlignment="1">
      <alignment horizontal="center" vertical="distributed"/>
    </xf>
    <xf numFmtId="44" fontId="17" fillId="0" borderId="108" xfId="198" applyFont="1" applyBorder="1" applyAlignment="1" applyProtection="1">
      <alignment horizontal="center" vertical="distributed"/>
    </xf>
    <xf numFmtId="44" fontId="73" fillId="2" borderId="6" xfId="277" applyFont="1" applyFill="1" applyBorder="1" applyAlignment="1" applyProtection="1">
      <alignment vertical="center" wrapText="1"/>
    </xf>
    <xf numFmtId="44" fontId="73" fillId="2" borderId="5" xfId="277" applyFont="1" applyFill="1" applyBorder="1" applyAlignment="1" applyProtection="1">
      <alignment horizontal="right" vertical="top"/>
    </xf>
    <xf numFmtId="0" fontId="17" fillId="0" borderId="90" xfId="221" applyBorder="1" applyAlignment="1">
      <alignment horizontal="center" vertical="top"/>
    </xf>
    <xf numFmtId="0" fontId="17" fillId="0" borderId="90" xfId="221" applyBorder="1" applyAlignment="1">
      <alignment horizontal="center" vertical="top" wrapText="1"/>
    </xf>
    <xf numFmtId="0" fontId="17" fillId="0" borderId="0" xfId="221" applyAlignment="1">
      <alignment vertical="top" wrapText="1"/>
    </xf>
    <xf numFmtId="0" fontId="17" fillId="0" borderId="90" xfId="221" applyBorder="1" applyAlignment="1">
      <alignment horizontal="center" vertical="distributed"/>
    </xf>
    <xf numFmtId="44" fontId="17" fillId="0" borderId="90" xfId="198" applyFont="1" applyBorder="1" applyAlignment="1" applyProtection="1">
      <alignment horizontal="center" vertical="distributed"/>
    </xf>
    <xf numFmtId="0" fontId="17" fillId="0" borderId="0" xfId="221" applyAlignment="1">
      <alignment horizontal="center" vertical="top"/>
    </xf>
    <xf numFmtId="0" fontId="17" fillId="0" borderId="0" xfId="221" applyAlignment="1">
      <alignment horizontal="center" vertical="top" wrapText="1"/>
    </xf>
    <xf numFmtId="0" fontId="17" fillId="0" borderId="0" xfId="221" applyAlignment="1">
      <alignment horizontal="center" vertical="distributed"/>
    </xf>
    <xf numFmtId="44" fontId="17" fillId="0" borderId="0" xfId="198" applyFont="1" applyBorder="1" applyAlignment="1" applyProtection="1">
      <alignment horizontal="center" vertical="distributed"/>
    </xf>
    <xf numFmtId="3" fontId="17" fillId="0" borderId="0" xfId="221" applyNumberFormat="1" applyAlignment="1">
      <alignment horizontal="center" vertical="distributed"/>
    </xf>
    <xf numFmtId="0" fontId="109" fillId="0" borderId="0" xfId="0" applyFont="1"/>
    <xf numFmtId="44" fontId="71" fillId="0" borderId="0" xfId="276" applyNumberFormat="1" applyFont="1"/>
    <xf numFmtId="0" fontId="73" fillId="0" borderId="6" xfId="276" applyFont="1" applyBorder="1"/>
    <xf numFmtId="39" fontId="17" fillId="4" borderId="5" xfId="0" applyNumberFormat="1" applyFont="1" applyFill="1" applyBorder="1" applyProtection="1">
      <protection locked="0"/>
    </xf>
    <xf numFmtId="44" fontId="17" fillId="0" borderId="0" xfId="198" applyFont="1" applyBorder="1" applyAlignment="1" applyProtection="1">
      <alignment horizontal="right" vertical="center"/>
      <protection locked="0"/>
    </xf>
    <xf numFmtId="44" fontId="74" fillId="0" borderId="0" xfId="198" applyFont="1" applyBorder="1" applyAlignment="1" applyProtection="1">
      <alignment horizontal="right" vertical="center"/>
      <protection locked="0"/>
    </xf>
    <xf numFmtId="44" fontId="17" fillId="4" borderId="5" xfId="198" applyFont="1" applyFill="1" applyBorder="1" applyProtection="1">
      <protection locked="0"/>
    </xf>
    <xf numFmtId="44" fontId="17" fillId="2" borderId="54" xfId="198" applyFont="1" applyFill="1" applyBorder="1" applyAlignment="1" applyProtection="1">
      <alignment horizontal="right" vertical="center"/>
      <protection locked="0"/>
    </xf>
    <xf numFmtId="44" fontId="21" fillId="2" borderId="6" xfId="198" applyFont="1" applyFill="1" applyBorder="1" applyAlignment="1" applyProtection="1">
      <alignment horizontal="right" vertical="center"/>
      <protection locked="0"/>
    </xf>
    <xf numFmtId="44" fontId="17" fillId="4" borderId="5" xfId="198" applyFont="1" applyFill="1" applyBorder="1" applyAlignment="1" applyProtection="1">
      <alignment vertical="center"/>
      <protection locked="0"/>
    </xf>
    <xf numFmtId="168" fontId="71" fillId="0" borderId="99" xfId="394" applyNumberFormat="1" applyFont="1" applyBorder="1" applyAlignment="1" applyProtection="1">
      <alignment vertical="center"/>
      <protection locked="0"/>
    </xf>
    <xf numFmtId="39" fontId="71" fillId="0" borderId="99" xfId="329" applyNumberFormat="1" applyFont="1" applyBorder="1" applyAlignment="1" applyProtection="1">
      <alignment vertical="center"/>
      <protection locked="0"/>
    </xf>
    <xf numFmtId="39" fontId="71" fillId="0" borderId="99" xfId="329" quotePrefix="1" applyNumberFormat="1" applyFont="1" applyBorder="1" applyAlignment="1" applyProtection="1">
      <alignment horizontal="center" wrapText="1"/>
      <protection locked="0"/>
    </xf>
    <xf numFmtId="0" fontId="71" fillId="0" borderId="99" xfId="329" applyFont="1" applyBorder="1" applyAlignment="1" applyProtection="1">
      <alignment vertical="center"/>
      <protection locked="0"/>
    </xf>
    <xf numFmtId="44" fontId="17" fillId="0" borderId="99" xfId="266" applyFont="1" applyFill="1" applyBorder="1" applyAlignment="1" applyProtection="1">
      <alignment horizontal="right" vertical="center" wrapText="1"/>
      <protection locked="0"/>
    </xf>
    <xf numFmtId="44" fontId="17" fillId="4" borderId="5" xfId="266" applyFont="1" applyFill="1" applyBorder="1" applyAlignment="1" applyProtection="1">
      <alignment vertical="center"/>
      <protection locked="0"/>
    </xf>
    <xf numFmtId="44" fontId="17" fillId="0" borderId="99" xfId="266" applyFont="1" applyBorder="1" applyAlignment="1" applyProtection="1">
      <alignment horizontal="right" vertical="center" wrapText="1"/>
      <protection locked="0"/>
    </xf>
    <xf numFmtId="168" fontId="71" fillId="0" borderId="99" xfId="394" applyNumberFormat="1" applyFont="1" applyBorder="1" applyAlignment="1" applyProtection="1">
      <alignment vertical="center" wrapText="1"/>
      <protection locked="0"/>
    </xf>
    <xf numFmtId="4" fontId="71" fillId="0" borderId="99" xfId="221" applyNumberFormat="1" applyFont="1" applyBorder="1" applyAlignment="1" applyProtection="1">
      <alignment vertical="top"/>
      <protection locked="0"/>
    </xf>
    <xf numFmtId="4" fontId="71" fillId="0" borderId="99" xfId="221" applyNumberFormat="1" applyFont="1" applyBorder="1" applyAlignment="1" applyProtection="1">
      <alignment vertical="center"/>
      <protection locked="0"/>
    </xf>
    <xf numFmtId="0" fontId="2" fillId="0" borderId="0" xfId="507" applyProtection="1">
      <protection locked="0"/>
    </xf>
    <xf numFmtId="168" fontId="71" fillId="2" borderId="96" xfId="394" applyNumberFormat="1" applyFont="1" applyFill="1" applyBorder="1" applyAlignment="1" applyProtection="1">
      <alignment horizontal="right" vertical="top"/>
      <protection locked="0"/>
    </xf>
    <xf numFmtId="168" fontId="71" fillId="2" borderId="6" xfId="394" applyNumberFormat="1" applyFont="1" applyFill="1" applyBorder="1" applyAlignment="1" applyProtection="1">
      <alignment horizontal="right" vertical="top"/>
      <protection locked="0"/>
    </xf>
    <xf numFmtId="44" fontId="17" fillId="4" borderId="90" xfId="198" applyFont="1" applyFill="1" applyBorder="1" applyAlignment="1" applyProtection="1">
      <alignment horizontal="center" vertical="center"/>
      <protection locked="0"/>
    </xf>
    <xf numFmtId="44" fontId="17" fillId="4" borderId="6" xfId="198" applyFont="1" applyFill="1" applyBorder="1" applyAlignment="1" applyProtection="1">
      <alignment horizontal="center" vertical="center"/>
      <protection locked="0"/>
    </xf>
    <xf numFmtId="44" fontId="17" fillId="0" borderId="0" xfId="198" applyFont="1" applyBorder="1" applyAlignment="1" applyProtection="1">
      <alignment horizontal="center" vertical="center"/>
      <protection locked="0"/>
    </xf>
    <xf numFmtId="44" fontId="17" fillId="2" borderId="54" xfId="198" applyFont="1" applyFill="1" applyBorder="1" applyAlignment="1" applyProtection="1">
      <alignment horizontal="right" vertical="top"/>
      <protection locked="0"/>
    </xf>
    <xf numFmtId="44" fontId="21" fillId="2" borderId="6" xfId="198" applyFont="1" applyFill="1" applyBorder="1" applyAlignment="1" applyProtection="1">
      <alignment horizontal="right" vertical="top"/>
      <protection locked="0"/>
    </xf>
    <xf numFmtId="44" fontId="21" fillId="2" borderId="5" xfId="1" applyNumberFormat="1" applyFont="1" applyFill="1" applyBorder="1" applyAlignment="1">
      <alignment horizontal="right" vertical="center"/>
    </xf>
    <xf numFmtId="44" fontId="21" fillId="2" borderId="5" xfId="0" applyNumberFormat="1" applyFont="1" applyFill="1" applyBorder="1" applyAlignment="1">
      <alignment horizontal="right" vertical="center"/>
    </xf>
    <xf numFmtId="44" fontId="17" fillId="4" borderId="6" xfId="0" applyNumberFormat="1" applyFont="1" applyFill="1" applyBorder="1" applyAlignment="1" applyProtection="1">
      <alignment horizontal="right" vertical="center"/>
      <protection locked="0"/>
    </xf>
    <xf numFmtId="44" fontId="17" fillId="0" borderId="10" xfId="1" applyNumberFormat="1" applyBorder="1" applyAlignment="1">
      <alignment horizontal="right" vertical="center"/>
    </xf>
    <xf numFmtId="44" fontId="17" fillId="0" borderId="74" xfId="1" applyNumberFormat="1" applyBorder="1" applyAlignment="1" applyProtection="1">
      <alignment horizontal="right" vertical="center"/>
      <protection locked="0"/>
    </xf>
    <xf numFmtId="44" fontId="17" fillId="0" borderId="74" xfId="1" applyNumberFormat="1" applyBorder="1" applyAlignment="1">
      <alignment horizontal="right" vertical="center"/>
    </xf>
    <xf numFmtId="44" fontId="17" fillId="2" borderId="96" xfId="1" applyNumberFormat="1" applyFill="1" applyBorder="1" applyAlignment="1" applyProtection="1">
      <alignment horizontal="right" vertical="center"/>
      <protection locked="0"/>
    </xf>
    <xf numFmtId="44" fontId="21" fillId="2" borderId="113" xfId="1" applyNumberFormat="1" applyFont="1" applyFill="1" applyBorder="1" applyAlignment="1" applyProtection="1">
      <alignment horizontal="right" vertical="center"/>
      <protection locked="0"/>
    </xf>
    <xf numFmtId="0" fontId="22" fillId="0" borderId="10" xfId="0" applyFont="1" applyBorder="1" applyAlignment="1" applyProtection="1">
      <alignment horizontal="right" vertical="center"/>
      <protection locked="0"/>
    </xf>
    <xf numFmtId="44" fontId="17" fillId="0" borderId="111" xfId="266" applyFont="1" applyBorder="1" applyAlignment="1" applyProtection="1">
      <alignment horizontal="right" vertical="center"/>
      <protection locked="0"/>
    </xf>
    <xf numFmtId="44" fontId="17" fillId="0" borderId="114" xfId="266" applyFont="1" applyBorder="1" applyAlignment="1" applyProtection="1">
      <alignment vertical="center"/>
    </xf>
    <xf numFmtId="44" fontId="17" fillId="0" borderId="111" xfId="1" applyNumberFormat="1" applyBorder="1" applyAlignment="1">
      <alignment horizontal="right" vertical="center"/>
    </xf>
    <xf numFmtId="44" fontId="17" fillId="0" borderId="111" xfId="266" applyFont="1" applyFill="1" applyBorder="1" applyAlignment="1" applyProtection="1">
      <alignment horizontal="right" vertical="center"/>
      <protection locked="0"/>
    </xf>
    <xf numFmtId="44" fontId="17" fillId="0" borderId="111" xfId="266" applyFont="1" applyBorder="1" applyAlignment="1" applyProtection="1">
      <alignment horizontal="right" vertical="center"/>
    </xf>
    <xf numFmtId="44" fontId="17" fillId="0" borderId="111" xfId="266" applyFont="1" applyFill="1" applyBorder="1" applyAlignment="1" applyProtection="1">
      <alignment horizontal="right" vertical="center"/>
    </xf>
    <xf numFmtId="44" fontId="17" fillId="0" borderId="111" xfId="266" applyFont="1" applyBorder="1" applyAlignment="1" applyProtection="1">
      <alignment vertical="center"/>
      <protection locked="0"/>
    </xf>
    <xf numFmtId="44" fontId="17" fillId="0" borderId="111" xfId="266" applyFont="1" applyBorder="1" applyAlignment="1" applyProtection="1">
      <alignment vertical="center"/>
    </xf>
    <xf numFmtId="44" fontId="17" fillId="0" borderId="114" xfId="266" applyFont="1" applyFill="1" applyBorder="1" applyAlignment="1" applyProtection="1">
      <alignment horizontal="right" vertical="center"/>
    </xf>
    <xf numFmtId="44" fontId="17" fillId="0" borderId="111" xfId="266" applyFont="1" applyFill="1" applyBorder="1" applyAlignment="1" applyProtection="1">
      <alignment vertical="center"/>
      <protection locked="0"/>
    </xf>
    <xf numFmtId="168" fontId="17" fillId="0" borderId="112" xfId="1" applyNumberFormat="1" applyBorder="1" applyAlignment="1">
      <alignment horizontal="right" vertical="top"/>
    </xf>
    <xf numFmtId="44" fontId="17" fillId="0" borderId="99" xfId="1" applyNumberFormat="1" applyBorder="1" applyAlignment="1">
      <alignment horizontal="right" vertical="center"/>
    </xf>
    <xf numFmtId="44" fontId="92" fillId="0" borderId="111" xfId="277" applyFont="1" applyBorder="1" applyAlignment="1" applyProtection="1">
      <alignment vertical="distributed" wrapText="1"/>
      <protection locked="0"/>
    </xf>
    <xf numFmtId="168" fontId="17" fillId="0" borderId="111" xfId="1" applyNumberFormat="1" applyBorder="1" applyAlignment="1" applyProtection="1">
      <alignment horizontal="right" vertical="top"/>
      <protection locked="0"/>
    </xf>
    <xf numFmtId="44" fontId="71" fillId="0" borderId="111" xfId="198" applyFont="1" applyBorder="1" applyAlignment="1" applyProtection="1">
      <alignment vertical="center"/>
      <protection locked="0"/>
    </xf>
    <xf numFmtId="4" fontId="17" fillId="0" borderId="111" xfId="1" applyNumberFormat="1" applyBorder="1" applyAlignment="1" applyProtection="1">
      <alignment vertical="top"/>
      <protection locked="0"/>
    </xf>
    <xf numFmtId="44" fontId="17" fillId="0" borderId="111" xfId="198" applyFont="1" applyFill="1" applyBorder="1" applyAlignment="1" applyProtection="1">
      <alignment horizontal="center" vertical="center"/>
      <protection locked="0"/>
    </xf>
    <xf numFmtId="44" fontId="17" fillId="0" borderId="111" xfId="198" applyFont="1" applyBorder="1" applyAlignment="1" applyProtection="1">
      <alignment horizontal="center" vertical="center"/>
      <protection locked="0"/>
    </xf>
    <xf numFmtId="44" fontId="17" fillId="0" borderId="111" xfId="198" applyFont="1" applyBorder="1" applyAlignment="1" applyProtection="1">
      <protection locked="0"/>
    </xf>
    <xf numFmtId="44" fontId="17" fillId="0" borderId="111" xfId="198" applyFont="1" applyFill="1" applyBorder="1" applyAlignment="1" applyProtection="1">
      <alignment horizontal="right" vertical="top"/>
      <protection locked="0"/>
    </xf>
    <xf numFmtId="44" fontId="17" fillId="0" borderId="111" xfId="198" applyFont="1" applyBorder="1" applyAlignment="1" applyProtection="1">
      <alignment vertical="center"/>
      <protection locked="0"/>
    </xf>
    <xf numFmtId="44" fontId="71" fillId="0" borderId="111" xfId="266" applyFont="1" applyFill="1" applyBorder="1" applyAlignment="1" applyProtection="1">
      <alignment horizontal="right" vertical="top"/>
      <protection locked="0"/>
    </xf>
    <xf numFmtId="44" fontId="68" fillId="0" borderId="111" xfId="266" applyFont="1" applyFill="1" applyBorder="1" applyAlignment="1" applyProtection="1">
      <alignment horizontal="right" vertical="top"/>
      <protection locked="0"/>
    </xf>
    <xf numFmtId="168" fontId="68" fillId="0" borderId="111" xfId="1" applyNumberFormat="1" applyFont="1" applyBorder="1" applyAlignment="1" applyProtection="1">
      <alignment horizontal="right" vertical="top"/>
      <protection locked="0"/>
    </xf>
    <xf numFmtId="168" fontId="71" fillId="0" borderId="111" xfId="1" applyNumberFormat="1" applyFont="1" applyBorder="1" applyAlignment="1" applyProtection="1">
      <alignment horizontal="right" vertical="top"/>
      <protection locked="0"/>
    </xf>
    <xf numFmtId="44" fontId="71" fillId="0" borderId="111" xfId="198" applyFont="1" applyBorder="1" applyAlignment="1" applyProtection="1">
      <alignment horizontal="right" vertical="center"/>
      <protection locked="0"/>
    </xf>
    <xf numFmtId="44" fontId="71" fillId="0" borderId="111" xfId="198" applyFont="1" applyBorder="1" applyAlignment="1">
      <alignment horizontal="right" vertical="center"/>
    </xf>
    <xf numFmtId="49" fontId="73" fillId="0" borderId="111" xfId="0" applyNumberFormat="1" applyFont="1" applyBorder="1" applyAlignment="1" applyProtection="1">
      <alignment vertical="top" wrapText="1"/>
      <protection locked="0"/>
    </xf>
    <xf numFmtId="44" fontId="17" fillId="0" borderId="111" xfId="198" applyFont="1" applyFill="1" applyBorder="1" applyAlignment="1">
      <alignment horizontal="right" vertical="center"/>
    </xf>
    <xf numFmtId="44" fontId="71" fillId="0" borderId="111" xfId="198" applyFont="1" applyFill="1" applyBorder="1" applyAlignment="1" applyProtection="1">
      <alignment horizontal="right" vertical="center"/>
      <protection locked="0"/>
    </xf>
    <xf numFmtId="44" fontId="71" fillId="0" borderId="74" xfId="198" applyFont="1" applyBorder="1" applyAlignment="1" applyProtection="1">
      <alignment horizontal="right" vertical="top"/>
      <protection locked="0"/>
    </xf>
    <xf numFmtId="0" fontId="71" fillId="0" borderId="111" xfId="2" applyFont="1" applyBorder="1" applyAlignment="1">
      <alignment horizontal="center" vertical="top"/>
    </xf>
    <xf numFmtId="0" fontId="71" fillId="0" borderId="111" xfId="2" applyFont="1" applyBorder="1" applyAlignment="1">
      <alignment horizontal="left" vertical="top" wrapText="1"/>
    </xf>
    <xf numFmtId="171" fontId="71" fillId="0" borderId="111" xfId="2" applyNumberFormat="1" applyFont="1" applyBorder="1" applyAlignment="1">
      <alignment horizontal="center" vertical="center"/>
    </xf>
    <xf numFmtId="44" fontId="71" fillId="0" borderId="111" xfId="198" applyFont="1" applyFill="1" applyBorder="1" applyAlignment="1" applyProtection="1">
      <alignment horizontal="center" vertical="center" wrapText="1"/>
      <protection locked="0"/>
    </xf>
    <xf numFmtId="0" fontId="71" fillId="0" borderId="111" xfId="0" applyFont="1" applyBorder="1" applyProtection="1">
      <protection locked="0"/>
    </xf>
    <xf numFmtId="189" fontId="71" fillId="0" borderId="111" xfId="2" applyNumberFormat="1" applyFont="1" applyBorder="1" applyAlignment="1" applyProtection="1">
      <alignment horizontal="right" vertical="top"/>
      <protection locked="0"/>
    </xf>
    <xf numFmtId="44" fontId="71" fillId="0" borderId="111" xfId="198" applyFont="1" applyBorder="1" applyAlignment="1" applyProtection="1">
      <alignment horizontal="center" vertical="center"/>
      <protection locked="0"/>
    </xf>
    <xf numFmtId="44" fontId="71" fillId="0" borderId="99" xfId="198" applyFont="1" applyBorder="1" applyAlignment="1" applyProtection="1"/>
    <xf numFmtId="189" fontId="17" fillId="0" borderId="111" xfId="2" applyNumberFormat="1" applyBorder="1" applyAlignment="1" applyProtection="1">
      <alignment horizontal="center"/>
      <protection locked="0"/>
    </xf>
    <xf numFmtId="189" fontId="17" fillId="0" borderId="111" xfId="1" applyNumberFormat="1" applyBorder="1" applyAlignment="1" applyProtection="1">
      <alignment vertical="top"/>
      <protection locked="0"/>
    </xf>
    <xf numFmtId="44" fontId="71" fillId="0" borderId="111" xfId="198" applyFont="1" applyBorder="1" applyAlignment="1" applyProtection="1">
      <alignment vertical="top"/>
      <protection locked="0"/>
    </xf>
    <xf numFmtId="189" fontId="17" fillId="0" borderId="111" xfId="0" applyNumberFormat="1" applyFont="1" applyBorder="1" applyProtection="1">
      <protection locked="0"/>
    </xf>
    <xf numFmtId="44" fontId="71" fillId="0" borderId="111" xfId="198" applyFont="1" applyBorder="1" applyAlignment="1" applyProtection="1">
      <alignment horizontal="center"/>
      <protection locked="0"/>
    </xf>
    <xf numFmtId="44" fontId="71" fillId="0" borderId="74" xfId="198" applyFont="1" applyBorder="1" applyAlignment="1" applyProtection="1">
      <alignment horizontal="center"/>
      <protection locked="0"/>
    </xf>
    <xf numFmtId="189" fontId="71" fillId="0" borderId="111" xfId="2" applyNumberFormat="1" applyFont="1" applyBorder="1" applyAlignment="1" applyProtection="1">
      <alignment horizontal="center"/>
      <protection locked="0"/>
    </xf>
    <xf numFmtId="0" fontId="68" fillId="0" borderId="111" xfId="0" applyFont="1" applyBorder="1" applyProtection="1">
      <protection locked="0"/>
    </xf>
    <xf numFmtId="189" fontId="68" fillId="0" borderId="111" xfId="2" applyNumberFormat="1" applyFont="1" applyBorder="1" applyAlignment="1" applyProtection="1">
      <alignment horizontal="center"/>
      <protection locked="0"/>
    </xf>
    <xf numFmtId="189" fontId="73" fillId="0" borderId="111" xfId="2" applyNumberFormat="1" applyFont="1" applyBorder="1" applyAlignment="1" applyProtection="1">
      <alignment horizontal="center"/>
      <protection locked="0"/>
    </xf>
    <xf numFmtId="189" fontId="17" fillId="0" borderId="111" xfId="2" applyNumberFormat="1" applyBorder="1" applyProtection="1">
      <protection locked="0"/>
    </xf>
    <xf numFmtId="44" fontId="68" fillId="0" borderId="111" xfId="198" applyFont="1" applyBorder="1" applyAlignment="1" applyProtection="1">
      <alignment horizontal="right" vertical="top"/>
      <protection locked="0"/>
    </xf>
    <xf numFmtId="0" fontId="17" fillId="0" borderId="111" xfId="2" applyBorder="1" applyAlignment="1">
      <alignment horizontal="center" vertical="center"/>
    </xf>
    <xf numFmtId="49" fontId="17" fillId="0" borderId="111" xfId="2" applyNumberFormat="1" applyBorder="1" applyAlignment="1">
      <alignment horizontal="center" vertical="center"/>
    </xf>
    <xf numFmtId="0" fontId="22" fillId="0" borderId="111" xfId="0" applyFont="1" applyBorder="1" applyAlignment="1">
      <alignment horizontal="right"/>
    </xf>
    <xf numFmtId="44" fontId="17" fillId="0" borderId="111" xfId="198" applyFont="1" applyBorder="1" applyAlignment="1" applyProtection="1"/>
    <xf numFmtId="0" fontId="17" fillId="0" borderId="111" xfId="45" applyFont="1" applyBorder="1" applyAlignment="1">
      <alignment horizontal="center" wrapText="1"/>
    </xf>
    <xf numFmtId="2" fontId="71" fillId="0" borderId="111" xfId="45" applyNumberFormat="1" applyFont="1" applyBorder="1" applyAlignment="1">
      <alignment horizontal="center" vertical="center" wrapText="1"/>
    </xf>
    <xf numFmtId="1" fontId="71" fillId="0" borderId="111" xfId="45" applyNumberFormat="1" applyFont="1" applyBorder="1" applyAlignment="1">
      <alignment horizontal="center" vertical="center" wrapText="1"/>
    </xf>
    <xf numFmtId="0" fontId="17" fillId="0" borderId="111" xfId="2" applyBorder="1" applyAlignment="1">
      <alignment horizontal="center" wrapText="1"/>
    </xf>
    <xf numFmtId="1" fontId="71" fillId="0" borderId="111" xfId="2" applyNumberFormat="1" applyFont="1" applyBorder="1" applyAlignment="1">
      <alignment horizontal="center" vertical="center" wrapText="1"/>
    </xf>
    <xf numFmtId="0" fontId="71" fillId="0" borderId="111" xfId="2" applyFont="1" applyBorder="1" applyAlignment="1">
      <alignment horizontal="left" wrapText="1"/>
    </xf>
    <xf numFmtId="44" fontId="17" fillId="0" borderId="111" xfId="198" applyFont="1" applyBorder="1" applyAlignment="1" applyProtection="1">
      <alignment horizontal="right" vertical="top"/>
    </xf>
    <xf numFmtId="172" fontId="71" fillId="0" borderId="0" xfId="35" applyFont="1" applyAlignment="1">
      <alignment horizontal="center" vertical="top"/>
    </xf>
    <xf numFmtId="172" fontId="71" fillId="0" borderId="99" xfId="35" applyFont="1" applyBorder="1" applyAlignment="1">
      <alignment horizontal="center" vertical="top"/>
    </xf>
    <xf numFmtId="172" fontId="71" fillId="0" borderId="111" xfId="35" applyFont="1" applyBorder="1" applyAlignment="1">
      <alignment horizontal="center" vertical="top"/>
    </xf>
    <xf numFmtId="172" fontId="17" fillId="0" borderId="111" xfId="35" applyFont="1" applyBorder="1" applyAlignment="1">
      <alignment vertical="center" wrapText="1"/>
    </xf>
    <xf numFmtId="49" fontId="71" fillId="0" borderId="111" xfId="2" applyNumberFormat="1" applyFont="1" applyBorder="1" applyAlignment="1">
      <alignment horizontal="center" vertical="center"/>
    </xf>
    <xf numFmtId="178" fontId="71" fillId="0" borderId="111" xfId="2" applyNumberFormat="1" applyFont="1" applyBorder="1" applyAlignment="1">
      <alignment horizontal="center" vertical="center"/>
    </xf>
    <xf numFmtId="0" fontId="71" fillId="0" borderId="111" xfId="29" applyFont="1" applyBorder="1" applyAlignment="1">
      <alignment horizontal="center" vertical="center"/>
    </xf>
    <xf numFmtId="49" fontId="17" fillId="0" borderId="111" xfId="29" applyNumberFormat="1" applyBorder="1" applyAlignment="1">
      <alignment horizontal="center" vertical="center"/>
    </xf>
    <xf numFmtId="172" fontId="71" fillId="0" borderId="111" xfId="35" applyFont="1" applyBorder="1" applyAlignment="1">
      <alignment vertical="top" wrapText="1"/>
    </xf>
    <xf numFmtId="171" fontId="71" fillId="0" borderId="111" xfId="29" applyNumberFormat="1" applyFont="1" applyBorder="1" applyAlignment="1">
      <alignment horizontal="center" vertical="center"/>
    </xf>
    <xf numFmtId="44" fontId="71" fillId="0" borderId="111" xfId="277" applyFont="1" applyBorder="1" applyAlignment="1" applyProtection="1">
      <alignment horizontal="center" vertical="center"/>
      <protection locked="0"/>
    </xf>
    <xf numFmtId="49" fontId="71" fillId="0" borderId="111" xfId="29" applyNumberFormat="1" applyFont="1" applyBorder="1" applyAlignment="1">
      <alignment horizontal="center" vertical="center"/>
    </xf>
    <xf numFmtId="0" fontId="0" fillId="0" borderId="108" xfId="221" applyFont="1" applyBorder="1" applyAlignment="1">
      <alignment horizontal="center" vertical="top" wrapText="1"/>
    </xf>
    <xf numFmtId="0" fontId="17" fillId="0" borderId="115" xfId="0" applyFont="1" applyBorder="1" applyAlignment="1">
      <alignment horizontal="center" vertical="center" wrapText="1"/>
    </xf>
    <xf numFmtId="0" fontId="17" fillId="0" borderId="111" xfId="0" applyFont="1" applyBorder="1" applyAlignment="1">
      <alignment horizontal="center" vertical="center" wrapText="1"/>
    </xf>
    <xf numFmtId="0" fontId="17" fillId="0" borderId="111" xfId="0" applyFont="1" applyBorder="1" applyAlignment="1">
      <alignment wrapText="1"/>
    </xf>
    <xf numFmtId="1" fontId="17" fillId="0" borderId="111" xfId="19" applyNumberFormat="1" applyFont="1" applyFill="1" applyBorder="1" applyAlignment="1">
      <alignment horizontal="center" vertical="center"/>
    </xf>
    <xf numFmtId="44" fontId="17" fillId="0" borderId="111" xfId="198" applyFont="1" applyBorder="1" applyAlignment="1" applyProtection="1">
      <alignment horizontal="right" vertical="center" wrapText="1"/>
      <protection locked="0"/>
    </xf>
    <xf numFmtId="44" fontId="17" fillId="0" borderId="111" xfId="198" applyFont="1" applyBorder="1" applyAlignment="1">
      <alignment horizontal="center" vertical="center" wrapText="1"/>
    </xf>
    <xf numFmtId="0" fontId="70" fillId="0" borderId="111" xfId="0" applyFont="1" applyBorder="1" applyAlignment="1">
      <alignment wrapText="1"/>
    </xf>
    <xf numFmtId="44" fontId="0" fillId="0" borderId="111" xfId="198" applyFont="1" applyBorder="1" applyAlignment="1" applyProtection="1">
      <alignment horizontal="right" vertical="center" wrapText="1"/>
      <protection locked="0"/>
    </xf>
    <xf numFmtId="2" fontId="17" fillId="0" borderId="111" xfId="0" applyNumberFormat="1" applyFont="1" applyBorder="1" applyAlignment="1">
      <alignment horizontal="center" vertical="center"/>
    </xf>
    <xf numFmtId="0" fontId="71" fillId="0" borderId="111" xfId="0" applyFont="1" applyBorder="1" applyAlignment="1">
      <alignment vertical="center" wrapText="1"/>
    </xf>
    <xf numFmtId="0" fontId="70" fillId="0" borderId="111" xfId="0" applyFont="1" applyBorder="1" applyAlignment="1">
      <alignment vertical="center" wrapText="1"/>
    </xf>
    <xf numFmtId="1" fontId="0" fillId="0" borderId="111" xfId="19" applyNumberFormat="1" applyFont="1" applyBorder="1" applyAlignment="1">
      <alignment horizontal="center" vertical="center"/>
    </xf>
    <xf numFmtId="0" fontId="2" fillId="0" borderId="115" xfId="507" applyBorder="1" applyAlignment="1">
      <alignment horizontal="center"/>
    </xf>
    <xf numFmtId="49" fontId="71" fillId="0" borderId="111" xfId="396" applyNumberFormat="1" applyFont="1" applyBorder="1" applyAlignment="1">
      <alignment horizontal="center" vertical="center"/>
    </xf>
    <xf numFmtId="0" fontId="73" fillId="0" borderId="111" xfId="396" applyFont="1" applyBorder="1" applyAlignment="1">
      <alignment horizontal="center" vertical="top" wrapText="1"/>
    </xf>
    <xf numFmtId="0" fontId="17" fillId="0" borderId="111" xfId="507" applyFont="1" applyBorder="1" applyAlignment="1">
      <alignment vertical="center" wrapText="1"/>
    </xf>
    <xf numFmtId="0" fontId="71" fillId="0" borderId="111" xfId="81" applyFont="1" applyBorder="1" applyAlignment="1">
      <alignment horizontal="center" vertical="center" wrapText="1"/>
    </xf>
    <xf numFmtId="0" fontId="71" fillId="0" borderId="111" xfId="396" applyFont="1" applyBorder="1" applyAlignment="1">
      <alignment horizontal="center" vertical="center"/>
    </xf>
    <xf numFmtId="44" fontId="71" fillId="0" borderId="111" xfId="394" applyNumberFormat="1" applyFont="1" applyBorder="1" applyAlignment="1">
      <alignment vertical="center"/>
    </xf>
    <xf numFmtId="49" fontId="71" fillId="0" borderId="111" xfId="397" applyNumberFormat="1" applyFont="1" applyBorder="1" applyAlignment="1">
      <alignment horizontal="center" vertical="center"/>
    </xf>
    <xf numFmtId="0" fontId="73" fillId="0" borderId="111" xfId="397" applyFont="1" applyBorder="1" applyAlignment="1">
      <alignment horizontal="center" vertical="center" wrapText="1"/>
    </xf>
    <xf numFmtId="0" fontId="70" fillId="0" borderId="116" xfId="507" applyFont="1" applyBorder="1" applyAlignment="1">
      <alignment vertical="center" wrapText="1"/>
    </xf>
    <xf numFmtId="0" fontId="71" fillId="0" borderId="111" xfId="397" applyFont="1" applyBorder="1" applyAlignment="1">
      <alignment horizontal="center" vertical="center" wrapText="1"/>
    </xf>
    <xf numFmtId="1" fontId="71" fillId="0" borderId="111" xfId="78" applyNumberFormat="1" applyFont="1" applyBorder="1" applyAlignment="1">
      <alignment horizontal="center" vertical="center"/>
    </xf>
    <xf numFmtId="49" fontId="71" fillId="0" borderId="111" xfId="81" applyNumberFormat="1" applyFont="1" applyBorder="1" applyAlignment="1">
      <alignment horizontal="center" vertical="top"/>
    </xf>
    <xf numFmtId="0" fontId="73" fillId="0" borderId="111" xfId="397" applyFont="1" applyBorder="1" applyAlignment="1">
      <alignment horizontal="center" wrapText="1"/>
    </xf>
    <xf numFmtId="0" fontId="70" fillId="0" borderId="111" xfId="507" applyFont="1" applyBorder="1" applyAlignment="1">
      <alignment vertical="center" wrapText="1"/>
    </xf>
    <xf numFmtId="3" fontId="71" fillId="0" borderId="111" xfId="77" applyNumberFormat="1" applyFont="1" applyBorder="1" applyAlignment="1">
      <alignment horizontal="center" vertical="center"/>
    </xf>
    <xf numFmtId="49" fontId="71" fillId="0" borderId="111" xfId="397" applyNumberFormat="1" applyFont="1" applyBorder="1" applyAlignment="1">
      <alignment horizontal="center"/>
    </xf>
    <xf numFmtId="0" fontId="73" fillId="0" borderId="111" xfId="397" applyFont="1" applyBorder="1" applyAlignment="1">
      <alignment horizontal="center" vertical="top" wrapText="1"/>
    </xf>
    <xf numFmtId="0" fontId="71" fillId="0" borderId="111" xfId="397" applyFont="1" applyBorder="1" applyAlignment="1">
      <alignment horizontal="center" vertical="center"/>
    </xf>
    <xf numFmtId="0" fontId="71" fillId="0" borderId="111" xfId="398" applyFont="1" applyBorder="1" applyAlignment="1">
      <alignment horizontal="center" vertical="center"/>
    </xf>
    <xf numFmtId="0" fontId="73" fillId="0" borderId="111" xfId="398" applyFont="1" applyBorder="1" applyAlignment="1">
      <alignment horizontal="center" wrapText="1"/>
    </xf>
    <xf numFmtId="1" fontId="71" fillId="0" borderId="111" xfId="88" applyNumberFormat="1" applyFont="1" applyBorder="1" applyAlignment="1">
      <alignment vertical="center"/>
    </xf>
    <xf numFmtId="0" fontId="2" fillId="0" borderId="111" xfId="507" applyBorder="1"/>
    <xf numFmtId="1" fontId="71" fillId="0" borderId="111" xfId="88" applyNumberFormat="1" applyFont="1" applyBorder="1" applyAlignment="1">
      <alignment horizontal="center" vertical="center"/>
    </xf>
    <xf numFmtId="0" fontId="17" fillId="0" borderId="111" xfId="210" applyFont="1" applyBorder="1" applyAlignment="1">
      <alignment horizontal="center" vertical="center" wrapText="1"/>
    </xf>
    <xf numFmtId="0" fontId="17" fillId="0" borderId="111" xfId="81" applyBorder="1" applyAlignment="1">
      <alignment horizontal="left" vertical="top"/>
    </xf>
    <xf numFmtId="0" fontId="17" fillId="0" borderId="111" xfId="81" applyBorder="1" applyAlignment="1">
      <alignment horizontal="center" vertical="center" wrapText="1"/>
    </xf>
    <xf numFmtId="3" fontId="17" fillId="0" borderId="111" xfId="76" applyNumberFormat="1" applyFont="1" applyFill="1" applyBorder="1" applyAlignment="1">
      <alignment horizontal="center" vertical="center"/>
    </xf>
    <xf numFmtId="44" fontId="17" fillId="0" borderId="111" xfId="198" applyFont="1" applyBorder="1" applyAlignment="1" applyProtection="1">
      <alignment horizontal="center" vertical="center"/>
    </xf>
    <xf numFmtId="0" fontId="17" fillId="0" borderId="111" xfId="210" applyFont="1" applyBorder="1" applyAlignment="1">
      <alignment vertical="center" wrapText="1"/>
    </xf>
    <xf numFmtId="49" fontId="17" fillId="0" borderId="111" xfId="2" applyNumberFormat="1" applyBorder="1" applyAlignment="1">
      <alignment horizontal="center" vertical="center" wrapText="1"/>
    </xf>
    <xf numFmtId="0" fontId="17" fillId="0" borderId="111" xfId="81" applyBorder="1" applyAlignment="1">
      <alignment horizontal="center" vertical="center"/>
    </xf>
    <xf numFmtId="0" fontId="17" fillId="0" borderId="111" xfId="210" applyFont="1" applyBorder="1" applyAlignment="1">
      <alignment horizontal="center" vertical="center"/>
    </xf>
    <xf numFmtId="0" fontId="17" fillId="0" borderId="111" xfId="81" applyBorder="1" applyAlignment="1">
      <alignment horizontal="center" vertical="top" wrapText="1"/>
    </xf>
    <xf numFmtId="0" fontId="17" fillId="0" borderId="111" xfId="209" applyFont="1" applyBorder="1" applyAlignment="1">
      <alignment horizontal="center" vertical="center" wrapText="1"/>
    </xf>
    <xf numFmtId="0" fontId="17" fillId="0" borderId="111" xfId="208" applyFont="1" applyBorder="1" applyAlignment="1">
      <alignment horizontal="center"/>
    </xf>
    <xf numFmtId="3" fontId="17" fillId="0" borderId="111" xfId="181" applyNumberFormat="1" applyFont="1" applyFill="1" applyBorder="1" applyAlignment="1">
      <alignment horizontal="center" vertical="center"/>
    </xf>
    <xf numFmtId="0" fontId="21" fillId="0" borderId="111" xfId="210" applyFont="1" applyBorder="1" applyAlignment="1">
      <alignment horizontal="center" vertical="center" wrapText="1"/>
    </xf>
    <xf numFmtId="0" fontId="17" fillId="0" borderId="111" xfId="210" applyFont="1" applyBorder="1" applyAlignment="1">
      <alignment horizontal="center" wrapText="1"/>
    </xf>
    <xf numFmtId="44" fontId="17" fillId="0" borderId="111" xfId="198" applyFont="1" applyBorder="1" applyAlignment="1">
      <alignment horizontal="center" vertical="center"/>
    </xf>
    <xf numFmtId="0" fontId="17" fillId="0" borderId="111" xfId="81" applyBorder="1" applyAlignment="1">
      <alignment horizontal="left" vertical="top" wrapText="1"/>
    </xf>
    <xf numFmtId="187" fontId="17" fillId="0" borderId="111" xfId="90" applyNumberFormat="1" applyFont="1" applyFill="1" applyBorder="1" applyAlignment="1">
      <alignment horizontal="center" vertical="center"/>
    </xf>
    <xf numFmtId="0" fontId="20" fillId="0" borderId="18" xfId="0" applyFont="1" applyBorder="1" applyAlignment="1">
      <alignment horizontal="center"/>
    </xf>
    <xf numFmtId="0" fontId="24" fillId="0" borderId="34" xfId="0" applyFont="1" applyBorder="1"/>
    <xf numFmtId="0" fontId="24" fillId="0" borderId="109" xfId="0" applyFont="1" applyBorder="1"/>
    <xf numFmtId="44" fontId="20" fillId="0" borderId="110" xfId="198" applyFont="1" applyBorder="1" applyAlignment="1" applyProtection="1"/>
    <xf numFmtId="0" fontId="24" fillId="0" borderId="27" xfId="0" applyFont="1" applyBorder="1" applyAlignment="1">
      <alignment horizontal="center"/>
    </xf>
    <xf numFmtId="0" fontId="24" fillId="0" borderId="111" xfId="0" applyFont="1" applyBorder="1"/>
    <xf numFmtId="44" fontId="20" fillId="0" borderId="24" xfId="198" applyFont="1" applyBorder="1" applyAlignment="1" applyProtection="1"/>
    <xf numFmtId="44" fontId="20" fillId="0" borderId="18" xfId="0" applyNumberFormat="1" applyFont="1" applyBorder="1"/>
    <xf numFmtId="44" fontId="20" fillId="0" borderId="117" xfId="0" applyNumberFormat="1" applyFont="1" applyBorder="1"/>
    <xf numFmtId="44" fontId="20" fillId="0" borderId="37" xfId="266" applyFont="1" applyBorder="1" applyAlignment="1" applyProtection="1"/>
    <xf numFmtId="44" fontId="20" fillId="0" borderId="73" xfId="266" applyFont="1" applyBorder="1" applyAlignment="1" applyProtection="1"/>
    <xf numFmtId="0" fontId="20" fillId="0" borderId="0" xfId="0" applyFont="1"/>
    <xf numFmtId="44" fontId="20" fillId="0" borderId="0" xfId="0" applyNumberFormat="1" applyFont="1"/>
    <xf numFmtId="0" fontId="0" fillId="0" borderId="6" xfId="0" applyBorder="1"/>
    <xf numFmtId="0" fontId="17" fillId="0" borderId="0" xfId="0" applyFont="1" applyAlignment="1">
      <alignment horizontal="right"/>
    </xf>
    <xf numFmtId="0" fontId="20" fillId="0" borderId="0" xfId="0" applyFont="1" applyAlignment="1">
      <alignment horizontal="left"/>
    </xf>
    <xf numFmtId="44" fontId="21" fillId="3" borderId="53" xfId="198" applyFont="1" applyFill="1" applyBorder="1" applyAlignment="1" applyProtection="1">
      <alignment horizontal="center" vertical="center"/>
      <protection locked="0"/>
    </xf>
    <xf numFmtId="44" fontId="17" fillId="0" borderId="111" xfId="198" applyFont="1" applyFill="1" applyBorder="1" applyAlignment="1" applyProtection="1">
      <alignment horizontal="right" vertical="center" wrapText="1"/>
      <protection locked="0"/>
    </xf>
    <xf numFmtId="0" fontId="17" fillId="12" borderId="0" xfId="210" applyFont="1" applyFill="1" applyAlignment="1">
      <alignment horizontal="left" vertical="top" wrapText="1"/>
    </xf>
    <xf numFmtId="0" fontId="17" fillId="12" borderId="0" xfId="210" applyFont="1" applyFill="1" applyAlignment="1">
      <alignment horizontal="left" vertical="center" wrapText="1"/>
    </xf>
    <xf numFmtId="0" fontId="17" fillId="12" borderId="111" xfId="210" applyFont="1" applyFill="1" applyBorder="1" applyAlignment="1">
      <alignment vertical="center" wrapText="1"/>
    </xf>
    <xf numFmtId="0" fontId="17" fillId="12" borderId="0" xfId="210" applyFont="1" applyFill="1" applyAlignment="1">
      <alignment vertical="center" wrapText="1"/>
    </xf>
    <xf numFmtId="0" fontId="77" fillId="0" borderId="97" xfId="228" applyFont="1" applyBorder="1"/>
    <xf numFmtId="0" fontId="77" fillId="0" borderId="112" xfId="228" applyFont="1" applyBorder="1"/>
    <xf numFmtId="0" fontId="21" fillId="0" borderId="94" xfId="228" applyFont="1" applyBorder="1" applyAlignment="1">
      <alignment vertical="center"/>
    </xf>
    <xf numFmtId="0" fontId="21" fillId="0" borderId="94" xfId="228" applyFont="1" applyBorder="1" applyAlignment="1">
      <alignment horizontal="center" vertical="center"/>
    </xf>
    <xf numFmtId="0" fontId="8" fillId="0" borderId="74" xfId="228" applyBorder="1" applyAlignment="1">
      <alignment vertical="center"/>
    </xf>
    <xf numFmtId="44" fontId="1" fillId="0" borderId="0" xfId="198" applyFont="1"/>
    <xf numFmtId="0" fontId="1" fillId="0" borderId="0" xfId="228" applyFont="1"/>
    <xf numFmtId="44" fontId="1" fillId="0" borderId="57" xfId="198" applyFont="1" applyBorder="1" applyAlignment="1">
      <alignment vertical="center"/>
    </xf>
    <xf numFmtId="0" fontId="8" fillId="0" borderId="111" xfId="228" applyBorder="1" applyAlignment="1">
      <alignment wrapText="1"/>
    </xf>
    <xf numFmtId="0" fontId="17" fillId="0" borderId="111" xfId="221" applyBorder="1" applyAlignment="1">
      <alignment horizontal="left" vertical="top" wrapText="1"/>
    </xf>
    <xf numFmtId="0" fontId="1" fillId="0" borderId="57" xfId="228" applyFont="1" applyBorder="1"/>
    <xf numFmtId="0" fontId="77" fillId="0" borderId="97" xfId="0" applyFont="1" applyBorder="1"/>
    <xf numFmtId="0" fontId="77" fillId="0" borderId="112" xfId="0" applyFont="1" applyBorder="1"/>
    <xf numFmtId="0" fontId="21" fillId="0" borderId="94" xfId="0" applyFont="1" applyBorder="1" applyAlignment="1">
      <alignment vertical="center"/>
    </xf>
    <xf numFmtId="0" fontId="21" fillId="0" borderId="94" xfId="0" applyFont="1" applyBorder="1" applyAlignment="1">
      <alignment horizontal="center" vertical="center"/>
    </xf>
    <xf numFmtId="0" fontId="0" fillId="0" borderId="74" xfId="0" applyBorder="1" applyAlignment="1">
      <alignment vertical="center"/>
    </xf>
    <xf numFmtId="0" fontId="0" fillId="0" borderId="111" xfId="0" applyBorder="1" applyAlignment="1">
      <alignment wrapText="1"/>
    </xf>
    <xf numFmtId="0" fontId="17" fillId="0" borderId="111" xfId="1" applyBorder="1" applyAlignment="1">
      <alignment horizontal="center" vertical="center"/>
    </xf>
    <xf numFmtId="0" fontId="17" fillId="0" borderId="111" xfId="1" applyBorder="1" applyAlignment="1">
      <alignment horizontal="left" vertical="center" wrapText="1"/>
    </xf>
    <xf numFmtId="39" fontId="17" fillId="0" borderId="111" xfId="1" applyNumberFormat="1" applyBorder="1" applyAlignment="1">
      <alignment horizontal="center" vertical="center"/>
    </xf>
    <xf numFmtId="171" fontId="17" fillId="0" borderId="111" xfId="1" applyNumberFormat="1" applyBorder="1" applyAlignment="1">
      <alignment horizontal="center" vertical="center"/>
    </xf>
    <xf numFmtId="44" fontId="17" fillId="0" borderId="111" xfId="1" applyNumberFormat="1" applyBorder="1" applyAlignment="1" applyProtection="1">
      <alignment horizontal="right" vertical="center"/>
      <protection locked="0"/>
    </xf>
    <xf numFmtId="0" fontId="21" fillId="0" borderId="111" xfId="1" applyFont="1" applyBorder="1" applyAlignment="1">
      <alignment horizontal="center" vertical="center" wrapText="1"/>
    </xf>
    <xf numFmtId="0" fontId="21" fillId="0" borderId="111" xfId="1" applyFont="1" applyBorder="1" applyAlignment="1">
      <alignment horizontal="left" vertical="center" wrapText="1"/>
    </xf>
    <xf numFmtId="0" fontId="17" fillId="0" borderId="111" xfId="1" applyBorder="1" applyAlignment="1" applyProtection="1">
      <alignment horizontal="left" vertical="center" wrapText="1"/>
      <protection locked="0"/>
    </xf>
    <xf numFmtId="0" fontId="17" fillId="0" borderId="111" xfId="1" applyBorder="1" applyAlignment="1" applyProtection="1">
      <alignment vertical="center" wrapText="1"/>
      <protection locked="0"/>
    </xf>
    <xf numFmtId="0" fontId="17" fillId="0" borderId="111" xfId="1" applyBorder="1" applyAlignment="1" applyProtection="1">
      <alignment wrapText="1"/>
      <protection locked="0"/>
    </xf>
    <xf numFmtId="0" fontId="35" fillId="0" borderId="111" xfId="0" applyFont="1" applyBorder="1" applyAlignment="1">
      <alignment horizontal="center" vertical="center"/>
    </xf>
    <xf numFmtId="0" fontId="35" fillId="0" borderId="111" xfId="0" applyFont="1" applyBorder="1" applyAlignment="1">
      <alignment horizontal="left" vertical="center" wrapText="1"/>
    </xf>
    <xf numFmtId="0" fontId="21" fillId="0" borderId="111" xfId="1" applyFont="1" applyBorder="1" applyAlignment="1" applyProtection="1">
      <alignment horizontal="left" vertical="center" wrapText="1"/>
      <protection locked="0"/>
    </xf>
    <xf numFmtId="0" fontId="35" fillId="0" borderId="111" xfId="0" quotePrefix="1" applyFont="1" applyBorder="1" applyAlignment="1">
      <alignment horizontal="center" vertical="center"/>
    </xf>
    <xf numFmtId="44" fontId="35" fillId="0" borderId="111" xfId="19" quotePrefix="1" applyNumberFormat="1" applyFont="1" applyFill="1" applyBorder="1" applyAlignment="1" applyProtection="1">
      <alignment horizontal="right" vertical="center"/>
      <protection locked="0"/>
    </xf>
    <xf numFmtId="0" fontId="34" fillId="0" borderId="111" xfId="0" applyFont="1" applyBorder="1" applyAlignment="1">
      <alignment horizontal="center" vertical="center"/>
    </xf>
    <xf numFmtId="0" fontId="36" fillId="0" borderId="111" xfId="0" applyFont="1" applyBorder="1" applyAlignment="1" applyProtection="1">
      <alignment vertical="center" wrapText="1"/>
      <protection locked="0"/>
    </xf>
    <xf numFmtId="0" fontId="35" fillId="0" borderId="111" xfId="0" applyFont="1" applyBorder="1" applyAlignment="1">
      <alignment vertical="center" wrapText="1"/>
    </xf>
    <xf numFmtId="0" fontId="34" fillId="0" borderId="99" xfId="0" applyFont="1" applyBorder="1" applyAlignment="1">
      <alignment horizontal="center" vertical="center"/>
    </xf>
    <xf numFmtId="44" fontId="34" fillId="0" borderId="111" xfId="19" applyNumberFormat="1" applyFont="1" applyBorder="1" applyAlignment="1" applyProtection="1">
      <alignment horizontal="right" vertical="center"/>
      <protection locked="0"/>
    </xf>
    <xf numFmtId="0" fontId="17" fillId="0" borderId="111" xfId="1" applyBorder="1" applyAlignment="1">
      <alignment horizontal="center" vertical="center" wrapText="1"/>
    </xf>
    <xf numFmtId="169" fontId="35" fillId="0" borderId="111" xfId="19" applyFont="1" applyFill="1" applyBorder="1" applyAlignment="1">
      <alignment horizontal="center" vertical="center"/>
    </xf>
    <xf numFmtId="44" fontId="35" fillId="0" borderId="111" xfId="19" applyNumberFormat="1" applyFont="1" applyFill="1" applyBorder="1" applyAlignment="1" applyProtection="1">
      <alignment horizontal="right" vertical="center"/>
      <protection locked="0"/>
    </xf>
    <xf numFmtId="169" fontId="35" fillId="0" borderId="99" xfId="19" applyFont="1" applyFill="1" applyBorder="1" applyAlignment="1">
      <alignment horizontal="center" vertical="center"/>
    </xf>
    <xf numFmtId="0" fontId="17" fillId="0" borderId="111" xfId="1" applyBorder="1" applyAlignment="1">
      <alignment vertical="center" wrapText="1"/>
    </xf>
    <xf numFmtId="4" fontId="35" fillId="0" borderId="99" xfId="0" applyNumberFormat="1" applyFont="1" applyBorder="1" applyAlignment="1">
      <alignment horizontal="center" vertical="center"/>
    </xf>
    <xf numFmtId="0" fontId="35" fillId="0" borderId="99" xfId="0" quotePrefix="1" applyFont="1" applyBorder="1" applyAlignment="1">
      <alignment horizontal="center" vertical="center"/>
    </xf>
    <xf numFmtId="0" fontId="35" fillId="0" borderId="99" xfId="0" quotePrefix="1" applyFont="1" applyBorder="1" applyAlignment="1" applyProtection="1">
      <alignment horizontal="center" vertical="center"/>
      <protection locked="0"/>
    </xf>
    <xf numFmtId="0" fontId="21" fillId="0" borderId="111" xfId="1" applyFont="1" applyBorder="1" applyAlignment="1">
      <alignment vertical="center" wrapText="1"/>
    </xf>
    <xf numFmtId="0" fontId="17" fillId="0" borderId="115" xfId="1" applyBorder="1" applyAlignment="1">
      <alignment horizontal="center" vertical="center"/>
    </xf>
    <xf numFmtId="0" fontId="17" fillId="0" borderId="99" xfId="1" applyBorder="1" applyAlignment="1">
      <alignment vertical="center" wrapText="1"/>
    </xf>
    <xf numFmtId="44" fontId="17" fillId="4" borderId="90" xfId="0" applyNumberFormat="1" applyFont="1" applyFill="1" applyBorder="1" applyAlignment="1" applyProtection="1">
      <alignment horizontal="right" vertical="center"/>
      <protection locked="0"/>
    </xf>
    <xf numFmtId="44" fontId="17" fillId="2" borderId="112" xfId="0" applyNumberFormat="1" applyFont="1" applyFill="1" applyBorder="1" applyAlignment="1">
      <alignment horizontal="right" vertical="center"/>
    </xf>
    <xf numFmtId="49" fontId="17" fillId="0" borderId="94" xfId="0" applyNumberFormat="1" applyFont="1" applyBorder="1" applyAlignment="1">
      <alignment horizontal="center" vertical="center"/>
    </xf>
    <xf numFmtId="0" fontId="17" fillId="0" borderId="111" xfId="0" applyFont="1" applyBorder="1" applyAlignment="1">
      <alignment vertical="center"/>
    </xf>
    <xf numFmtId="0" fontId="22" fillId="0" borderId="111" xfId="0" applyFont="1" applyBorder="1" applyAlignment="1">
      <alignment horizontal="right" vertical="center"/>
    </xf>
    <xf numFmtId="44" fontId="17" fillId="0" borderId="111" xfId="0" applyNumberFormat="1" applyFont="1" applyBorder="1" applyAlignment="1" applyProtection="1">
      <alignment horizontal="right" vertical="center"/>
      <protection locked="0"/>
    </xf>
    <xf numFmtId="44" fontId="17" fillId="0" borderId="111" xfId="0" applyNumberFormat="1" applyFont="1" applyBorder="1" applyAlignment="1">
      <alignment horizontal="right" vertical="center"/>
    </xf>
    <xf numFmtId="0" fontId="17" fillId="0" borderId="98" xfId="1" applyBorder="1" applyAlignment="1">
      <alignment horizontal="center" vertical="center"/>
    </xf>
    <xf numFmtId="0" fontId="17" fillId="0" borderId="108" xfId="1" applyBorder="1" applyAlignment="1">
      <alignment vertical="center" wrapText="1"/>
    </xf>
    <xf numFmtId="0" fontId="17" fillId="0" borderId="108" xfId="1" applyBorder="1" applyAlignment="1">
      <alignment horizontal="center" vertical="center"/>
    </xf>
    <xf numFmtId="171" fontId="17" fillId="0" borderId="108" xfId="1" applyNumberFormat="1" applyBorder="1" applyAlignment="1">
      <alignment horizontal="center" vertical="center"/>
    </xf>
    <xf numFmtId="44" fontId="17" fillId="0" borderId="108" xfId="1" applyNumberFormat="1" applyBorder="1" applyAlignment="1" applyProtection="1">
      <alignment horizontal="right" vertical="center"/>
      <protection locked="0"/>
    </xf>
    <xf numFmtId="0" fontId="17" fillId="0" borderId="108" xfId="1" applyBorder="1" applyAlignment="1">
      <alignment horizontal="left" vertical="center" wrapText="1"/>
    </xf>
    <xf numFmtId="0" fontId="17" fillId="0" borderId="111" xfId="1" applyBorder="1" applyAlignment="1">
      <alignment vertical="center"/>
    </xf>
    <xf numFmtId="49" fontId="17" fillId="0" borderId="111" xfId="0" applyNumberFormat="1" applyFont="1" applyBorder="1" applyAlignment="1">
      <alignment horizontal="center" vertical="center"/>
    </xf>
    <xf numFmtId="44" fontId="17" fillId="0" borderId="99" xfId="0" applyNumberFormat="1" applyFont="1" applyBorder="1" applyAlignment="1" applyProtection="1">
      <alignment horizontal="right" vertical="center"/>
      <protection locked="0"/>
    </xf>
    <xf numFmtId="44" fontId="17" fillId="0" borderId="99" xfId="1" applyNumberFormat="1" applyBorder="1" applyAlignment="1" applyProtection="1">
      <alignment horizontal="right" vertical="center"/>
      <protection locked="0"/>
    </xf>
    <xf numFmtId="0" fontId="17" fillId="0" borderId="99" xfId="0" applyFont="1" applyBorder="1" applyAlignment="1">
      <alignment vertical="center"/>
    </xf>
    <xf numFmtId="0" fontId="21" fillId="0" borderId="99" xfId="1" applyFont="1" applyBorder="1" applyAlignment="1">
      <alignment vertical="center" wrapText="1"/>
    </xf>
    <xf numFmtId="0" fontId="17" fillId="0" borderId="118" xfId="1" applyBorder="1" applyAlignment="1">
      <alignment horizontal="center" vertical="center"/>
    </xf>
    <xf numFmtId="0" fontId="21" fillId="0" borderId="119" xfId="0" applyFont="1" applyBorder="1" applyAlignment="1">
      <alignment vertical="center"/>
    </xf>
    <xf numFmtId="44" fontId="17" fillId="0" borderId="120" xfId="1" applyNumberFormat="1" applyBorder="1" applyAlignment="1" applyProtection="1">
      <alignment horizontal="right" vertical="center"/>
      <protection locked="0"/>
    </xf>
    <xf numFmtId="44" fontId="17" fillId="0" borderId="119" xfId="0" applyNumberFormat="1" applyFont="1" applyBorder="1" applyAlignment="1" applyProtection="1">
      <alignment horizontal="right" vertical="center"/>
      <protection locked="0"/>
    </xf>
    <xf numFmtId="0" fontId="17" fillId="0" borderId="119" xfId="1" applyBorder="1" applyAlignment="1">
      <alignment vertical="center" wrapText="1"/>
    </xf>
    <xf numFmtId="171" fontId="17" fillId="0" borderId="119" xfId="1" applyNumberFormat="1" applyBorder="1" applyAlignment="1">
      <alignment horizontal="center" vertical="center"/>
    </xf>
    <xf numFmtId="44" fontId="17" fillId="0" borderId="119" xfId="1" applyNumberFormat="1" applyBorder="1" applyAlignment="1" applyProtection="1">
      <alignment horizontal="right" vertical="center"/>
      <protection locked="0"/>
    </xf>
    <xf numFmtId="49" fontId="17" fillId="0" borderId="119" xfId="0" applyNumberFormat="1" applyFont="1" applyBorder="1" applyAlignment="1">
      <alignment horizontal="center" vertical="center"/>
    </xf>
    <xf numFmtId="0" fontId="17" fillId="0" borderId="119" xfId="0" applyFont="1" applyBorder="1" applyAlignment="1">
      <alignment horizontal="center" vertical="center"/>
    </xf>
    <xf numFmtId="0" fontId="17" fillId="0" borderId="119" xfId="0" applyFont="1" applyBorder="1" applyAlignment="1">
      <alignment vertical="center"/>
    </xf>
    <xf numFmtId="0" fontId="17" fillId="0" borderId="119" xfId="1" applyBorder="1" applyAlignment="1" applyProtection="1">
      <alignment vertical="center" wrapText="1"/>
      <protection locked="0"/>
    </xf>
    <xf numFmtId="171" fontId="17" fillId="0" borderId="98" xfId="1" applyNumberFormat="1" applyBorder="1" applyAlignment="1">
      <alignment horizontal="center" vertical="center"/>
    </xf>
    <xf numFmtId="44" fontId="17" fillId="0" borderId="98" xfId="1" applyNumberFormat="1" applyBorder="1" applyAlignment="1" applyProtection="1">
      <alignment horizontal="right" vertical="center"/>
      <protection locked="0"/>
    </xf>
    <xf numFmtId="49" fontId="17" fillId="0" borderId="115" xfId="0" applyNumberFormat="1" applyFont="1" applyBorder="1" applyAlignment="1">
      <alignment horizontal="center" vertical="center"/>
    </xf>
    <xf numFmtId="44" fontId="17" fillId="0" borderId="119" xfId="1" applyNumberFormat="1" applyBorder="1" applyAlignment="1">
      <alignment horizontal="right" vertical="center"/>
    </xf>
    <xf numFmtId="39" fontId="17" fillId="0" borderId="98" xfId="1" applyNumberFormat="1" applyBorder="1" applyAlignment="1">
      <alignment horizontal="center" vertical="center"/>
    </xf>
    <xf numFmtId="0" fontId="21" fillId="0" borderId="99" xfId="1" applyFont="1" applyBorder="1" applyAlignment="1" applyProtection="1">
      <alignment vertical="center" wrapText="1"/>
      <protection locked="0"/>
    </xf>
    <xf numFmtId="0" fontId="17" fillId="0" borderId="99" xfId="1" applyBorder="1" applyAlignment="1" applyProtection="1">
      <alignment vertical="center" wrapText="1"/>
      <protection locked="0"/>
    </xf>
    <xf numFmtId="0" fontId="17" fillId="0" borderId="98" xfId="1" applyBorder="1" applyAlignment="1" applyProtection="1">
      <alignment vertical="center" wrapText="1"/>
      <protection locked="0"/>
    </xf>
    <xf numFmtId="0" fontId="17" fillId="0" borderId="108" xfId="1" applyBorder="1" applyAlignment="1" applyProtection="1">
      <alignment vertical="center" wrapText="1"/>
      <protection locked="0"/>
    </xf>
    <xf numFmtId="0" fontId="17" fillId="0" borderId="119" xfId="0" applyFont="1" applyBorder="1" applyAlignment="1" applyProtection="1">
      <alignment vertical="center"/>
      <protection locked="0"/>
    </xf>
    <xf numFmtId="0" fontId="17" fillId="0" borderId="99" xfId="1" applyBorder="1" applyAlignment="1">
      <alignment horizontal="center" vertical="center"/>
    </xf>
    <xf numFmtId="188" fontId="17" fillId="0" borderId="119" xfId="197" applyNumberFormat="1" applyFont="1" applyFill="1" applyBorder="1" applyAlignment="1">
      <alignment horizontal="right" vertical="center"/>
    </xf>
    <xf numFmtId="44" fontId="17" fillId="0" borderId="119" xfId="0" applyNumberFormat="1" applyFont="1" applyBorder="1" applyAlignment="1">
      <alignment horizontal="right" vertical="center"/>
    </xf>
    <xf numFmtId="0" fontId="17" fillId="0" borderId="119" xfId="0" applyFont="1" applyBorder="1" applyAlignment="1">
      <alignment vertical="center" wrapText="1"/>
    </xf>
    <xf numFmtId="0" fontId="17" fillId="0" borderId="98" xfId="1" applyBorder="1" applyAlignment="1">
      <alignment vertical="center" wrapText="1"/>
    </xf>
    <xf numFmtId="10" fontId="17" fillId="0" borderId="99" xfId="1" applyNumberFormat="1" applyBorder="1" applyAlignment="1" applyProtection="1">
      <alignment horizontal="right" vertical="center"/>
      <protection locked="0"/>
    </xf>
    <xf numFmtId="0" fontId="21" fillId="0" borderId="119" xfId="1" applyFont="1" applyBorder="1" applyAlignment="1">
      <alignment horizontal="center" vertical="center"/>
    </xf>
    <xf numFmtId="0" fontId="21" fillId="0" borderId="119" xfId="1" applyFont="1" applyBorder="1" applyAlignment="1">
      <alignment horizontal="left" vertical="center" wrapText="1"/>
    </xf>
    <xf numFmtId="0" fontId="17" fillId="0" borderId="120" xfId="1" applyBorder="1" applyAlignment="1">
      <alignment horizontal="center" vertical="center"/>
    </xf>
    <xf numFmtId="0" fontId="21" fillId="0" borderId="98" xfId="1" applyFont="1" applyBorder="1" applyAlignment="1">
      <alignment horizontal="left" vertical="center" wrapText="1"/>
    </xf>
    <xf numFmtId="195" fontId="35" fillId="0" borderId="99" xfId="1" applyNumberFormat="1" applyFont="1" applyBorder="1" applyAlignment="1">
      <alignment horizontal="center" vertical="center"/>
    </xf>
    <xf numFmtId="189" fontId="35" fillId="0" borderId="99" xfId="1" applyNumberFormat="1" applyFont="1" applyBorder="1" applyAlignment="1">
      <alignment horizontal="center" vertical="center"/>
    </xf>
    <xf numFmtId="0" fontId="21" fillId="0" borderId="98" xfId="1" applyFont="1" applyBorder="1" applyAlignment="1">
      <alignment vertical="center" wrapText="1"/>
    </xf>
    <xf numFmtId="0" fontId="21" fillId="0" borderId="98" xfId="1" applyFont="1" applyBorder="1" applyAlignment="1" applyProtection="1">
      <alignment vertical="center" wrapText="1"/>
      <protection locked="0"/>
    </xf>
    <xf numFmtId="0" fontId="21" fillId="0" borderId="118" xfId="1" applyFont="1" applyBorder="1" applyAlignment="1">
      <alignment horizontal="center" vertical="center"/>
    </xf>
    <xf numFmtId="0" fontId="21" fillId="0" borderId="111" xfId="1" applyFont="1" applyBorder="1" applyAlignment="1">
      <alignment horizontal="center" vertical="center"/>
    </xf>
    <xf numFmtId="0" fontId="17" fillId="2" borderId="121" xfId="1" applyFill="1" applyBorder="1" applyAlignment="1">
      <alignment horizontal="center" vertical="center"/>
    </xf>
    <xf numFmtId="44" fontId="17" fillId="2" borderId="112" xfId="1" applyNumberFormat="1" applyFill="1" applyBorder="1" applyAlignment="1">
      <alignment horizontal="right" vertical="center"/>
    </xf>
    <xf numFmtId="0" fontId="21" fillId="3" borderId="122" xfId="2" applyFont="1" applyFill="1" applyBorder="1" applyAlignment="1">
      <alignment horizontal="center" vertical="center" wrapText="1"/>
    </xf>
    <xf numFmtId="0" fontId="21" fillId="3" borderId="123" xfId="2" applyFont="1" applyFill="1" applyBorder="1" applyAlignment="1">
      <alignment horizontal="center" vertical="center"/>
    </xf>
    <xf numFmtId="171" fontId="21" fillId="3" borderId="122" xfId="2" applyNumberFormat="1" applyFont="1" applyFill="1" applyBorder="1" applyAlignment="1">
      <alignment horizontal="center" vertical="center"/>
    </xf>
    <xf numFmtId="0" fontId="93" fillId="0" borderId="115" xfId="0" applyFont="1" applyBorder="1" applyAlignment="1">
      <alignment horizontal="center"/>
    </xf>
    <xf numFmtId="1" fontId="106" fillId="0" borderId="111" xfId="87" applyNumberFormat="1" applyFont="1" applyBorder="1" applyAlignment="1">
      <alignment horizontal="center" vertical="center"/>
    </xf>
    <xf numFmtId="0" fontId="97" fillId="0" borderId="111" xfId="0" applyFont="1" applyBorder="1" applyAlignment="1">
      <alignment horizontal="left" vertical="center" wrapText="1"/>
    </xf>
    <xf numFmtId="0" fontId="92" fillId="0" borderId="111" xfId="87" applyFont="1" applyBorder="1" applyAlignment="1">
      <alignment horizontal="center" vertical="distributed"/>
    </xf>
    <xf numFmtId="0" fontId="17" fillId="0" borderId="115" xfId="0" applyFont="1" applyBorder="1" applyAlignment="1">
      <alignment horizontal="center" vertical="center"/>
    </xf>
    <xf numFmtId="44" fontId="17" fillId="0" borderId="115" xfId="266" applyFont="1" applyBorder="1" applyAlignment="1" applyProtection="1">
      <alignment horizontal="right" vertical="center"/>
      <protection locked="0"/>
    </xf>
    <xf numFmtId="49" fontId="21" fillId="0" borderId="111" xfId="2" applyNumberFormat="1" applyFont="1" applyBorder="1" applyAlignment="1">
      <alignment horizontal="center" vertical="center"/>
    </xf>
    <xf numFmtId="0" fontId="21" fillId="0" borderId="111" xfId="2" applyFont="1" applyBorder="1" applyAlignment="1">
      <alignment horizontal="center" vertical="center" wrapText="1"/>
    </xf>
    <xf numFmtId="49" fontId="73" fillId="0" borderId="111" xfId="0" applyNumberFormat="1" applyFont="1" applyBorder="1" applyAlignment="1">
      <alignment vertical="center" wrapText="1"/>
    </xf>
    <xf numFmtId="44" fontId="17" fillId="0" borderId="115" xfId="266" applyFont="1" applyBorder="1" applyAlignment="1" applyProtection="1">
      <alignment vertical="center"/>
      <protection locked="0"/>
    </xf>
    <xf numFmtId="178" fontId="17" fillId="0" borderId="111" xfId="2" applyNumberFormat="1" applyBorder="1" applyAlignment="1">
      <alignment horizontal="center" vertical="center"/>
    </xf>
    <xf numFmtId="49" fontId="17" fillId="0" borderId="111" xfId="0" applyNumberFormat="1" applyFont="1" applyBorder="1" applyAlignment="1">
      <alignment vertical="center" wrapText="1"/>
    </xf>
    <xf numFmtId="0" fontId="17" fillId="0" borderId="111" xfId="2" applyBorder="1" applyAlignment="1">
      <alignment vertical="center" wrapText="1"/>
    </xf>
    <xf numFmtId="49" fontId="71" fillId="0" borderId="111" xfId="0" applyNumberFormat="1" applyFont="1" applyBorder="1" applyAlignment="1">
      <alignment vertical="center" wrapText="1"/>
    </xf>
    <xf numFmtId="0" fontId="21" fillId="0" borderId="111" xfId="2" applyFont="1" applyBorder="1" applyAlignment="1">
      <alignment vertical="center" wrapText="1"/>
    </xf>
    <xf numFmtId="0" fontId="21" fillId="0" borderId="111" xfId="2" applyFont="1" applyBorder="1" applyAlignment="1">
      <alignment horizontal="center" vertical="center"/>
    </xf>
    <xf numFmtId="0" fontId="17" fillId="0" borderId="111" xfId="36" applyBorder="1" applyAlignment="1">
      <alignment horizontal="center" vertical="center" wrapText="1"/>
    </xf>
    <xf numFmtId="0" fontId="17" fillId="0" borderId="111" xfId="36" applyBorder="1" applyAlignment="1">
      <alignment horizontal="center" vertical="center"/>
    </xf>
    <xf numFmtId="0" fontId="21" fillId="0" borderId="111" xfId="36" applyFont="1" applyBorder="1" applyAlignment="1">
      <alignment horizontal="center" vertical="center"/>
    </xf>
    <xf numFmtId="0" fontId="17" fillId="0" borderId="111" xfId="0" applyFont="1" applyBorder="1" applyAlignment="1">
      <alignment vertical="center" wrapText="1"/>
    </xf>
    <xf numFmtId="3" fontId="17" fillId="0" borderId="111" xfId="36" applyNumberFormat="1" applyBorder="1" applyAlignment="1">
      <alignment horizontal="center" vertical="center"/>
    </xf>
    <xf numFmtId="0" fontId="71" fillId="0" borderId="111" xfId="2" applyFont="1" applyBorder="1" applyAlignment="1">
      <alignment horizontal="left" vertical="center" wrapText="1"/>
    </xf>
    <xf numFmtId="1" fontId="71" fillId="0" borderId="111" xfId="2" applyNumberFormat="1" applyFont="1" applyBorder="1" applyAlignment="1">
      <alignment horizontal="center" vertical="center"/>
    </xf>
    <xf numFmtId="2" fontId="17" fillId="0" borderId="111" xfId="2" applyNumberFormat="1" applyBorder="1" applyAlignment="1">
      <alignment horizontal="center" vertical="center"/>
    </xf>
    <xf numFmtId="0" fontId="17" fillId="0" borderId="111" xfId="2" applyBorder="1" applyAlignment="1">
      <alignment horizontal="center" vertical="center" wrapText="1"/>
    </xf>
    <xf numFmtId="49" fontId="21" fillId="0" borderId="111" xfId="0" applyNumberFormat="1" applyFont="1" applyBorder="1" applyAlignment="1">
      <alignment vertical="center" wrapText="1"/>
    </xf>
    <xf numFmtId="171" fontId="17" fillId="0" borderId="111" xfId="36" applyNumberFormat="1" applyBorder="1" applyAlignment="1">
      <alignment horizontal="center" vertical="center"/>
    </xf>
    <xf numFmtId="49" fontId="17" fillId="2" borderId="124" xfId="0" applyNumberFormat="1" applyFont="1" applyFill="1" applyBorder="1" applyAlignment="1">
      <alignment horizontal="center" vertical="center"/>
    </xf>
    <xf numFmtId="49" fontId="17" fillId="0" borderId="125" xfId="0" applyNumberFormat="1" applyFont="1" applyBorder="1" applyAlignment="1">
      <alignment horizontal="center" vertical="center"/>
    </xf>
    <xf numFmtId="0" fontId="17" fillId="0" borderId="125" xfId="0" applyFont="1" applyBorder="1" applyAlignment="1">
      <alignment horizontal="center" vertical="center"/>
    </xf>
    <xf numFmtId="0" fontId="22" fillId="0" borderId="125" xfId="0" applyFont="1" applyBorder="1" applyAlignment="1">
      <alignment horizontal="right" vertical="center"/>
    </xf>
    <xf numFmtId="0" fontId="21" fillId="0" borderId="111" xfId="36" applyFont="1" applyBorder="1" applyAlignment="1">
      <alignment horizontal="center" vertical="center" wrapText="1"/>
    </xf>
    <xf numFmtId="0" fontId="17" fillId="0" borderId="115" xfId="2" applyBorder="1" applyAlignment="1">
      <alignment horizontal="center" vertical="center"/>
    </xf>
    <xf numFmtId="0" fontId="21" fillId="0" borderId="111" xfId="0" applyFont="1" applyBorder="1" applyAlignment="1">
      <alignment horizontal="center" vertical="center" wrapText="1"/>
    </xf>
    <xf numFmtId="2" fontId="17" fillId="0" borderId="115" xfId="0" applyNumberFormat="1" applyFont="1" applyBorder="1" applyAlignment="1">
      <alignment horizontal="center" vertical="center"/>
    </xf>
    <xf numFmtId="0" fontId="17" fillId="0" borderId="115" xfId="36" applyBorder="1" applyAlignment="1">
      <alignment horizontal="center" vertical="center"/>
    </xf>
    <xf numFmtId="0" fontId="17" fillId="19" borderId="124" xfId="0" applyFont="1" applyFill="1" applyBorder="1" applyAlignment="1">
      <alignment horizontal="center" vertical="center"/>
    </xf>
    <xf numFmtId="44" fontId="17" fillId="2" borderId="125" xfId="266" applyFont="1" applyFill="1" applyBorder="1" applyAlignment="1" applyProtection="1">
      <alignment vertical="center"/>
    </xf>
    <xf numFmtId="44" fontId="73" fillId="2" borderId="74" xfId="266" applyFont="1" applyFill="1" applyBorder="1" applyAlignment="1" applyProtection="1">
      <alignment vertical="center"/>
    </xf>
    <xf numFmtId="49" fontId="73" fillId="0" borderId="126" xfId="0" applyNumberFormat="1" applyFont="1" applyBorder="1" applyAlignment="1" applyProtection="1">
      <alignment vertical="center" wrapText="1"/>
      <protection locked="0"/>
    </xf>
    <xf numFmtId="49" fontId="73" fillId="0" borderId="125" xfId="0" applyNumberFormat="1" applyFont="1" applyBorder="1" applyAlignment="1">
      <alignment vertical="center" wrapText="1"/>
    </xf>
    <xf numFmtId="1" fontId="39" fillId="0" borderId="111" xfId="2" applyNumberFormat="1" applyFont="1" applyBorder="1" applyAlignment="1">
      <alignment horizontal="center" vertical="center" wrapText="1"/>
    </xf>
    <xf numFmtId="0" fontId="42" fillId="0" borderId="111" xfId="2" applyFont="1" applyBorder="1" applyAlignment="1">
      <alignment vertical="center" wrapText="1"/>
    </xf>
    <xf numFmtId="0" fontId="92" fillId="0" borderId="111" xfId="87" applyFont="1" applyBorder="1" applyAlignment="1">
      <alignment horizontal="center" vertical="distributed" wrapText="1"/>
    </xf>
    <xf numFmtId="44" fontId="92" fillId="0" borderId="111" xfId="277" applyFont="1" applyBorder="1" applyAlignment="1" applyProtection="1">
      <alignment vertical="distributed" wrapText="1"/>
    </xf>
    <xf numFmtId="189" fontId="17" fillId="0" borderId="126" xfId="1" applyNumberFormat="1" applyBorder="1" applyAlignment="1" applyProtection="1">
      <alignment horizontal="right" vertical="center"/>
      <protection locked="0"/>
    </xf>
    <xf numFmtId="189" fontId="17" fillId="0" borderId="111" xfId="1" applyNumberFormat="1" applyBorder="1" applyAlignment="1">
      <alignment horizontal="right" vertical="center"/>
    </xf>
    <xf numFmtId="0" fontId="21" fillId="0" borderId="111" xfId="2" applyFont="1" applyBorder="1" applyAlignment="1">
      <alignment vertical="center"/>
    </xf>
    <xf numFmtId="189" fontId="17" fillId="0" borderId="126" xfId="2" applyNumberFormat="1" applyBorder="1" applyAlignment="1" applyProtection="1">
      <alignment vertical="center"/>
      <protection locked="0"/>
    </xf>
    <xf numFmtId="189" fontId="17" fillId="0" borderId="111" xfId="2" applyNumberFormat="1" applyBorder="1" applyAlignment="1">
      <alignment vertical="center"/>
    </xf>
    <xf numFmtId="0" fontId="17" fillId="0" borderId="111" xfId="2" applyBorder="1" applyAlignment="1">
      <alignment vertical="center"/>
    </xf>
    <xf numFmtId="189" fontId="17" fillId="0" borderId="111" xfId="2" applyNumberFormat="1" applyBorder="1" applyAlignment="1" applyProtection="1">
      <alignment vertical="center"/>
      <protection locked="0"/>
    </xf>
    <xf numFmtId="0" fontId="17" fillId="0" borderId="111" xfId="6" applyBorder="1" applyAlignment="1">
      <alignment horizontal="left" vertical="center" wrapText="1"/>
    </xf>
    <xf numFmtId="189" fontId="17" fillId="0" borderId="111" xfId="1" applyNumberFormat="1" applyBorder="1" applyAlignment="1" applyProtection="1">
      <alignment horizontal="right" vertical="center"/>
      <protection locked="0"/>
    </xf>
    <xf numFmtId="44" fontId="17" fillId="0" borderId="111" xfId="198" applyFont="1" applyBorder="1" applyAlignment="1" applyProtection="1">
      <alignment horizontal="right" vertical="center"/>
      <protection locked="0"/>
    </xf>
    <xf numFmtId="189" fontId="17" fillId="0" borderId="111" xfId="2" applyNumberFormat="1" applyBorder="1" applyAlignment="1" applyProtection="1">
      <alignment horizontal="center" vertical="center"/>
      <protection locked="0"/>
    </xf>
    <xf numFmtId="0" fontId="21" fillId="0" borderId="111" xfId="2" applyFont="1" applyBorder="1" applyAlignment="1">
      <alignment horizontal="left" vertical="center" wrapText="1"/>
    </xf>
    <xf numFmtId="1" fontId="17" fillId="0" borderId="111" xfId="1" applyNumberFormat="1" applyBorder="1" applyAlignment="1">
      <alignment horizontal="center" vertical="center"/>
    </xf>
    <xf numFmtId="189" fontId="17" fillId="0" borderId="111" xfId="1" applyNumberFormat="1" applyBorder="1" applyAlignment="1" applyProtection="1">
      <alignment vertical="center"/>
      <protection locked="0"/>
    </xf>
    <xf numFmtId="0" fontId="71" fillId="0" borderId="111" xfId="2" applyFont="1" applyBorder="1" applyAlignment="1">
      <alignment horizontal="center" vertical="center" wrapText="1"/>
    </xf>
    <xf numFmtId="44" fontId="71" fillId="0" borderId="111" xfId="198" applyFont="1" applyBorder="1" applyAlignment="1" applyProtection="1">
      <alignment horizontal="center" vertical="center" wrapText="1"/>
      <protection locked="0"/>
    </xf>
    <xf numFmtId="0" fontId="71" fillId="0" borderId="115" xfId="0" applyFont="1" applyBorder="1" applyAlignment="1">
      <alignment horizontal="center" vertical="center"/>
    </xf>
    <xf numFmtId="0" fontId="71" fillId="0" borderId="111" xfId="1" applyFont="1" applyBorder="1" applyAlignment="1">
      <alignment horizontal="center" vertical="center"/>
    </xf>
    <xf numFmtId="0" fontId="71" fillId="0" borderId="111" xfId="1" applyFont="1" applyBorder="1" applyAlignment="1">
      <alignment horizontal="left" vertical="center" wrapText="1"/>
    </xf>
    <xf numFmtId="1" fontId="71" fillId="0" borderId="111" xfId="1" applyNumberFormat="1" applyFont="1" applyBorder="1" applyAlignment="1">
      <alignment horizontal="center" vertical="center"/>
    </xf>
    <xf numFmtId="189" fontId="71" fillId="0" borderId="111" xfId="1" applyNumberFormat="1" applyFont="1" applyBorder="1" applyAlignment="1" applyProtection="1">
      <alignment vertical="center"/>
      <protection locked="0"/>
    </xf>
    <xf numFmtId="0" fontId="71" fillId="0" borderId="111" xfId="1" applyFont="1" applyBorder="1" applyAlignment="1">
      <alignment vertical="center" wrapText="1"/>
    </xf>
    <xf numFmtId="49" fontId="71" fillId="0" borderId="111" xfId="2" applyNumberFormat="1" applyFont="1" applyBorder="1" applyAlignment="1">
      <alignment horizontal="center" vertical="center" wrapText="1"/>
    </xf>
    <xf numFmtId="0" fontId="73" fillId="0" borderId="111" xfId="2" applyFont="1" applyBorder="1" applyAlignment="1">
      <alignment vertical="center" wrapText="1"/>
    </xf>
    <xf numFmtId="0" fontId="71" fillId="0" borderId="111" xfId="2" applyFont="1" applyBorder="1" applyAlignment="1">
      <alignment vertical="center" wrapText="1"/>
    </xf>
    <xf numFmtId="189" fontId="71" fillId="0" borderId="111" xfId="2" applyNumberFormat="1" applyFont="1" applyBorder="1" applyAlignment="1" applyProtection="1">
      <alignment horizontal="right" vertical="center"/>
      <protection locked="0"/>
    </xf>
    <xf numFmtId="0" fontId="17" fillId="0" borderId="111" xfId="329" applyBorder="1" applyAlignment="1">
      <alignment horizontal="center" vertical="center"/>
    </xf>
    <xf numFmtId="0" fontId="21" fillId="0" borderId="111" xfId="329" applyFont="1" applyBorder="1" applyAlignment="1">
      <alignment vertical="center" wrapText="1"/>
    </xf>
    <xf numFmtId="0" fontId="17" fillId="0" borderId="111" xfId="329" applyBorder="1" applyAlignment="1">
      <alignment vertical="center"/>
    </xf>
    <xf numFmtId="0" fontId="17" fillId="0" borderId="111" xfId="329" applyBorder="1" applyAlignment="1">
      <alignment vertical="center" wrapText="1"/>
    </xf>
    <xf numFmtId="172" fontId="17" fillId="0" borderId="111" xfId="47" applyFont="1" applyBorder="1" applyAlignment="1">
      <alignment vertical="center" wrapText="1"/>
    </xf>
    <xf numFmtId="189" fontId="17" fillId="0" borderId="111" xfId="2" applyNumberFormat="1" applyBorder="1" applyAlignment="1" applyProtection="1">
      <alignment horizontal="center" vertical="center" wrapText="1"/>
      <protection locked="0"/>
    </xf>
    <xf numFmtId="2" fontId="71" fillId="0" borderId="111" xfId="2" applyNumberFormat="1" applyFont="1" applyBorder="1" applyAlignment="1">
      <alignment horizontal="center" vertical="center"/>
    </xf>
    <xf numFmtId="0" fontId="22" fillId="0" borderId="111" xfId="2" applyFont="1" applyBorder="1" applyAlignment="1">
      <alignment horizontal="right" vertical="center"/>
    </xf>
    <xf numFmtId="2" fontId="73" fillId="0" borderId="111" xfId="45" applyNumberFormat="1" applyFont="1" applyBorder="1" applyAlignment="1">
      <alignment vertical="center" wrapText="1"/>
    </xf>
    <xf numFmtId="189" fontId="71" fillId="0" borderId="111" xfId="2" applyNumberFormat="1" applyFont="1" applyBorder="1" applyAlignment="1" applyProtection="1">
      <alignment horizontal="center" vertical="center"/>
      <protection locked="0"/>
    </xf>
    <xf numFmtId="0" fontId="17" fillId="0" borderId="111" xfId="2" applyBorder="1" applyAlignment="1">
      <alignment horizontal="left" vertical="center" wrapText="1"/>
    </xf>
    <xf numFmtId="0" fontId="21" fillId="0" borderId="111" xfId="0" applyFont="1" applyBorder="1" applyAlignment="1">
      <alignment horizontal="left" vertical="center"/>
    </xf>
    <xf numFmtId="0" fontId="74" fillId="0" borderId="111" xfId="2" applyFont="1" applyBorder="1" applyAlignment="1">
      <alignment horizontal="center" vertical="center"/>
    </xf>
    <xf numFmtId="0" fontId="76" fillId="0" borderId="111" xfId="0" applyFont="1" applyBorder="1" applyAlignment="1">
      <alignment horizontal="right" vertical="center"/>
    </xf>
    <xf numFmtId="189" fontId="74" fillId="0" borderId="111" xfId="2" applyNumberFormat="1" applyFont="1" applyBorder="1" applyAlignment="1" applyProtection="1">
      <alignment horizontal="center" vertical="center"/>
      <protection locked="0"/>
    </xf>
    <xf numFmtId="0" fontId="17" fillId="0" borderId="111" xfId="2" quotePrefix="1" applyBorder="1" applyAlignment="1">
      <alignment horizontal="center" vertical="center"/>
    </xf>
    <xf numFmtId="0" fontId="73" fillId="0" borderId="111" xfId="2" applyFont="1" applyBorder="1" applyAlignment="1">
      <alignment horizontal="left" vertical="center" wrapText="1"/>
    </xf>
    <xf numFmtId="0" fontId="87" fillId="0" borderId="111" xfId="2" applyFont="1" applyBorder="1" applyAlignment="1">
      <alignment horizontal="right" vertical="center"/>
    </xf>
    <xf numFmtId="0" fontId="17" fillId="2" borderId="124" xfId="0" applyFont="1" applyFill="1" applyBorder="1" applyAlignment="1">
      <alignment horizontal="center" vertical="center"/>
    </xf>
    <xf numFmtId="189" fontId="17" fillId="2" borderId="125" xfId="0" applyNumberFormat="1" applyFont="1" applyFill="1" applyBorder="1" applyAlignment="1">
      <alignment vertical="center"/>
    </xf>
    <xf numFmtId="44" fontId="21" fillId="2" borderId="74" xfId="198" applyFont="1" applyFill="1" applyBorder="1" applyAlignment="1" applyProtection="1">
      <alignment vertical="center"/>
    </xf>
    <xf numFmtId="189" fontId="17" fillId="0" borderId="125" xfId="0" applyNumberFormat="1" applyFont="1" applyBorder="1" applyAlignment="1" applyProtection="1">
      <alignment vertical="center"/>
      <protection locked="0"/>
    </xf>
    <xf numFmtId="44" fontId="17" fillId="0" borderId="125" xfId="198" applyFont="1" applyBorder="1" applyAlignment="1" applyProtection="1">
      <alignment vertical="center"/>
    </xf>
    <xf numFmtId="0" fontId="74" fillId="0" borderId="115" xfId="0" applyFont="1" applyBorder="1" applyAlignment="1">
      <alignment horizontal="center" vertical="center"/>
    </xf>
    <xf numFmtId="44" fontId="71" fillId="0" borderId="111" xfId="198" applyFont="1" applyBorder="1" applyAlignment="1" applyProtection="1">
      <alignment vertical="center"/>
    </xf>
    <xf numFmtId="44" fontId="71" fillId="0" borderId="111" xfId="198" applyFont="1" applyFill="1" applyBorder="1" applyAlignment="1" applyProtection="1">
      <alignment horizontal="center" vertical="center"/>
      <protection locked="0"/>
    </xf>
    <xf numFmtId="44" fontId="71" fillId="0" borderId="111" xfId="198" applyFont="1" applyFill="1" applyBorder="1" applyAlignment="1" applyProtection="1">
      <alignment vertical="center"/>
    </xf>
    <xf numFmtId="0" fontId="90" fillId="0" borderId="111" xfId="0" applyFont="1" applyBorder="1" applyAlignment="1">
      <alignment horizontal="center" vertical="center" wrapText="1"/>
    </xf>
    <xf numFmtId="49" fontId="96" fillId="0" borderId="111" xfId="0" applyNumberFormat="1" applyFont="1" applyBorder="1" applyAlignment="1">
      <alignment vertical="center" wrapText="1"/>
    </xf>
    <xf numFmtId="49" fontId="73" fillId="0" borderId="111" xfId="0" applyNumberFormat="1" applyFont="1" applyBorder="1" applyAlignment="1" applyProtection="1">
      <alignment vertical="center" wrapText="1"/>
      <protection locked="0"/>
    </xf>
    <xf numFmtId="0" fontId="88" fillId="0" borderId="111" xfId="2" applyFont="1" applyBorder="1" applyAlignment="1">
      <alignment horizontal="center" vertical="center"/>
    </xf>
    <xf numFmtId="44" fontId="17" fillId="0" borderId="111" xfId="198" applyFont="1" applyFill="1" applyBorder="1" applyAlignment="1" applyProtection="1">
      <alignment horizontal="right" vertical="center"/>
      <protection locked="0"/>
    </xf>
    <xf numFmtId="0" fontId="71" fillId="0" borderId="115" xfId="0" applyFont="1" applyBorder="1" applyAlignment="1">
      <alignment horizontal="center" vertical="center" wrapText="1"/>
    </xf>
    <xf numFmtId="0" fontId="71" fillId="0" borderId="111" xfId="2" applyFont="1" applyBorder="1" applyAlignment="1">
      <alignment horizontal="left" vertical="center"/>
    </xf>
    <xf numFmtId="178" fontId="73" fillId="0" borderId="111" xfId="2" applyNumberFormat="1" applyFont="1" applyBorder="1" applyAlignment="1">
      <alignment horizontal="center" vertical="center"/>
    </xf>
    <xf numFmtId="0" fontId="73" fillId="0" borderId="111" xfId="2" applyFont="1" applyBorder="1" applyAlignment="1">
      <alignment horizontal="center" vertical="center" wrapText="1"/>
    </xf>
    <xf numFmtId="0" fontId="73" fillId="0" borderId="111" xfId="2" applyFont="1" applyBorder="1" applyAlignment="1">
      <alignment horizontal="center" vertical="center"/>
    </xf>
    <xf numFmtId="44" fontId="73" fillId="0" borderId="111" xfId="198" applyFont="1" applyBorder="1" applyAlignment="1" applyProtection="1">
      <alignment horizontal="center" vertical="center" wrapText="1"/>
      <protection locked="0"/>
    </xf>
    <xf numFmtId="44" fontId="71" fillId="0" borderId="111" xfId="198" applyFont="1" applyFill="1" applyBorder="1" applyAlignment="1" applyProtection="1">
      <alignment horizontal="center" vertical="center"/>
    </xf>
    <xf numFmtId="44" fontId="71" fillId="0" borderId="111" xfId="198" applyFont="1" applyBorder="1" applyAlignment="1" applyProtection="1">
      <alignment horizontal="center" vertical="center"/>
    </xf>
    <xf numFmtId="189" fontId="17" fillId="0" borderId="111" xfId="0" applyNumberFormat="1" applyFont="1" applyBorder="1" applyAlignment="1" applyProtection="1">
      <alignment vertical="center"/>
      <protection locked="0"/>
    </xf>
    <xf numFmtId="44" fontId="17" fillId="0" borderId="111" xfId="198" applyFont="1" applyBorder="1" applyAlignment="1" applyProtection="1">
      <alignment vertical="center"/>
    </xf>
    <xf numFmtId="44" fontId="17" fillId="0" borderId="111" xfId="198" applyFont="1" applyFill="1" applyBorder="1" applyAlignment="1" applyProtection="1">
      <alignment vertical="center"/>
      <protection locked="0"/>
    </xf>
    <xf numFmtId="4" fontId="17" fillId="0" borderId="111" xfId="0" applyNumberFormat="1" applyFont="1" applyBorder="1" applyAlignment="1" applyProtection="1">
      <alignment vertical="center"/>
      <protection locked="0"/>
    </xf>
    <xf numFmtId="44" fontId="17" fillId="0" borderId="111" xfId="198" applyFont="1" applyFill="1" applyBorder="1" applyAlignment="1" applyProtection="1">
      <alignment horizontal="center" vertical="center" wrapText="1"/>
    </xf>
    <xf numFmtId="44" fontId="71" fillId="0" borderId="111" xfId="198" applyFont="1" applyFill="1" applyBorder="1" applyAlignment="1" applyProtection="1">
      <alignment vertical="center"/>
      <protection locked="0"/>
    </xf>
    <xf numFmtId="49" fontId="17" fillId="0" borderId="111" xfId="44" applyNumberFormat="1" applyFont="1" applyBorder="1" applyAlignment="1">
      <alignment horizontal="center" vertical="center"/>
    </xf>
    <xf numFmtId="172" fontId="21" fillId="0" borderId="111" xfId="44" applyFont="1" applyBorder="1" applyAlignment="1">
      <alignment vertical="center" wrapText="1"/>
    </xf>
    <xf numFmtId="172" fontId="17" fillId="0" borderId="111" xfId="44" applyFont="1" applyBorder="1" applyAlignment="1">
      <alignment vertical="center" wrapText="1"/>
    </xf>
    <xf numFmtId="172" fontId="21" fillId="0" borderId="111" xfId="35" applyFont="1" applyBorder="1" applyAlignment="1">
      <alignment vertical="center" wrapText="1"/>
    </xf>
    <xf numFmtId="49" fontId="17" fillId="0" borderId="111" xfId="329" applyNumberFormat="1" applyBorder="1" applyAlignment="1">
      <alignment horizontal="center" vertical="center"/>
    </xf>
    <xf numFmtId="0" fontId="17" fillId="0" borderId="111" xfId="329" applyBorder="1" applyAlignment="1">
      <alignment horizontal="left" vertical="center" wrapText="1"/>
    </xf>
    <xf numFmtId="0" fontId="68" fillId="0" borderId="111" xfId="2" applyFont="1" applyBorder="1" applyAlignment="1">
      <alignment horizontal="center" vertical="center"/>
    </xf>
    <xf numFmtId="189" fontId="71" fillId="0" borderId="111" xfId="2" applyNumberFormat="1" applyFont="1" applyBorder="1" applyAlignment="1" applyProtection="1">
      <alignment vertical="center"/>
      <protection locked="0"/>
    </xf>
    <xf numFmtId="189" fontId="71" fillId="0" borderId="126" xfId="2" applyNumberFormat="1" applyFont="1" applyBorder="1" applyAlignment="1" applyProtection="1">
      <alignment vertical="center"/>
      <protection locked="0"/>
    </xf>
    <xf numFmtId="44" fontId="71" fillId="0" borderId="126" xfId="198" applyFont="1" applyBorder="1" applyAlignment="1" applyProtection="1">
      <alignment vertical="center"/>
      <protection locked="0"/>
    </xf>
    <xf numFmtId="0" fontId="21" fillId="0" borderId="115" xfId="0" applyFont="1" applyBorder="1" applyAlignment="1">
      <alignment horizontal="center" vertical="center"/>
    </xf>
    <xf numFmtId="0" fontId="21" fillId="0" borderId="111" xfId="0" applyFont="1" applyBorder="1" applyAlignment="1">
      <alignment vertical="center" wrapText="1"/>
    </xf>
    <xf numFmtId="0" fontId="21" fillId="0" borderId="111" xfId="0" applyFont="1" applyBorder="1" applyAlignment="1">
      <alignment horizontal="center" vertical="center"/>
    </xf>
    <xf numFmtId="189" fontId="73" fillId="0" borderId="126" xfId="2" applyNumberFormat="1" applyFont="1" applyBorder="1" applyAlignment="1" applyProtection="1">
      <alignment vertical="center"/>
      <protection locked="0"/>
    </xf>
    <xf numFmtId="189" fontId="73" fillId="0" borderId="111" xfId="2" applyNumberFormat="1" applyFont="1" applyBorder="1" applyAlignment="1">
      <alignment vertical="center"/>
    </xf>
    <xf numFmtId="189" fontId="73" fillId="0" borderId="111" xfId="2" applyNumberFormat="1" applyFont="1" applyBorder="1" applyAlignment="1" applyProtection="1">
      <alignment vertical="center"/>
      <protection locked="0"/>
    </xf>
    <xf numFmtId="44" fontId="0" fillId="2" borderId="124" xfId="198" applyFont="1" applyFill="1" applyBorder="1" applyAlignment="1" applyProtection="1">
      <alignment horizontal="center" vertical="center"/>
    </xf>
    <xf numFmtId="44" fontId="0" fillId="2" borderId="125" xfId="198" applyFont="1" applyFill="1" applyBorder="1" applyAlignment="1" applyProtection="1">
      <alignment vertical="center"/>
    </xf>
    <xf numFmtId="44" fontId="73" fillId="2" borderId="74" xfId="198" applyFont="1" applyFill="1" applyBorder="1" applyAlignment="1" applyProtection="1">
      <alignment vertical="center"/>
    </xf>
    <xf numFmtId="49" fontId="0" fillId="0" borderId="125" xfId="0" applyNumberFormat="1" applyBorder="1" applyAlignment="1">
      <alignment horizontal="center" vertical="center"/>
    </xf>
    <xf numFmtId="0" fontId="0" fillId="0" borderId="125" xfId="0" applyBorder="1" applyAlignment="1">
      <alignment horizontal="center" vertical="center"/>
    </xf>
    <xf numFmtId="189" fontId="0" fillId="0" borderId="125" xfId="0" applyNumberFormat="1" applyBorder="1" applyAlignment="1" applyProtection="1">
      <alignment vertical="center"/>
      <protection locked="0"/>
    </xf>
    <xf numFmtId="44" fontId="0" fillId="0" borderId="125" xfId="198" applyFont="1" applyBorder="1" applyAlignment="1" applyProtection="1">
      <alignment vertical="center"/>
    </xf>
    <xf numFmtId="49" fontId="0" fillId="0" borderId="111" xfId="0" applyNumberFormat="1" applyBorder="1" applyAlignment="1">
      <alignment horizontal="center" vertical="center"/>
    </xf>
    <xf numFmtId="0" fontId="0" fillId="0" borderId="111" xfId="0" applyBorder="1" applyAlignment="1">
      <alignment horizontal="center" vertical="center"/>
    </xf>
    <xf numFmtId="189" fontId="0" fillId="0" borderId="111" xfId="0" applyNumberFormat="1" applyBorder="1" applyAlignment="1" applyProtection="1">
      <alignment vertical="center"/>
      <protection locked="0"/>
    </xf>
    <xf numFmtId="44" fontId="0" fillId="0" borderId="111" xfId="198" applyFont="1" applyBorder="1" applyAlignment="1" applyProtection="1">
      <alignment vertical="center"/>
    </xf>
    <xf numFmtId="189" fontId="71" fillId="0" borderId="111" xfId="2" applyNumberFormat="1" applyFont="1" applyBorder="1" applyAlignment="1">
      <alignment vertical="center"/>
    </xf>
    <xf numFmtId="0" fontId="17" fillId="0" borderId="111" xfId="6" applyBorder="1" applyAlignment="1">
      <alignment horizontal="center" vertical="center"/>
    </xf>
    <xf numFmtId="172" fontId="73" fillId="0" borderId="111" xfId="47" applyFont="1" applyBorder="1" applyAlignment="1">
      <alignment vertical="center" wrapText="1"/>
    </xf>
    <xf numFmtId="2" fontId="17" fillId="0" borderId="111" xfId="45" applyNumberFormat="1" applyFont="1" applyBorder="1" applyAlignment="1">
      <alignment horizontal="center" vertical="center"/>
    </xf>
    <xf numFmtId="189" fontId="17" fillId="0" borderId="111" xfId="6" applyNumberFormat="1" applyBorder="1" applyAlignment="1" applyProtection="1">
      <alignment vertical="center"/>
      <protection locked="0"/>
    </xf>
    <xf numFmtId="49" fontId="90" fillId="0" borderId="111" xfId="0" applyNumberFormat="1" applyFont="1" applyBorder="1" applyAlignment="1">
      <alignment vertical="center" wrapText="1"/>
    </xf>
    <xf numFmtId="49" fontId="90" fillId="0" borderId="111" xfId="0" applyNumberFormat="1" applyFont="1" applyBorder="1" applyAlignment="1" applyProtection="1">
      <alignment vertical="center" wrapText="1"/>
      <protection locked="0"/>
    </xf>
    <xf numFmtId="0" fontId="17" fillId="0" borderId="111" xfId="6" applyBorder="1" applyAlignment="1">
      <alignment vertical="center" wrapText="1"/>
    </xf>
    <xf numFmtId="0" fontId="21" fillId="0" borderId="111" xfId="6" applyFont="1" applyBorder="1" applyAlignment="1">
      <alignment horizontal="center" vertical="center"/>
    </xf>
    <xf numFmtId="0" fontId="21" fillId="0" borderId="111" xfId="6" applyFont="1" applyBorder="1" applyAlignment="1">
      <alignment vertical="center" wrapText="1"/>
    </xf>
    <xf numFmtId="189" fontId="71" fillId="0" borderId="111" xfId="6" applyNumberFormat="1" applyFont="1" applyBorder="1" applyAlignment="1" applyProtection="1">
      <alignment horizontal="center" vertical="center"/>
      <protection locked="0"/>
    </xf>
    <xf numFmtId="189" fontId="68" fillId="0" borderId="111" xfId="6" applyNumberFormat="1" applyFont="1" applyBorder="1" applyAlignment="1" applyProtection="1">
      <alignment horizontal="center" vertical="center"/>
      <protection locked="0"/>
    </xf>
    <xf numFmtId="178" fontId="71" fillId="0" borderId="115" xfId="2" applyNumberFormat="1" applyFont="1" applyBorder="1" applyAlignment="1">
      <alignment horizontal="center" vertical="center"/>
    </xf>
    <xf numFmtId="49" fontId="0" fillId="0" borderId="111" xfId="2" applyNumberFormat="1" applyFont="1" applyBorder="1" applyAlignment="1">
      <alignment horizontal="center" vertical="center"/>
    </xf>
    <xf numFmtId="0" fontId="0" fillId="0" borderId="111" xfId="2" applyFont="1" applyBorder="1" applyAlignment="1">
      <alignment horizontal="center" vertical="center"/>
    </xf>
    <xf numFmtId="2" fontId="0" fillId="0" borderId="111" xfId="2" applyNumberFormat="1" applyFont="1" applyBorder="1" applyAlignment="1">
      <alignment horizontal="center" vertical="center"/>
    </xf>
    <xf numFmtId="49" fontId="17" fillId="0" borderId="115" xfId="2" applyNumberFormat="1" applyBorder="1" applyAlignment="1">
      <alignment horizontal="center" vertical="center"/>
    </xf>
    <xf numFmtId="44" fontId="68" fillId="0" borderId="111" xfId="198" applyFont="1" applyBorder="1" applyAlignment="1" applyProtection="1">
      <alignment horizontal="center" vertical="center"/>
      <protection locked="0"/>
    </xf>
    <xf numFmtId="44" fontId="71" fillId="0" borderId="125" xfId="198" applyFont="1" applyBorder="1" applyAlignment="1" applyProtection="1">
      <alignment vertical="center"/>
    </xf>
    <xf numFmtId="39" fontId="17" fillId="0" borderId="111" xfId="0" applyNumberFormat="1" applyFont="1" applyBorder="1" applyAlignment="1">
      <alignment vertical="center"/>
    </xf>
    <xf numFmtId="39" fontId="71" fillId="0" borderId="111" xfId="0" applyNumberFormat="1" applyFont="1" applyBorder="1" applyAlignment="1">
      <alignment vertical="center"/>
    </xf>
    <xf numFmtId="44" fontId="0" fillId="0" borderId="111" xfId="198" applyFont="1" applyBorder="1" applyAlignment="1" applyProtection="1">
      <alignment vertical="center"/>
      <protection locked="0"/>
    </xf>
    <xf numFmtId="189" fontId="17" fillId="0" borderId="126" xfId="0" applyNumberFormat="1" applyFont="1" applyBorder="1" applyAlignment="1" applyProtection="1">
      <alignment vertical="center"/>
      <protection locked="0"/>
    </xf>
    <xf numFmtId="44" fontId="71" fillId="0" borderId="126" xfId="198" applyFont="1" applyBorder="1" applyAlignment="1" applyProtection="1">
      <alignment horizontal="center" vertical="center"/>
      <protection locked="0"/>
    </xf>
    <xf numFmtId="0" fontId="17" fillId="0" borderId="111" xfId="44" applyNumberFormat="1" applyFont="1" applyBorder="1" applyAlignment="1">
      <alignment horizontal="center" vertical="center"/>
    </xf>
    <xf numFmtId="0" fontId="21" fillId="0" borderId="111" xfId="6" applyFont="1" applyBorder="1" applyAlignment="1">
      <alignment horizontal="center" vertical="center" wrapText="1"/>
    </xf>
    <xf numFmtId="44" fontId="21" fillId="0" borderId="126" xfId="198" applyFont="1" applyBorder="1" applyAlignment="1" applyProtection="1">
      <alignment vertical="center"/>
      <protection locked="0"/>
    </xf>
    <xf numFmtId="49" fontId="17" fillId="0" borderId="74" xfId="2" applyNumberFormat="1" applyBorder="1" applyAlignment="1">
      <alignment horizontal="center" vertical="center"/>
    </xf>
    <xf numFmtId="0" fontId="17" fillId="0" borderId="74" xfId="2" applyBorder="1" applyAlignment="1">
      <alignment horizontal="center" vertical="center"/>
    </xf>
    <xf numFmtId="0" fontId="17" fillId="0" borderId="74" xfId="6" applyBorder="1" applyAlignment="1">
      <alignment horizontal="left" vertical="center" wrapText="1"/>
    </xf>
    <xf numFmtId="0" fontId="71" fillId="0" borderId="74" xfId="2" applyFont="1" applyBorder="1" applyAlignment="1">
      <alignment horizontal="center" vertical="center"/>
    </xf>
    <xf numFmtId="44" fontId="71" fillId="0" borderId="74" xfId="198" applyFont="1" applyFill="1" applyBorder="1" applyAlignment="1" applyProtection="1">
      <alignment horizontal="center" vertical="center"/>
      <protection locked="0"/>
    </xf>
    <xf numFmtId="44" fontId="71" fillId="0" borderId="74" xfId="198" applyFont="1" applyFill="1" applyBorder="1" applyAlignment="1" applyProtection="1">
      <alignment vertical="center"/>
    </xf>
    <xf numFmtId="44" fontId="17" fillId="2" borderId="124" xfId="198" applyFont="1" applyFill="1" applyBorder="1" applyAlignment="1" applyProtection="1">
      <alignment horizontal="center" vertical="center"/>
    </xf>
    <xf numFmtId="44" fontId="17" fillId="2" borderId="127" xfId="198" applyFont="1" applyFill="1" applyBorder="1" applyAlignment="1" applyProtection="1">
      <alignment horizontal="right" vertical="center"/>
      <protection locked="0"/>
    </xf>
    <xf numFmtId="44" fontId="17" fillId="2" borderId="127" xfId="198" applyFont="1" applyFill="1" applyBorder="1" applyAlignment="1" applyProtection="1">
      <alignment horizontal="right" vertical="center"/>
    </xf>
    <xf numFmtId="0" fontId="17" fillId="0" borderId="127" xfId="0" applyFont="1" applyBorder="1" applyAlignment="1">
      <alignment horizontal="center" vertical="center"/>
    </xf>
    <xf numFmtId="44" fontId="17" fillId="0" borderId="125" xfId="198" applyFont="1" applyBorder="1" applyAlignment="1" applyProtection="1">
      <alignment vertical="center"/>
      <protection locked="0"/>
    </xf>
    <xf numFmtId="0" fontId="95" fillId="0" borderId="111" xfId="2" applyFont="1" applyBorder="1" applyAlignment="1">
      <alignment horizontal="center" vertical="center"/>
    </xf>
    <xf numFmtId="44" fontId="21" fillId="0" borderId="111" xfId="198" applyFont="1" applyBorder="1" applyAlignment="1" applyProtection="1">
      <alignment vertical="center"/>
      <protection locked="0"/>
    </xf>
    <xf numFmtId="44" fontId="73" fillId="0" borderId="111" xfId="198" applyFont="1" applyBorder="1" applyAlignment="1" applyProtection="1">
      <alignment vertical="center"/>
    </xf>
    <xf numFmtId="44" fontId="17" fillId="0" borderId="111" xfId="198" applyFont="1" applyBorder="1" applyAlignment="1" applyProtection="1">
      <alignment horizontal="right" vertical="center"/>
    </xf>
    <xf numFmtId="44" fontId="17" fillId="0" borderId="111" xfId="198" applyFont="1" applyFill="1" applyBorder="1" applyAlignment="1" applyProtection="1">
      <alignment horizontal="right" vertical="center"/>
    </xf>
    <xf numFmtId="0" fontId="68" fillId="0" borderId="115" xfId="0" applyFont="1" applyBorder="1" applyAlignment="1">
      <alignment horizontal="center" vertical="center"/>
    </xf>
    <xf numFmtId="0" fontId="68" fillId="0" borderId="111" xfId="0" applyFont="1" applyBorder="1" applyAlignment="1">
      <alignment vertical="center"/>
    </xf>
    <xf numFmtId="0" fontId="68" fillId="0" borderId="111" xfId="0" applyFont="1" applyBorder="1" applyAlignment="1">
      <alignment horizontal="center" vertical="center"/>
    </xf>
    <xf numFmtId="44" fontId="68" fillId="0" borderId="111" xfId="198" applyFont="1" applyFill="1" applyBorder="1" applyAlignment="1" applyProtection="1">
      <alignment vertical="center"/>
      <protection locked="0"/>
    </xf>
    <xf numFmtId="0" fontId="21" fillId="0" borderId="111" xfId="6" applyFont="1" applyBorder="1" applyAlignment="1">
      <alignment horizontal="left" vertical="center" wrapText="1"/>
    </xf>
    <xf numFmtId="2" fontId="17" fillId="0" borderId="111" xfId="0" applyNumberFormat="1" applyFont="1" applyBorder="1" applyAlignment="1">
      <alignment horizontal="center" vertical="center" wrapText="1"/>
    </xf>
    <xf numFmtId="177" fontId="21" fillId="0" borderId="111" xfId="2" applyNumberFormat="1" applyFont="1" applyBorder="1" applyAlignment="1">
      <alignment horizontal="center" vertical="center"/>
    </xf>
    <xf numFmtId="44" fontId="73" fillId="0" borderId="126" xfId="198" applyFont="1" applyBorder="1" applyAlignment="1" applyProtection="1">
      <alignment vertical="center"/>
      <protection locked="0"/>
    </xf>
    <xf numFmtId="44" fontId="17" fillId="0" borderId="126" xfId="198" applyFont="1" applyBorder="1" applyAlignment="1" applyProtection="1">
      <alignment horizontal="right" vertical="center"/>
      <protection locked="0"/>
    </xf>
    <xf numFmtId="44" fontId="17" fillId="0" borderId="126" xfId="198" applyFont="1" applyBorder="1" applyAlignment="1" applyProtection="1">
      <alignment vertical="center"/>
      <protection locked="0"/>
    </xf>
    <xf numFmtId="44" fontId="17" fillId="2" borderId="125" xfId="198" applyFont="1" applyFill="1" applyBorder="1" applyAlignment="1" applyProtection="1">
      <alignment vertical="center"/>
    </xf>
    <xf numFmtId="0" fontId="40" fillId="0" borderId="115" xfId="0" applyFont="1" applyBorder="1" applyAlignment="1">
      <alignment horizontal="center" vertical="center"/>
    </xf>
    <xf numFmtId="0" fontId="74" fillId="0" borderId="111" xfId="0" applyFont="1" applyBorder="1" applyAlignment="1">
      <alignment horizontal="center" vertical="center"/>
    </xf>
    <xf numFmtId="44" fontId="74" fillId="0" borderId="111" xfId="198" applyFont="1" applyBorder="1" applyAlignment="1" applyProtection="1">
      <alignment vertical="center"/>
      <protection locked="0"/>
    </xf>
    <xf numFmtId="44" fontId="21" fillId="0" borderId="111" xfId="198" applyFont="1" applyFill="1" applyBorder="1" applyAlignment="1" applyProtection="1">
      <alignment vertical="center"/>
      <protection locked="0"/>
    </xf>
    <xf numFmtId="0" fontId="71" fillId="0" borderId="111" xfId="0" applyFont="1" applyBorder="1" applyAlignment="1">
      <alignment horizontal="center" vertical="center"/>
    </xf>
    <xf numFmtId="172" fontId="17" fillId="0" borderId="111" xfId="35" applyFont="1" applyBorder="1" applyAlignment="1">
      <alignment horizontal="center" vertical="center"/>
    </xf>
    <xf numFmtId="0" fontId="21" fillId="0" borderId="111" xfId="0" applyFont="1" applyBorder="1" applyAlignment="1">
      <alignment vertical="center"/>
    </xf>
    <xf numFmtId="1" fontId="21" fillId="0" borderId="126" xfId="45" applyNumberFormat="1" applyFont="1" applyBorder="1" applyAlignment="1">
      <alignment horizontal="center" vertical="center"/>
    </xf>
    <xf numFmtId="1" fontId="17" fillId="0" borderId="126" xfId="35" applyNumberFormat="1" applyFont="1" applyBorder="1" applyAlignment="1">
      <alignment horizontal="center" vertical="center"/>
    </xf>
    <xf numFmtId="1" fontId="17" fillId="0" borderId="126" xfId="45" applyNumberFormat="1" applyFont="1" applyBorder="1" applyAlignment="1">
      <alignment horizontal="center" vertical="center"/>
    </xf>
    <xf numFmtId="1" fontId="17" fillId="0" borderId="111" xfId="45" applyNumberFormat="1" applyFont="1" applyBorder="1" applyAlignment="1">
      <alignment horizontal="center" vertical="center"/>
    </xf>
    <xf numFmtId="0" fontId="17" fillId="0" borderId="111" xfId="36" applyBorder="1" applyAlignment="1">
      <alignment vertical="center" wrapText="1"/>
    </xf>
    <xf numFmtId="0" fontId="17" fillId="0" borderId="126" xfId="0" applyFont="1" applyBorder="1" applyAlignment="1">
      <alignment horizontal="center" vertical="center"/>
    </xf>
    <xf numFmtId="0" fontId="74" fillId="0" borderId="111" xfId="6" applyFont="1" applyBorder="1" applyAlignment="1">
      <alignment horizontal="center" vertical="center"/>
    </xf>
    <xf numFmtId="0" fontId="74" fillId="0" borderId="111" xfId="2" applyFont="1" applyBorder="1" applyAlignment="1">
      <alignment horizontal="center" vertical="center" wrapText="1"/>
    </xf>
    <xf numFmtId="0" fontId="75" fillId="0" borderId="111" xfId="2" applyFont="1" applyBorder="1" applyAlignment="1">
      <alignment vertical="center" wrapText="1"/>
    </xf>
    <xf numFmtId="44" fontId="74" fillId="0" borderId="111" xfId="198" applyFont="1" applyFill="1" applyBorder="1" applyAlignment="1" applyProtection="1">
      <alignment vertical="center"/>
      <protection locked="0"/>
    </xf>
    <xf numFmtId="0" fontId="71" fillId="0" borderId="111" xfId="6" applyFont="1" applyBorder="1" applyAlignment="1">
      <alignment horizontal="center" vertical="center"/>
    </xf>
    <xf numFmtId="0" fontId="17" fillId="2" borderId="124" xfId="1" applyFill="1" applyBorder="1" applyAlignment="1">
      <alignment horizontal="center" vertical="center"/>
    </xf>
    <xf numFmtId="0" fontId="74" fillId="0" borderId="111" xfId="2" applyFont="1" applyBorder="1" applyAlignment="1">
      <alignment vertical="center" wrapText="1"/>
    </xf>
    <xf numFmtId="0" fontId="21" fillId="0" borderId="126" xfId="2" applyFont="1" applyBorder="1" applyAlignment="1">
      <alignment horizontal="center" vertical="center"/>
    </xf>
    <xf numFmtId="0" fontId="17" fillId="0" borderId="111" xfId="2" applyBorder="1" applyAlignment="1">
      <alignment horizontal="left" vertical="center"/>
    </xf>
    <xf numFmtId="44" fontId="71" fillId="0" borderId="126" xfId="198" applyFont="1" applyFill="1" applyBorder="1" applyAlignment="1" applyProtection="1">
      <alignment horizontal="center" vertical="center" wrapText="1"/>
      <protection locked="0"/>
    </xf>
    <xf numFmtId="172" fontId="21" fillId="0" borderId="111" xfId="47" applyFont="1" applyBorder="1" applyAlignment="1">
      <alignment vertical="center" wrapText="1"/>
    </xf>
    <xf numFmtId="0" fontId="17" fillId="0" borderId="111" xfId="45" applyFont="1" applyBorder="1" applyAlignment="1">
      <alignment horizontal="center" vertical="center" wrapText="1"/>
    </xf>
    <xf numFmtId="2" fontId="21" fillId="0" borderId="111" xfId="45" applyNumberFormat="1" applyFont="1" applyBorder="1" applyAlignment="1">
      <alignment horizontal="left" vertical="center" wrapText="1"/>
    </xf>
    <xf numFmtId="2" fontId="17" fillId="0" borderId="111" xfId="45" applyNumberFormat="1" applyFont="1" applyBorder="1" applyAlignment="1">
      <alignment vertical="center" wrapText="1"/>
    </xf>
    <xf numFmtId="44" fontId="17" fillId="0" borderId="126" xfId="198" applyFont="1" applyFill="1" applyBorder="1" applyAlignment="1" applyProtection="1">
      <alignment vertical="center"/>
      <protection locked="0"/>
    </xf>
    <xf numFmtId="0" fontId="74" fillId="0" borderId="111" xfId="0" applyFont="1" applyBorder="1" applyAlignment="1">
      <alignment vertical="center"/>
    </xf>
    <xf numFmtId="44" fontId="74" fillId="0" borderId="126" xfId="198" applyFont="1" applyBorder="1" applyAlignment="1" applyProtection="1">
      <alignment vertical="center"/>
      <protection locked="0"/>
    </xf>
    <xf numFmtId="44" fontId="21" fillId="0" borderId="111" xfId="198" applyFont="1" applyBorder="1" applyAlignment="1" applyProtection="1">
      <alignment vertical="center"/>
    </xf>
    <xf numFmtId="44" fontId="17" fillId="0" borderId="126" xfId="198" applyFont="1" applyBorder="1" applyAlignment="1" applyProtection="1">
      <alignment vertical="center"/>
    </xf>
    <xf numFmtId="0" fontId="17" fillId="0" borderId="111" xfId="0" applyFont="1" applyBorder="1" applyAlignment="1" applyProtection="1">
      <alignment vertical="center"/>
      <protection locked="0"/>
    </xf>
    <xf numFmtId="0" fontId="71" fillId="0" borderId="111" xfId="2" applyFont="1" applyBorder="1" applyAlignment="1">
      <alignment vertical="center"/>
    </xf>
    <xf numFmtId="189" fontId="71" fillId="0" borderId="111" xfId="0" applyNumberFormat="1" applyFont="1" applyBorder="1" applyAlignment="1" applyProtection="1">
      <alignment vertical="center"/>
      <protection locked="0"/>
    </xf>
    <xf numFmtId="0" fontId="73" fillId="0" borderId="111" xfId="0" applyFont="1" applyBorder="1" applyAlignment="1">
      <alignment horizontal="center" vertical="center"/>
    </xf>
    <xf numFmtId="44" fontId="73" fillId="0" borderId="111" xfId="198" applyFont="1" applyBorder="1" applyAlignment="1" applyProtection="1">
      <alignment vertical="center"/>
      <protection locked="0"/>
    </xf>
    <xf numFmtId="44" fontId="17" fillId="0" borderId="111" xfId="198" applyFont="1" applyFill="1" applyBorder="1" applyAlignment="1" applyProtection="1">
      <alignment vertical="center"/>
    </xf>
    <xf numFmtId="44" fontId="17" fillId="2" borderId="124" xfId="198" applyFont="1" applyFill="1" applyBorder="1" applyAlignment="1" applyProtection="1">
      <alignment horizontal="right" vertical="center"/>
    </xf>
    <xf numFmtId="0" fontId="17" fillId="0" borderId="111" xfId="0" quotePrefix="1" applyFont="1" applyBorder="1" applyAlignment="1">
      <alignment horizontal="center" vertical="center"/>
    </xf>
    <xf numFmtId="44" fontId="17" fillId="0" borderId="126" xfId="198" applyFont="1" applyBorder="1" applyAlignment="1" applyProtection="1">
      <alignment horizontal="center" vertical="center"/>
      <protection locked="0"/>
    </xf>
    <xf numFmtId="172" fontId="21" fillId="0" borderId="111" xfId="35" applyFont="1" applyBorder="1" applyAlignment="1">
      <alignment vertical="top" wrapText="1"/>
    </xf>
    <xf numFmtId="2" fontId="17" fillId="0" borderId="111" xfId="45" applyNumberFormat="1" applyFont="1" applyBorder="1" applyAlignment="1">
      <alignment vertical="center"/>
    </xf>
    <xf numFmtId="172" fontId="17" fillId="0" borderId="111" xfId="35" applyFont="1" applyBorder="1" applyAlignment="1">
      <alignment vertical="top" wrapText="1"/>
    </xf>
    <xf numFmtId="172" fontId="17" fillId="0" borderId="108" xfId="0" applyNumberFormat="1" applyFont="1" applyBorder="1" applyAlignment="1">
      <alignment horizontal="center"/>
    </xf>
    <xf numFmtId="172" fontId="17" fillId="0" borderId="58" xfId="0" applyNumberFormat="1" applyFont="1" applyBorder="1"/>
    <xf numFmtId="172" fontId="17" fillId="0" borderId="58" xfId="0" applyNumberFormat="1" applyFont="1" applyBorder="1" applyAlignment="1">
      <alignment horizontal="center"/>
    </xf>
    <xf numFmtId="178" fontId="21" fillId="0" borderId="111" xfId="35" applyNumberFormat="1" applyFont="1" applyBorder="1" applyAlignment="1">
      <alignment horizontal="center" vertical="top"/>
    </xf>
    <xf numFmtId="172" fontId="21" fillId="0" borderId="58" xfId="0" applyNumberFormat="1" applyFont="1" applyBorder="1"/>
    <xf numFmtId="172" fontId="17" fillId="0" borderId="58" xfId="44" applyFont="1" applyBorder="1" applyAlignment="1">
      <alignment horizontal="right" vertical="top" wrapText="1"/>
    </xf>
    <xf numFmtId="0" fontId="17" fillId="0" borderId="74" xfId="0" applyFont="1" applyBorder="1" applyAlignment="1">
      <alignment horizontal="center" vertical="center"/>
    </xf>
    <xf numFmtId="172" fontId="17" fillId="0" borderId="74" xfId="35" applyFont="1" applyBorder="1" applyAlignment="1">
      <alignment horizontal="center" vertical="center"/>
    </xf>
    <xf numFmtId="172" fontId="17" fillId="0" borderId="74" xfId="44" applyFont="1" applyBorder="1" applyAlignment="1">
      <alignment vertical="center" wrapText="1"/>
    </xf>
    <xf numFmtId="44" fontId="17" fillId="0" borderId="74" xfId="198" applyFont="1" applyBorder="1" applyAlignment="1" applyProtection="1">
      <alignment vertical="center"/>
      <protection locked="0"/>
    </xf>
    <xf numFmtId="44" fontId="17" fillId="0" borderId="74" xfId="198" applyFont="1" applyBorder="1" applyAlignment="1" applyProtection="1">
      <alignment vertical="center"/>
    </xf>
    <xf numFmtId="189" fontId="17" fillId="2" borderId="127" xfId="1" applyNumberFormat="1" applyFill="1" applyBorder="1" applyAlignment="1">
      <alignment horizontal="right" vertical="center"/>
    </xf>
    <xf numFmtId="0" fontId="21" fillId="3" borderId="124" xfId="2" applyFont="1" applyFill="1" applyBorder="1" applyAlignment="1">
      <alignment horizontal="center" vertical="center"/>
    </xf>
    <xf numFmtId="0" fontId="21" fillId="3" borderId="125" xfId="2" applyFont="1" applyFill="1" applyBorder="1" applyAlignment="1">
      <alignment horizontal="center" vertical="center" wrapText="1"/>
    </xf>
    <xf numFmtId="0" fontId="21" fillId="3" borderId="122" xfId="2" applyFont="1" applyFill="1" applyBorder="1" applyAlignment="1">
      <alignment horizontal="center" vertical="center"/>
    </xf>
    <xf numFmtId="1" fontId="21" fillId="3" borderId="122" xfId="2" applyNumberFormat="1" applyFont="1" applyFill="1" applyBorder="1" applyAlignment="1">
      <alignment horizontal="center" vertical="center"/>
    </xf>
    <xf numFmtId="189" fontId="21" fillId="3" borderId="122" xfId="2" applyNumberFormat="1" applyFont="1" applyFill="1" applyBorder="1" applyAlignment="1">
      <alignment horizontal="center" vertical="center"/>
    </xf>
    <xf numFmtId="173" fontId="21" fillId="3" borderId="127" xfId="2" applyNumberFormat="1" applyFont="1" applyFill="1" applyBorder="1" applyAlignment="1">
      <alignment horizontal="center" vertical="center"/>
    </xf>
    <xf numFmtId="0" fontId="17" fillId="0" borderId="115" xfId="0" applyFont="1" applyBorder="1" applyAlignment="1">
      <alignment horizontal="center"/>
    </xf>
    <xf numFmtId="0" fontId="17" fillId="0" borderId="125" xfId="1" applyBorder="1" applyAlignment="1">
      <alignment horizontal="center" vertical="center"/>
    </xf>
    <xf numFmtId="0" fontId="17" fillId="0" borderId="125" xfId="1" applyBorder="1" applyAlignment="1">
      <alignment horizontal="center" vertical="top"/>
    </xf>
    <xf numFmtId="0" fontId="17" fillId="0" borderId="125" xfId="1" applyBorder="1" applyAlignment="1">
      <alignment horizontal="left" vertical="top" wrapText="1"/>
    </xf>
    <xf numFmtId="39" fontId="17" fillId="0" borderId="125" xfId="1" applyNumberFormat="1" applyBorder="1" applyAlignment="1">
      <alignment horizontal="center" vertical="center"/>
    </xf>
    <xf numFmtId="1" fontId="17" fillId="0" borderId="125" xfId="1" applyNumberFormat="1" applyBorder="1" applyAlignment="1">
      <alignment horizontal="center" vertical="center"/>
    </xf>
    <xf numFmtId="189" fontId="17" fillId="0" borderId="125" xfId="1" applyNumberFormat="1" applyBorder="1" applyAlignment="1" applyProtection="1">
      <alignment horizontal="right" vertical="top"/>
      <protection locked="0"/>
    </xf>
    <xf numFmtId="168" fontId="17" fillId="0" borderId="125" xfId="1" applyNumberFormat="1" applyBorder="1" applyAlignment="1">
      <alignment horizontal="right" vertical="top"/>
    </xf>
    <xf numFmtId="0" fontId="122" fillId="0" borderId="115" xfId="0" applyFont="1" applyBorder="1" applyAlignment="1">
      <alignment horizontal="center" wrapText="1"/>
    </xf>
    <xf numFmtId="0" fontId="39" fillId="0" borderId="111" xfId="2" applyFont="1" applyBorder="1" applyAlignment="1">
      <alignment horizontal="center" vertical="center" wrapText="1"/>
    </xf>
    <xf numFmtId="0" fontId="17" fillId="0" borderId="111" xfId="1" applyBorder="1" applyAlignment="1">
      <alignment horizontal="center" vertical="top"/>
    </xf>
    <xf numFmtId="0" fontId="17" fillId="0" borderId="111" xfId="1" applyBorder="1" applyAlignment="1">
      <alignment horizontal="left" vertical="top" wrapText="1"/>
    </xf>
    <xf numFmtId="168" fontId="17" fillId="0" borderId="111" xfId="1" applyNumberFormat="1" applyBorder="1" applyAlignment="1">
      <alignment horizontal="right" vertical="top"/>
    </xf>
    <xf numFmtId="0" fontId="21" fillId="0" borderId="111" xfId="2" applyFont="1" applyBorder="1" applyAlignment="1">
      <alignment horizontal="center" wrapText="1"/>
    </xf>
    <xf numFmtId="0" fontId="73" fillId="0" borderId="111" xfId="2" applyFont="1" applyBorder="1" applyAlignment="1">
      <alignment wrapText="1"/>
    </xf>
    <xf numFmtId="1" fontId="17" fillId="0" borderId="111" xfId="2" applyNumberFormat="1" applyBorder="1" applyAlignment="1">
      <alignment horizontal="center" vertical="center" wrapText="1"/>
    </xf>
    <xf numFmtId="0" fontId="17" fillId="0" borderId="111" xfId="2" applyBorder="1" applyAlignment="1">
      <alignment wrapText="1"/>
    </xf>
    <xf numFmtId="0" fontId="68" fillId="0" borderId="111" xfId="2" applyFont="1" applyBorder="1" applyAlignment="1">
      <alignment horizontal="center" wrapText="1"/>
    </xf>
    <xf numFmtId="0" fontId="17" fillId="0" borderId="111" xfId="6" applyBorder="1" applyAlignment="1">
      <alignment horizontal="left" vertical="top" wrapText="1"/>
    </xf>
    <xf numFmtId="178" fontId="21" fillId="0" borderId="111" xfId="45" applyNumberFormat="1" applyFont="1" applyBorder="1" applyAlignment="1">
      <alignment horizontal="center" vertical="center" wrapText="1"/>
    </xf>
    <xf numFmtId="0" fontId="21" fillId="0" borderId="111" xfId="45" applyFont="1" applyBorder="1" applyAlignment="1">
      <alignment horizontal="center" wrapText="1"/>
    </xf>
    <xf numFmtId="1" fontId="17" fillId="0" borderId="111" xfId="45" applyNumberFormat="1" applyFont="1" applyBorder="1" applyAlignment="1">
      <alignment horizontal="center" vertical="center" wrapText="1"/>
    </xf>
    <xf numFmtId="2" fontId="17" fillId="0" borderId="111" xfId="45" applyNumberFormat="1" applyFont="1" applyBorder="1" applyAlignment="1">
      <alignment horizontal="center" vertical="center" wrapText="1"/>
    </xf>
    <xf numFmtId="0" fontId="17" fillId="0" borderId="111" xfId="45" applyFont="1" applyBorder="1" applyAlignment="1">
      <alignment wrapText="1"/>
    </xf>
    <xf numFmtId="0" fontId="17" fillId="0" borderId="111" xfId="2" applyBorder="1" applyAlignment="1">
      <alignment horizontal="center" vertical="top"/>
    </xf>
    <xf numFmtId="0" fontId="21" fillId="0" borderId="111" xfId="2" applyFont="1" applyBorder="1" applyAlignment="1">
      <alignment horizontal="left" vertical="top" wrapText="1"/>
    </xf>
    <xf numFmtId="49" fontId="17" fillId="0" borderId="111" xfId="2" applyNumberFormat="1" applyBorder="1" applyAlignment="1">
      <alignment horizontal="center"/>
    </xf>
    <xf numFmtId="0" fontId="17" fillId="0" borderId="111" xfId="2" applyBorder="1" applyAlignment="1">
      <alignment horizontal="center"/>
    </xf>
    <xf numFmtId="49" fontId="17" fillId="0" borderId="111" xfId="44" applyNumberFormat="1" applyFont="1" applyBorder="1" applyAlignment="1">
      <alignment horizontal="center"/>
    </xf>
    <xf numFmtId="172" fontId="21" fillId="0" borderId="111" xfId="44" applyFont="1" applyBorder="1" applyAlignment="1">
      <alignment wrapText="1"/>
    </xf>
    <xf numFmtId="172" fontId="17" fillId="0" borderId="111" xfId="44" applyFont="1" applyBorder="1" applyAlignment="1">
      <alignment wrapText="1"/>
    </xf>
    <xf numFmtId="0" fontId="68" fillId="0" borderId="111" xfId="2" applyFont="1" applyBorder="1" applyAlignment="1">
      <alignment horizontal="center" vertical="top"/>
    </xf>
    <xf numFmtId="0" fontId="17" fillId="0" borderId="111" xfId="0" applyFont="1" applyBorder="1" applyAlignment="1">
      <alignment vertical="top" wrapText="1"/>
    </xf>
    <xf numFmtId="172" fontId="71" fillId="0" borderId="111" xfId="44" applyFont="1" applyBorder="1" applyAlignment="1">
      <alignment wrapText="1"/>
    </xf>
    <xf numFmtId="0" fontId="68" fillId="0" borderId="115" xfId="0" applyFont="1" applyBorder="1" applyAlignment="1">
      <alignment horizontal="center"/>
    </xf>
    <xf numFmtId="0" fontId="68" fillId="0" borderId="111" xfId="0" applyFont="1" applyBorder="1" applyAlignment="1">
      <alignment horizontal="center" vertical="center" wrapText="1"/>
    </xf>
    <xf numFmtId="172" fontId="68" fillId="0" borderId="111" xfId="35" applyFont="1" applyBorder="1" applyAlignment="1">
      <alignment vertical="top" wrapText="1"/>
    </xf>
    <xf numFmtId="0" fontId="21" fillId="0" borderId="111" xfId="0" applyFont="1" applyBorder="1" applyAlignment="1">
      <alignment horizontal="left"/>
    </xf>
    <xf numFmtId="0" fontId="17" fillId="0" borderId="111" xfId="45" applyFont="1" applyBorder="1" applyAlignment="1">
      <alignment horizontal="center" vertical="center"/>
    </xf>
    <xf numFmtId="0" fontId="71" fillId="0" borderId="111" xfId="0" applyFont="1" applyBorder="1" applyAlignment="1">
      <alignment horizontal="center" vertical="center" wrapText="1"/>
    </xf>
    <xf numFmtId="0" fontId="71" fillId="0" borderId="111" xfId="0" applyFont="1" applyBorder="1" applyAlignment="1">
      <alignment horizontal="left"/>
    </xf>
    <xf numFmtId="189" fontId="68" fillId="0" borderId="111" xfId="1" applyNumberFormat="1" applyFont="1" applyBorder="1" applyAlignment="1" applyProtection="1">
      <alignment horizontal="right" vertical="top"/>
      <protection locked="0"/>
    </xf>
    <xf numFmtId="0" fontId="21" fillId="0" borderId="111" xfId="2" applyFont="1" applyBorder="1" applyAlignment="1">
      <alignment horizontal="left" wrapText="1"/>
    </xf>
    <xf numFmtId="0" fontId="22" fillId="0" borderId="111" xfId="2" applyFont="1" applyBorder="1" applyAlignment="1">
      <alignment horizontal="right"/>
    </xf>
    <xf numFmtId="1" fontId="68" fillId="0" borderId="111" xfId="1" applyNumberFormat="1" applyFont="1" applyBorder="1" applyAlignment="1">
      <alignment horizontal="center" vertical="center"/>
    </xf>
    <xf numFmtId="2" fontId="71" fillId="0" borderId="111" xfId="1" applyNumberFormat="1" applyFont="1" applyBorder="1" applyAlignment="1">
      <alignment horizontal="center" vertical="center"/>
    </xf>
    <xf numFmtId="0" fontId="71" fillId="0" borderId="115" xfId="0" applyFont="1" applyBorder="1" applyAlignment="1">
      <alignment horizontal="center"/>
    </xf>
    <xf numFmtId="0" fontId="87" fillId="0" borderId="111" xfId="2" applyFont="1" applyBorder="1" applyAlignment="1">
      <alignment horizontal="right"/>
    </xf>
    <xf numFmtId="189" fontId="71" fillId="0" borderId="111" xfId="1" applyNumberFormat="1" applyFont="1" applyBorder="1" applyAlignment="1" applyProtection="1">
      <alignment horizontal="right" vertical="top"/>
      <protection locked="0"/>
    </xf>
    <xf numFmtId="178" fontId="71" fillId="0" borderId="111" xfId="1" applyNumberFormat="1" applyFont="1" applyBorder="1" applyAlignment="1">
      <alignment horizontal="center" vertical="center"/>
    </xf>
    <xf numFmtId="0" fontId="21" fillId="0" borderId="115" xfId="0" applyFont="1" applyBorder="1" applyAlignment="1">
      <alignment horizontal="center"/>
    </xf>
    <xf numFmtId="49" fontId="73" fillId="0" borderId="111" xfId="0" applyNumberFormat="1" applyFont="1" applyBorder="1" applyAlignment="1">
      <alignment vertical="top" wrapText="1"/>
    </xf>
    <xf numFmtId="0" fontId="71" fillId="0" borderId="111" xfId="0" applyFont="1" applyBorder="1" applyAlignment="1">
      <alignment horizontal="left" wrapText="1"/>
    </xf>
    <xf numFmtId="0" fontId="71" fillId="0" borderId="111" xfId="45" applyFont="1" applyBorder="1" applyAlignment="1">
      <alignment horizontal="center" vertical="center"/>
    </xf>
    <xf numFmtId="44" fontId="71" fillId="0" borderId="111" xfId="198" applyFont="1" applyFill="1" applyBorder="1" applyAlignment="1" applyProtection="1">
      <alignment horizontal="right" vertical="center"/>
    </xf>
    <xf numFmtId="0" fontId="68" fillId="0" borderId="111" xfId="45" applyFont="1" applyBorder="1" applyAlignment="1">
      <alignment horizontal="center" vertical="center"/>
    </xf>
    <xf numFmtId="168" fontId="68" fillId="0" borderId="111" xfId="1" applyNumberFormat="1" applyFont="1" applyBorder="1" applyAlignment="1">
      <alignment horizontal="right" vertical="top"/>
    </xf>
    <xf numFmtId="168" fontId="71" fillId="0" borderId="111" xfId="1" applyNumberFormat="1" applyFont="1" applyBorder="1" applyAlignment="1">
      <alignment horizontal="right" vertical="top"/>
    </xf>
    <xf numFmtId="44" fontId="71" fillId="0" borderId="111" xfId="198" applyFont="1" applyBorder="1" applyAlignment="1" applyProtection="1">
      <alignment horizontal="right" vertical="top"/>
    </xf>
    <xf numFmtId="0" fontId="17" fillId="2" borderId="124" xfId="1" applyFill="1" applyBorder="1" applyAlignment="1">
      <alignment horizontal="center" vertical="top"/>
    </xf>
    <xf numFmtId="168" fontId="17" fillId="2" borderId="127" xfId="1" applyNumberFormat="1" applyFill="1" applyBorder="1" applyAlignment="1">
      <alignment horizontal="right" vertical="top"/>
    </xf>
    <xf numFmtId="168" fontId="17" fillId="0" borderId="125" xfId="1" applyNumberFormat="1" applyBorder="1" applyAlignment="1" applyProtection="1">
      <alignment horizontal="right" vertical="top"/>
      <protection locked="0"/>
    </xf>
    <xf numFmtId="0" fontId="68" fillId="0" borderId="111" xfId="2" applyFont="1" applyBorder="1" applyAlignment="1">
      <alignment horizontal="center" vertical="center" wrapText="1"/>
    </xf>
    <xf numFmtId="44" fontId="17" fillId="0" borderId="126" xfId="1" applyNumberFormat="1" applyBorder="1" applyAlignment="1">
      <alignment horizontal="right" vertical="center"/>
    </xf>
    <xf numFmtId="168" fontId="17" fillId="0" borderId="111" xfId="1" applyNumberFormat="1" applyBorder="1" applyAlignment="1" applyProtection="1">
      <alignment horizontal="right" vertical="center"/>
      <protection locked="0"/>
    </xf>
    <xf numFmtId="49" fontId="73" fillId="0" borderId="111" xfId="0" applyNumberFormat="1" applyFont="1" applyBorder="1" applyAlignment="1">
      <alignment horizontal="center" vertical="center" wrapText="1"/>
    </xf>
    <xf numFmtId="168" fontId="17" fillId="2" borderId="124" xfId="1" applyNumberFormat="1" applyFill="1" applyBorder="1" applyAlignment="1">
      <alignment horizontal="right" vertical="top"/>
    </xf>
    <xf numFmtId="168" fontId="17" fillId="2" borderId="125" xfId="1" applyNumberFormat="1" applyFill="1" applyBorder="1" applyAlignment="1">
      <alignment horizontal="right" vertical="top"/>
    </xf>
    <xf numFmtId="44" fontId="73" fillId="2" borderId="74" xfId="198" applyFont="1" applyFill="1" applyBorder="1" applyAlignment="1" applyProtection="1">
      <alignment horizontal="right" vertical="top"/>
    </xf>
    <xf numFmtId="44" fontId="92" fillId="0" borderId="126" xfId="277" applyFont="1" applyBorder="1" applyAlignment="1">
      <alignment vertical="distributed" wrapText="1"/>
    </xf>
    <xf numFmtId="168" fontId="17" fillId="0" borderId="126" xfId="1" applyNumberFormat="1" applyBorder="1" applyAlignment="1">
      <alignment horizontal="right" vertical="top"/>
    </xf>
    <xf numFmtId="0" fontId="68" fillId="0" borderId="111" xfId="2" applyFont="1" applyBorder="1" applyAlignment="1">
      <alignment horizontal="left" vertical="center"/>
    </xf>
    <xf numFmtId="0" fontId="73" fillId="0" borderId="111" xfId="0" applyFont="1" applyBorder="1" applyAlignment="1">
      <alignment horizontal="center" vertical="center" wrapText="1"/>
    </xf>
    <xf numFmtId="44" fontId="17" fillId="0" borderId="126" xfId="198" applyFont="1" applyBorder="1" applyAlignment="1" applyProtection="1">
      <alignment horizontal="right" vertical="top"/>
    </xf>
    <xf numFmtId="44" fontId="71" fillId="0" borderId="126" xfId="198" applyFont="1" applyBorder="1" applyAlignment="1">
      <alignment horizontal="right" vertical="top"/>
    </xf>
    <xf numFmtId="0" fontId="42" fillId="0" borderId="111" xfId="1" applyFont="1" applyBorder="1" applyAlignment="1">
      <alignment horizontal="left" vertical="top" wrapText="1"/>
    </xf>
    <xf numFmtId="39" fontId="21" fillId="0" borderId="111" xfId="1" applyNumberFormat="1" applyFont="1" applyBorder="1" applyAlignment="1">
      <alignment horizontal="center" vertical="center"/>
    </xf>
    <xf numFmtId="171" fontId="21" fillId="0" borderId="111" xfId="1" applyNumberFormat="1" applyFont="1" applyBorder="1" applyAlignment="1">
      <alignment horizontal="center" vertical="center"/>
    </xf>
    <xf numFmtId="189" fontId="21" fillId="0" borderId="111" xfId="1" applyNumberFormat="1" applyFont="1" applyBorder="1" applyAlignment="1" applyProtection="1">
      <alignment horizontal="right" vertical="top"/>
      <protection locked="0"/>
    </xf>
    <xf numFmtId="168" fontId="21" fillId="0" borderId="111" xfId="1" applyNumberFormat="1" applyFont="1" applyBorder="1" applyAlignment="1">
      <alignment horizontal="right" vertical="top"/>
    </xf>
    <xf numFmtId="189" fontId="21" fillId="0" borderId="111" xfId="1" applyNumberFormat="1" applyFont="1" applyBorder="1" applyAlignment="1" applyProtection="1">
      <alignment horizontal="right" vertical="center"/>
      <protection locked="0"/>
    </xf>
    <xf numFmtId="168" fontId="21" fillId="0" borderId="111" xfId="1" applyNumberFormat="1" applyFont="1" applyBorder="1" applyAlignment="1">
      <alignment horizontal="right" vertical="center"/>
    </xf>
    <xf numFmtId="189" fontId="21" fillId="0" borderId="111" xfId="1" applyNumberFormat="1" applyFont="1" applyBorder="1" applyAlignment="1" applyProtection="1">
      <alignment horizontal="center" vertical="top"/>
      <protection locked="0"/>
    </xf>
    <xf numFmtId="0" fontId="21" fillId="0" borderId="111" xfId="2" applyFont="1" applyBorder="1" applyAlignment="1">
      <alignment wrapText="1"/>
    </xf>
    <xf numFmtId="172" fontId="17" fillId="0" borderId="111" xfId="35" applyFont="1" applyBorder="1" applyAlignment="1">
      <alignment horizontal="center" vertical="top"/>
    </xf>
    <xf numFmtId="44" fontId="17" fillId="0" borderId="111" xfId="198" applyFont="1" applyFill="1" applyBorder="1" applyProtection="1">
      <protection locked="0"/>
    </xf>
    <xf numFmtId="0" fontId="71" fillId="0" borderId="111" xfId="2" applyFont="1" applyBorder="1" applyAlignment="1">
      <alignment wrapText="1"/>
    </xf>
    <xf numFmtId="0" fontId="17" fillId="0" borderId="111" xfId="2" applyBorder="1"/>
    <xf numFmtId="44" fontId="17" fillId="0" borderId="111" xfId="198" applyFont="1" applyBorder="1" applyAlignment="1" applyProtection="1">
      <alignment horizontal="center"/>
      <protection locked="0"/>
    </xf>
    <xf numFmtId="189" fontId="21" fillId="0" borderId="111" xfId="2" applyNumberFormat="1" applyFont="1" applyBorder="1" applyAlignment="1" applyProtection="1">
      <alignment horizontal="center"/>
      <protection locked="0"/>
    </xf>
    <xf numFmtId="0" fontId="21" fillId="0" borderId="111" xfId="2" applyFont="1" applyBorder="1"/>
    <xf numFmtId="0" fontId="71" fillId="0" borderId="111" xfId="1" applyFont="1" applyBorder="1" applyAlignment="1">
      <alignment horizontal="center" vertical="top"/>
    </xf>
    <xf numFmtId="0" fontId="71" fillId="0" borderId="111" xfId="1" applyFont="1" applyBorder="1" applyAlignment="1">
      <alignment horizontal="left" vertical="top" wrapText="1"/>
    </xf>
    <xf numFmtId="189" fontId="71" fillId="0" borderId="111" xfId="1" applyNumberFormat="1" applyFont="1" applyBorder="1" applyAlignment="1" applyProtection="1">
      <alignment vertical="top"/>
      <protection locked="0"/>
    </xf>
    <xf numFmtId="0" fontId="71" fillId="0" borderId="111" xfId="2" applyFont="1" applyBorder="1" applyAlignment="1">
      <alignment horizontal="center"/>
    </xf>
    <xf numFmtId="0" fontId="71" fillId="0" borderId="111" xfId="1" applyFont="1" applyBorder="1" applyAlignment="1">
      <alignment vertical="top" wrapText="1"/>
    </xf>
    <xf numFmtId="0" fontId="68" fillId="0" borderId="111" xfId="0" applyFont="1" applyBorder="1" applyAlignment="1">
      <alignment horizontal="center" wrapText="1"/>
    </xf>
    <xf numFmtId="0" fontId="68" fillId="0" borderId="111" xfId="45" applyFont="1" applyBorder="1" applyAlignment="1">
      <alignment horizontal="center"/>
    </xf>
    <xf numFmtId="0" fontId="68" fillId="0" borderId="111" xfId="1" applyFont="1" applyBorder="1" applyAlignment="1">
      <alignment vertical="top" wrapText="1"/>
    </xf>
    <xf numFmtId="0" fontId="68" fillId="0" borderId="111" xfId="1" applyFont="1" applyBorder="1" applyAlignment="1">
      <alignment horizontal="center" vertical="center"/>
    </xf>
    <xf numFmtId="0" fontId="71" fillId="0" borderId="111" xfId="0" applyFont="1" applyBorder="1" applyAlignment="1">
      <alignment horizontal="center" wrapText="1"/>
    </xf>
    <xf numFmtId="0" fontId="71" fillId="0" borderId="111" xfId="45" applyFont="1" applyBorder="1" applyAlignment="1">
      <alignment horizontal="center"/>
    </xf>
    <xf numFmtId="0" fontId="17" fillId="0" borderId="111" xfId="0" applyFont="1" applyBorder="1" applyAlignment="1">
      <alignment horizontal="center" wrapText="1"/>
    </xf>
    <xf numFmtId="0" fontId="17" fillId="0" borderId="111" xfId="45" applyFont="1" applyBorder="1" applyAlignment="1">
      <alignment horizontal="center"/>
    </xf>
    <xf numFmtId="0" fontId="17" fillId="0" borderId="111" xfId="1" applyBorder="1" applyAlignment="1">
      <alignment vertical="top" wrapText="1"/>
    </xf>
    <xf numFmtId="2" fontId="71" fillId="0" borderId="111" xfId="0" applyNumberFormat="1" applyFont="1" applyBorder="1" applyAlignment="1">
      <alignment horizontal="center" wrapText="1"/>
    </xf>
    <xf numFmtId="0" fontId="73" fillId="0" borderId="111" xfId="2" applyFont="1" applyBorder="1" applyAlignment="1">
      <alignment horizontal="left" vertical="top" wrapText="1"/>
    </xf>
    <xf numFmtId="172" fontId="71" fillId="0" borderId="111" xfId="30" applyNumberFormat="1" applyFont="1" applyBorder="1" applyAlignment="1">
      <alignment horizontal="center" vertical="top"/>
    </xf>
    <xf numFmtId="172" fontId="71" fillId="0" borderId="111" xfId="47" applyFont="1" applyBorder="1" applyAlignment="1">
      <alignment horizontal="center" vertical="top"/>
    </xf>
    <xf numFmtId="0" fontId="73" fillId="0" borderId="111" xfId="1" applyFont="1" applyBorder="1" applyAlignment="1">
      <alignment vertical="top" wrapText="1"/>
    </xf>
    <xf numFmtId="172" fontId="71" fillId="0" borderId="111" xfId="30" applyNumberFormat="1" applyFont="1" applyBorder="1" applyAlignment="1">
      <alignment horizontal="center" vertical="center"/>
    </xf>
    <xf numFmtId="1" fontId="71" fillId="0" borderId="111" xfId="30" applyNumberFormat="1" applyFont="1" applyBorder="1" applyAlignment="1">
      <alignment horizontal="center" vertical="center"/>
    </xf>
    <xf numFmtId="189" fontId="71" fillId="0" borderId="111" xfId="19" applyNumberFormat="1" applyFont="1" applyBorder="1" applyAlignment="1" applyProtection="1">
      <alignment vertical="top"/>
      <protection locked="0"/>
    </xf>
    <xf numFmtId="0" fontId="89" fillId="0" borderId="111" xfId="1" applyFont="1" applyBorder="1" applyAlignment="1">
      <alignment horizontal="center" vertical="center"/>
    </xf>
    <xf numFmtId="1" fontId="89" fillId="0" borderId="111" xfId="1" applyNumberFormat="1" applyFont="1" applyBorder="1" applyAlignment="1">
      <alignment horizontal="center" vertical="center"/>
    </xf>
    <xf numFmtId="189" fontId="89" fillId="0" borderId="111" xfId="1" applyNumberFormat="1" applyFont="1" applyBorder="1" applyAlignment="1" applyProtection="1">
      <alignment vertical="top"/>
      <protection locked="0"/>
    </xf>
    <xf numFmtId="0" fontId="71" fillId="0" borderId="111" xfId="0" applyFont="1" applyBorder="1"/>
    <xf numFmtId="189" fontId="71" fillId="0" borderId="111" xfId="0" applyNumberFormat="1" applyFont="1" applyBorder="1" applyProtection="1">
      <protection locked="0"/>
    </xf>
    <xf numFmtId="44" fontId="71" fillId="0" borderId="111" xfId="198" applyFont="1" applyBorder="1" applyAlignment="1" applyProtection="1">
      <protection locked="0"/>
    </xf>
    <xf numFmtId="0" fontId="17" fillId="0" borderId="111" xfId="0" applyFont="1" applyBorder="1"/>
    <xf numFmtId="0" fontId="68" fillId="0" borderId="111" xfId="1" applyFont="1" applyBorder="1" applyAlignment="1">
      <alignment horizontal="center" vertical="top"/>
    </xf>
    <xf numFmtId="189" fontId="68" fillId="0" borderId="111" xfId="1" applyNumberFormat="1" applyFont="1" applyBorder="1" applyAlignment="1" applyProtection="1">
      <alignment vertical="top"/>
      <protection locked="0"/>
    </xf>
    <xf numFmtId="172" fontId="71" fillId="0" borderId="111" xfId="30" applyNumberFormat="1" applyFont="1" applyBorder="1" applyAlignment="1">
      <alignment horizontal="center" vertical="top" wrapText="1"/>
    </xf>
    <xf numFmtId="49" fontId="1" fillId="0" borderId="111" xfId="63" applyNumberFormat="1" applyFont="1" applyBorder="1" applyAlignment="1">
      <alignment horizontal="center" vertical="center"/>
    </xf>
    <xf numFmtId="44" fontId="71" fillId="0" borderId="111" xfId="198" applyFont="1" applyFill="1" applyBorder="1" applyAlignment="1" applyProtection="1">
      <alignment vertical="top"/>
      <protection locked="0"/>
    </xf>
    <xf numFmtId="49" fontId="68" fillId="0" borderId="111" xfId="2" applyNumberFormat="1" applyFont="1" applyBorder="1" applyAlignment="1">
      <alignment horizontal="center" vertical="center" wrapText="1"/>
    </xf>
    <xf numFmtId="0" fontId="68" fillId="0" borderId="111" xfId="2" applyFont="1" applyBorder="1" applyAlignment="1">
      <alignment wrapText="1"/>
    </xf>
    <xf numFmtId="178" fontId="71" fillId="0" borderId="111" xfId="2" applyNumberFormat="1" applyFont="1" applyBorder="1" applyAlignment="1">
      <alignment horizontal="center" vertical="top"/>
    </xf>
    <xf numFmtId="0" fontId="71" fillId="0" borderId="111" xfId="2" applyFont="1" applyBorder="1" applyAlignment="1">
      <alignment horizontal="center" vertical="top" wrapText="1"/>
    </xf>
    <xf numFmtId="0" fontId="71" fillId="0" borderId="111" xfId="2" applyFont="1" applyBorder="1" applyAlignment="1">
      <alignment vertical="top" wrapText="1"/>
    </xf>
    <xf numFmtId="0" fontId="73" fillId="0" borderId="111" xfId="2" applyFont="1" applyBorder="1" applyAlignment="1">
      <alignment vertical="top" wrapText="1"/>
    </xf>
    <xf numFmtId="0" fontId="17" fillId="0" borderId="111" xfId="329" applyBorder="1" applyAlignment="1">
      <alignment horizontal="center" vertical="top"/>
    </xf>
    <xf numFmtId="0" fontId="21" fillId="0" borderId="111" xfId="329" applyFont="1" applyBorder="1" applyAlignment="1">
      <alignment vertical="top" wrapText="1"/>
    </xf>
    <xf numFmtId="0" fontId="17" fillId="0" borderId="111" xfId="329" applyBorder="1" applyAlignment="1">
      <alignment vertical="top" wrapText="1"/>
    </xf>
    <xf numFmtId="172" fontId="17" fillId="0" borderId="111" xfId="47" applyFont="1" applyBorder="1" applyAlignment="1">
      <alignment vertical="top" wrapText="1"/>
    </xf>
    <xf numFmtId="172" fontId="73" fillId="0" borderId="111" xfId="47" applyFont="1" applyBorder="1" applyAlignment="1">
      <alignment vertical="top" wrapText="1"/>
    </xf>
    <xf numFmtId="172" fontId="71" fillId="0" borderId="111" xfId="47" applyFont="1" applyBorder="1" applyAlignment="1">
      <alignment vertical="top" wrapText="1"/>
    </xf>
    <xf numFmtId="49" fontId="17" fillId="2" borderId="124" xfId="0" applyNumberFormat="1" applyFont="1" applyFill="1" applyBorder="1" applyAlignment="1">
      <alignment horizontal="center"/>
    </xf>
    <xf numFmtId="189" fontId="17" fillId="4" borderId="112" xfId="0" applyNumberFormat="1" applyFont="1" applyFill="1" applyBorder="1" applyProtection="1">
      <protection locked="0"/>
    </xf>
    <xf numFmtId="39" fontId="17" fillId="2" borderId="125" xfId="0" applyNumberFormat="1" applyFont="1" applyFill="1" applyBorder="1"/>
    <xf numFmtId="44" fontId="21" fillId="2" borderId="74" xfId="198" applyFont="1" applyFill="1" applyBorder="1" applyAlignment="1" applyProtection="1"/>
    <xf numFmtId="49" fontId="17" fillId="0" borderId="125" xfId="0" applyNumberFormat="1" applyFont="1" applyBorder="1" applyAlignment="1">
      <alignment horizontal="center"/>
    </xf>
    <xf numFmtId="0" fontId="17" fillId="0" borderId="125" xfId="0" applyFont="1" applyBorder="1"/>
    <xf numFmtId="0" fontId="22" fillId="0" borderId="125" xfId="0" applyFont="1" applyBorder="1" applyAlignment="1">
      <alignment horizontal="right"/>
    </xf>
    <xf numFmtId="189" fontId="17" fillId="0" borderId="125" xfId="0" applyNumberFormat="1" applyFont="1" applyBorder="1" applyProtection="1">
      <protection locked="0"/>
    </xf>
    <xf numFmtId="44" fontId="17" fillId="0" borderId="125" xfId="198" applyFont="1" applyFill="1" applyBorder="1" applyAlignment="1" applyProtection="1"/>
    <xf numFmtId="0" fontId="17" fillId="0" borderId="111" xfId="2" applyBorder="1" applyAlignment="1">
      <alignment horizontal="left" wrapText="1"/>
    </xf>
    <xf numFmtId="39" fontId="17" fillId="0" borderId="111" xfId="0" applyNumberFormat="1" applyFont="1" applyBorder="1"/>
    <xf numFmtId="0" fontId="17" fillId="0" borderId="111" xfId="2" applyBorder="1" applyAlignment="1">
      <alignment vertical="top" wrapText="1"/>
    </xf>
    <xf numFmtId="49" fontId="68" fillId="0" borderId="111" xfId="2" applyNumberFormat="1" applyFont="1" applyBorder="1" applyAlignment="1">
      <alignment horizontal="center" vertical="center"/>
    </xf>
    <xf numFmtId="0" fontId="68" fillId="0" borderId="111" xfId="2" applyFont="1" applyBorder="1" applyAlignment="1">
      <alignment horizontal="left" wrapText="1"/>
    </xf>
    <xf numFmtId="2" fontId="73" fillId="0" borderId="111" xfId="45" applyNumberFormat="1" applyFont="1" applyBorder="1" applyAlignment="1">
      <alignment wrapText="1"/>
    </xf>
    <xf numFmtId="0" fontId="74" fillId="0" borderId="115" xfId="0" applyFont="1" applyBorder="1" applyAlignment="1">
      <alignment horizontal="center"/>
    </xf>
    <xf numFmtId="49" fontId="74" fillId="0" borderId="111" xfId="2" applyNumberFormat="1" applyFont="1" applyBorder="1" applyAlignment="1">
      <alignment horizontal="center" vertical="center"/>
    </xf>
    <xf numFmtId="0" fontId="76" fillId="0" borderId="111" xfId="0" applyFont="1" applyBorder="1" applyAlignment="1">
      <alignment horizontal="right"/>
    </xf>
    <xf numFmtId="189" fontId="74" fillId="0" borderId="111" xfId="2" applyNumberFormat="1" applyFont="1" applyBorder="1" applyAlignment="1" applyProtection="1">
      <alignment horizontal="center"/>
      <protection locked="0"/>
    </xf>
    <xf numFmtId="0" fontId="71" fillId="0" borderId="111" xfId="2" quotePrefix="1" applyFont="1" applyBorder="1" applyAlignment="1">
      <alignment horizontal="center" vertical="center"/>
    </xf>
    <xf numFmtId="0" fontId="73" fillId="0" borderId="111" xfId="2" applyFont="1" applyBorder="1" applyAlignment="1">
      <alignment horizontal="left" wrapText="1"/>
    </xf>
    <xf numFmtId="49" fontId="71" fillId="0" borderId="111" xfId="44" applyNumberFormat="1" applyFont="1" applyBorder="1" applyAlignment="1">
      <alignment horizontal="center" vertical="center"/>
    </xf>
    <xf numFmtId="172" fontId="73" fillId="0" borderId="111" xfId="44" applyFont="1" applyBorder="1" applyAlignment="1">
      <alignment wrapText="1"/>
    </xf>
    <xf numFmtId="172" fontId="73" fillId="0" borderId="111" xfId="35" applyFont="1" applyBorder="1" applyAlignment="1">
      <alignment vertical="top" wrapText="1"/>
    </xf>
    <xf numFmtId="0" fontId="73" fillId="0" borderId="111" xfId="2" applyFont="1" applyBorder="1" applyAlignment="1">
      <alignment horizontal="center" vertical="top" wrapText="1"/>
    </xf>
    <xf numFmtId="0" fontId="73" fillId="0" borderId="111" xfId="2" applyFont="1" applyBorder="1" applyAlignment="1">
      <alignment horizontal="left" vertical="center"/>
    </xf>
    <xf numFmtId="0" fontId="73" fillId="0" borderId="111" xfId="2" applyFont="1" applyBorder="1" applyAlignment="1">
      <alignment horizontal="center" vertical="top"/>
    </xf>
    <xf numFmtId="171" fontId="73" fillId="0" borderId="111" xfId="2" applyNumberFormat="1" applyFont="1" applyBorder="1" applyAlignment="1">
      <alignment horizontal="center" vertical="top"/>
    </xf>
    <xf numFmtId="0" fontId="71" fillId="0" borderId="111" xfId="2" applyFont="1" applyBorder="1" applyAlignment="1">
      <alignment horizontal="left" vertical="top"/>
    </xf>
    <xf numFmtId="171" fontId="71" fillId="0" borderId="111" xfId="2" applyNumberFormat="1" applyFont="1" applyBorder="1" applyAlignment="1">
      <alignment horizontal="center" vertical="top"/>
    </xf>
    <xf numFmtId="0" fontId="72" fillId="0" borderId="111" xfId="2" applyFont="1" applyBorder="1" applyAlignment="1">
      <alignment horizontal="left" wrapText="1"/>
    </xf>
    <xf numFmtId="49" fontId="71" fillId="0" borderId="111" xfId="2" applyNumberFormat="1" applyFont="1" applyBorder="1" applyAlignment="1">
      <alignment horizontal="left"/>
    </xf>
    <xf numFmtId="172" fontId="71" fillId="0" borderId="111" xfId="35" applyFont="1" applyBorder="1" applyAlignment="1">
      <alignment horizontal="center" vertical="center"/>
    </xf>
    <xf numFmtId="39" fontId="68" fillId="0" borderId="111" xfId="0" applyNumberFormat="1" applyFont="1" applyBorder="1"/>
    <xf numFmtId="44" fontId="71" fillId="0" borderId="111" xfId="198" applyFont="1" applyBorder="1" applyAlignment="1" applyProtection="1"/>
    <xf numFmtId="0" fontId="73" fillId="0" borderId="115" xfId="0" applyFont="1" applyBorder="1" applyAlignment="1">
      <alignment horizontal="center"/>
    </xf>
    <xf numFmtId="0" fontId="17" fillId="0" borderId="125" xfId="2" applyBorder="1" applyAlignment="1">
      <alignment horizontal="center" vertical="center"/>
    </xf>
    <xf numFmtId="49" fontId="17" fillId="0" borderId="125" xfId="2" applyNumberFormat="1" applyBorder="1" applyAlignment="1">
      <alignment horizontal="center" vertical="center"/>
    </xf>
    <xf numFmtId="189" fontId="17" fillId="0" borderId="125" xfId="2" applyNumberFormat="1" applyBorder="1" applyAlignment="1" applyProtection="1">
      <alignment horizontal="center"/>
      <protection locked="0"/>
    </xf>
    <xf numFmtId="44" fontId="17" fillId="0" borderId="125" xfId="198" applyFont="1" applyBorder="1" applyAlignment="1" applyProtection="1"/>
    <xf numFmtId="0" fontId="17" fillId="0" borderId="126" xfId="2" applyBorder="1" applyAlignment="1">
      <alignment horizontal="center" vertical="center"/>
    </xf>
    <xf numFmtId="189" fontId="17" fillId="0" borderId="115" xfId="2" applyNumberFormat="1" applyBorder="1" applyAlignment="1" applyProtection="1">
      <alignment horizontal="center"/>
      <protection locked="0"/>
    </xf>
    <xf numFmtId="0" fontId="21" fillId="0" borderId="111" xfId="0" applyFont="1" applyBorder="1"/>
    <xf numFmtId="44" fontId="17" fillId="0" borderId="115" xfId="198" applyFont="1" applyBorder="1" applyAlignment="1" applyProtection="1">
      <alignment horizontal="center" vertical="center"/>
      <protection locked="0"/>
    </xf>
    <xf numFmtId="189" fontId="17" fillId="0" borderId="115" xfId="2" applyNumberFormat="1" applyBorder="1" applyAlignment="1" applyProtection="1">
      <alignment horizontal="center" vertical="center"/>
      <protection locked="0"/>
    </xf>
    <xf numFmtId="172" fontId="17" fillId="0" borderId="58" xfId="35" applyFont="1" applyBorder="1" applyAlignment="1">
      <alignment horizontal="center" vertical="center"/>
    </xf>
    <xf numFmtId="172" fontId="17" fillId="0" borderId="108" xfId="35" applyFont="1" applyBorder="1" applyAlignment="1">
      <alignment horizontal="center" vertical="center"/>
    </xf>
    <xf numFmtId="172" fontId="74" fillId="0" borderId="95" xfId="35" applyFont="1" applyBorder="1" applyAlignment="1">
      <alignment horizontal="center" vertical="center"/>
    </xf>
    <xf numFmtId="172" fontId="74" fillId="0" borderId="108" xfId="35" applyFont="1" applyBorder="1" applyAlignment="1">
      <alignment horizontal="center" vertical="center"/>
    </xf>
    <xf numFmtId="172" fontId="71" fillId="0" borderId="95" xfId="35" applyFont="1" applyBorder="1" applyAlignment="1">
      <alignment horizontal="center" vertical="center"/>
    </xf>
    <xf numFmtId="172" fontId="71" fillId="0" borderId="108" xfId="35" applyFont="1" applyBorder="1" applyAlignment="1">
      <alignment horizontal="center" vertical="center"/>
    </xf>
    <xf numFmtId="172" fontId="71" fillId="0" borderId="95" xfId="35" applyFont="1" applyBorder="1" applyAlignment="1">
      <alignment horizontal="center" vertical="center" wrapText="1"/>
    </xf>
    <xf numFmtId="0" fontId="71" fillId="0" borderId="126" xfId="2" applyFont="1" applyBorder="1" applyAlignment="1">
      <alignment horizontal="center" vertical="center"/>
    </xf>
    <xf numFmtId="0" fontId="21" fillId="2" borderId="124" xfId="1" applyFont="1" applyFill="1" applyBorder="1" applyAlignment="1">
      <alignment horizontal="center" vertical="center"/>
    </xf>
    <xf numFmtId="44" fontId="21" fillId="2" borderId="125" xfId="198" applyFont="1" applyFill="1" applyBorder="1" applyAlignment="1" applyProtection="1">
      <alignment horizontal="right" vertical="top"/>
    </xf>
    <xf numFmtId="44" fontId="21" fillId="3" borderId="122" xfId="198" applyFont="1" applyFill="1" applyBorder="1" applyAlignment="1" applyProtection="1">
      <alignment horizontal="center" vertical="center"/>
    </xf>
    <xf numFmtId="44" fontId="17" fillId="0" borderId="125" xfId="198" applyFont="1" applyBorder="1" applyAlignment="1" applyProtection="1">
      <alignment horizontal="right" vertical="top"/>
      <protection locked="0"/>
    </xf>
    <xf numFmtId="1" fontId="21" fillId="0" borderId="111" xfId="1" applyNumberFormat="1" applyFont="1" applyBorder="1" applyAlignment="1">
      <alignment horizontal="center" vertical="center"/>
    </xf>
    <xf numFmtId="168" fontId="17" fillId="0" borderId="111" xfId="1" applyNumberFormat="1" applyBorder="1" applyAlignment="1">
      <alignment horizontal="right" vertical="center"/>
    </xf>
    <xf numFmtId="174" fontId="17" fillId="0" borderId="111" xfId="2" applyNumberFormat="1" applyBorder="1" applyAlignment="1">
      <alignment horizontal="center" vertical="center" wrapText="1"/>
    </xf>
    <xf numFmtId="178" fontId="17" fillId="0" borderId="111" xfId="1" applyNumberFormat="1" applyBorder="1" applyAlignment="1">
      <alignment horizontal="center" vertical="center"/>
    </xf>
    <xf numFmtId="172" fontId="17" fillId="0" borderId="108" xfId="35" applyFont="1" applyBorder="1" applyAlignment="1">
      <alignment horizontal="center" vertical="top"/>
    </xf>
    <xf numFmtId="172" fontId="21" fillId="0" borderId="58" xfId="35" applyFont="1" applyBorder="1" applyAlignment="1">
      <alignment vertical="top" wrapText="1"/>
    </xf>
    <xf numFmtId="172" fontId="17" fillId="0" borderId="58" xfId="35" applyFont="1" applyBorder="1" applyAlignment="1">
      <alignment vertical="top" wrapText="1"/>
    </xf>
    <xf numFmtId="44" fontId="17" fillId="0" borderId="108" xfId="198" applyFont="1" applyFill="1" applyBorder="1" applyAlignment="1" applyProtection="1">
      <alignment horizontal="right" vertical="top"/>
      <protection locked="0"/>
    </xf>
    <xf numFmtId="2" fontId="17" fillId="2" borderId="124" xfId="0" applyNumberFormat="1" applyFont="1" applyFill="1" applyBorder="1" applyAlignment="1">
      <alignment horizontal="center" vertical="center"/>
    </xf>
    <xf numFmtId="44" fontId="17" fillId="4" borderId="127" xfId="198" applyFont="1" applyFill="1" applyBorder="1" applyAlignment="1" applyProtection="1">
      <protection locked="0"/>
    </xf>
    <xf numFmtId="1" fontId="17" fillId="0" borderId="111" xfId="0" applyNumberFormat="1" applyFont="1" applyBorder="1" applyAlignment="1">
      <alignment horizontal="center" vertical="center"/>
    </xf>
    <xf numFmtId="2" fontId="0" fillId="0" borderId="111" xfId="45" applyNumberFormat="1" applyFont="1" applyBorder="1" applyAlignment="1">
      <alignment horizontal="center" vertical="center" wrapText="1"/>
    </xf>
    <xf numFmtId="172" fontId="21" fillId="0" borderId="108" xfId="35" applyFont="1" applyBorder="1" applyAlignment="1">
      <alignment horizontal="center" vertical="center"/>
    </xf>
    <xf numFmtId="172" fontId="21" fillId="0" borderId="108" xfId="35" applyFont="1" applyBorder="1" applyAlignment="1">
      <alignment horizontal="center" vertical="top" wrapText="1"/>
    </xf>
    <xf numFmtId="172" fontId="21" fillId="0" borderId="58" xfId="35" applyFont="1" applyBorder="1" applyAlignment="1">
      <alignment vertical="center"/>
    </xf>
    <xf numFmtId="172" fontId="17" fillId="0" borderId="58" xfId="35" applyFont="1" applyBorder="1" applyAlignment="1">
      <alignment vertical="top"/>
    </xf>
    <xf numFmtId="0" fontId="17" fillId="2" borderId="121" xfId="1" applyFill="1" applyBorder="1" applyAlignment="1">
      <alignment horizontal="center" vertical="top"/>
    </xf>
    <xf numFmtId="0" fontId="21" fillId="3" borderId="124" xfId="2" applyFont="1" applyFill="1" applyBorder="1" applyAlignment="1">
      <alignment horizontal="center" vertical="center" wrapText="1"/>
    </xf>
    <xf numFmtId="1" fontId="21" fillId="3" borderId="122" xfId="2" applyNumberFormat="1" applyFont="1" applyFill="1" applyBorder="1" applyAlignment="1">
      <alignment horizontal="center" vertical="center" wrapText="1"/>
    </xf>
    <xf numFmtId="2" fontId="21" fillId="3" borderId="122" xfId="2" applyNumberFormat="1" applyFont="1" applyFill="1" applyBorder="1" applyAlignment="1">
      <alignment horizontal="center" vertical="center" wrapText="1"/>
    </xf>
    <xf numFmtId="173" fontId="21" fillId="3" borderId="122" xfId="2" applyNumberFormat="1" applyFont="1" applyFill="1" applyBorder="1" applyAlignment="1">
      <alignment horizontal="center" vertical="center" wrapText="1"/>
    </xf>
    <xf numFmtId="0" fontId="21" fillId="3" borderId="91" xfId="2" applyFont="1" applyFill="1" applyBorder="1" applyAlignment="1">
      <alignment horizontal="center" vertical="center" wrapText="1"/>
    </xf>
    <xf numFmtId="0" fontId="21" fillId="3" borderId="74" xfId="2" applyFont="1" applyFill="1" applyBorder="1" applyAlignment="1">
      <alignment horizontal="center" vertical="center" wrapText="1"/>
    </xf>
    <xf numFmtId="39" fontId="17" fillId="0" borderId="111" xfId="1" applyNumberFormat="1" applyBorder="1" applyAlignment="1">
      <alignment horizontal="center" vertical="center" wrapText="1"/>
    </xf>
    <xf numFmtId="1" fontId="17" fillId="0" borderId="111" xfId="1" applyNumberFormat="1" applyBorder="1" applyAlignment="1">
      <alignment horizontal="center" vertical="center" wrapText="1"/>
    </xf>
    <xf numFmtId="168" fontId="17" fillId="0" borderId="111" xfId="1" applyNumberFormat="1" applyBorder="1" applyAlignment="1">
      <alignment horizontal="right" vertical="center" wrapText="1"/>
    </xf>
    <xf numFmtId="168" fontId="17" fillId="0" borderId="99" xfId="1" applyNumberFormat="1" applyBorder="1" applyAlignment="1">
      <alignment horizontal="right" vertical="center" wrapText="1"/>
    </xf>
    <xf numFmtId="0" fontId="62" fillId="0" borderId="111" xfId="0" applyFont="1" applyBorder="1" applyAlignment="1">
      <alignment wrapText="1"/>
    </xf>
    <xf numFmtId="0" fontId="69" fillId="0" borderId="111" xfId="0" applyFont="1" applyBorder="1" applyAlignment="1">
      <alignment wrapText="1"/>
    </xf>
    <xf numFmtId="39" fontId="17" fillId="4" borderId="127" xfId="0" applyNumberFormat="1" applyFont="1" applyFill="1" applyBorder="1"/>
    <xf numFmtId="39" fontId="17" fillId="2" borderId="74" xfId="0" applyNumberFormat="1" applyFont="1" applyFill="1" applyBorder="1"/>
    <xf numFmtId="0" fontId="21" fillId="0" borderId="111" xfId="0" applyFont="1" applyBorder="1" applyAlignment="1">
      <alignment wrapText="1"/>
    </xf>
    <xf numFmtId="0" fontId="17" fillId="0" borderId="111" xfId="0" applyFont="1" applyBorder="1" applyAlignment="1">
      <alignment vertical="top" wrapText="1" readingOrder="1"/>
    </xf>
    <xf numFmtId="1" fontId="17" fillId="0" borderId="99" xfId="0" applyNumberFormat="1" applyFont="1" applyBorder="1" applyAlignment="1">
      <alignment horizontal="center" vertical="center"/>
    </xf>
    <xf numFmtId="0" fontId="68" fillId="0" borderId="111" xfId="0" applyFont="1" applyBorder="1" applyAlignment="1">
      <alignment vertical="center" wrapText="1"/>
    </xf>
    <xf numFmtId="0" fontId="32" fillId="0" borderId="111" xfId="0" applyFont="1" applyBorder="1" applyAlignment="1">
      <alignment vertical="top" wrapText="1"/>
    </xf>
    <xf numFmtId="168" fontId="21" fillId="2" borderId="74" xfId="1" applyNumberFormat="1" applyFont="1" applyFill="1" applyBorder="1" applyAlignment="1">
      <alignment horizontal="right" vertical="top"/>
    </xf>
    <xf numFmtId="173" fontId="21" fillId="3" borderId="122" xfId="2" applyNumberFormat="1" applyFont="1" applyFill="1" applyBorder="1" applyAlignment="1">
      <alignment horizontal="center" vertical="center"/>
    </xf>
    <xf numFmtId="173" fontId="21" fillId="0" borderId="90" xfId="2" applyNumberFormat="1" applyFont="1" applyBorder="1" applyAlignment="1">
      <alignment horizontal="center" vertical="center"/>
    </xf>
    <xf numFmtId="168" fontId="17" fillId="0" borderId="99" xfId="1" applyNumberFormat="1" applyBorder="1" applyAlignment="1">
      <alignment horizontal="right" vertical="center"/>
    </xf>
    <xf numFmtId="0" fontId="17" fillId="0" borderId="128" xfId="0" applyFont="1" applyBorder="1"/>
    <xf numFmtId="0" fontId="40" fillId="0" borderId="111" xfId="75" applyFont="1" applyBorder="1" applyAlignment="1">
      <alignment horizontal="left" vertical="center"/>
    </xf>
    <xf numFmtId="0" fontId="39" fillId="0" borderId="111" xfId="75" applyFont="1" applyBorder="1" applyAlignment="1">
      <alignment horizontal="left" vertical="center" wrapText="1"/>
    </xf>
    <xf numFmtId="0" fontId="41" fillId="0" borderId="111" xfId="75" applyFont="1" applyBorder="1">
      <alignment wrapText="1"/>
    </xf>
    <xf numFmtId="0" fontId="40" fillId="0" borderId="111" xfId="75" applyFont="1" applyBorder="1" applyAlignment="1">
      <alignment horizontal="center" vertical="center" wrapText="1"/>
    </xf>
    <xf numFmtId="1" fontId="40" fillId="0" borderId="111" xfId="75" applyNumberFormat="1" applyFont="1" applyBorder="1" applyAlignment="1">
      <alignment horizontal="center" vertical="center"/>
    </xf>
    <xf numFmtId="0" fontId="42" fillId="0" borderId="111" xfId="75" applyFont="1" applyBorder="1">
      <alignment wrapText="1"/>
    </xf>
    <xf numFmtId="0" fontId="40" fillId="0" borderId="111" xfId="75" applyFont="1" applyBorder="1" applyAlignment="1">
      <alignment horizontal="left" vertical="center" wrapText="1"/>
    </xf>
    <xf numFmtId="0" fontId="43" fillId="0" borderId="111" xfId="75" quotePrefix="1" applyFont="1" applyBorder="1">
      <alignment wrapText="1"/>
    </xf>
    <xf numFmtId="0" fontId="39" fillId="0" borderId="111" xfId="75" applyFont="1" applyBorder="1" applyAlignment="1">
      <alignment horizontal="left" vertical="center"/>
    </xf>
    <xf numFmtId="3" fontId="40" fillId="0" borderId="111" xfId="76" applyNumberFormat="1" applyFont="1" applyFill="1" applyBorder="1" applyAlignment="1">
      <alignment horizontal="center" vertical="center"/>
    </xf>
    <xf numFmtId="49" fontId="40" fillId="0" borderId="115" xfId="75" applyNumberFormat="1" applyFont="1" applyBorder="1" applyAlignment="1">
      <alignment vertical="center"/>
    </xf>
    <xf numFmtId="0" fontId="40" fillId="0" borderId="111" xfId="75" applyFont="1" applyBorder="1" applyAlignment="1">
      <alignment vertical="center" wrapText="1"/>
    </xf>
    <xf numFmtId="3" fontId="40" fillId="0" borderId="111" xfId="76" applyNumberFormat="1" applyFont="1" applyBorder="1" applyAlignment="1">
      <alignment horizontal="center" vertical="center"/>
    </xf>
    <xf numFmtId="0" fontId="40" fillId="0" borderId="111" xfId="75" applyFont="1" applyBorder="1" applyAlignment="1">
      <alignment vertical="center"/>
    </xf>
    <xf numFmtId="3" fontId="40" fillId="0" borderId="111" xfId="76" quotePrefix="1" applyNumberFormat="1" applyFont="1" applyFill="1" applyBorder="1" applyAlignment="1">
      <alignment horizontal="center" vertical="center"/>
    </xf>
    <xf numFmtId="44" fontId="17" fillId="0" borderId="99" xfId="198" applyFont="1" applyBorder="1" applyAlignment="1" applyProtection="1">
      <alignment horizontal="right" vertical="center"/>
    </xf>
    <xf numFmtId="44" fontId="17" fillId="0" borderId="111" xfId="0" applyNumberFormat="1" applyFont="1" applyBorder="1" applyAlignment="1">
      <alignment vertical="center"/>
    </xf>
    <xf numFmtId="3" fontId="40" fillId="0" borderId="99" xfId="76" quotePrefix="1" applyNumberFormat="1" applyFont="1" applyFill="1" applyBorder="1" applyAlignment="1">
      <alignment horizontal="center" vertical="center"/>
    </xf>
    <xf numFmtId="0" fontId="40" fillId="0" borderId="111" xfId="75" applyFont="1" applyBorder="1" applyAlignment="1">
      <alignment vertical="top" wrapText="1"/>
    </xf>
    <xf numFmtId="1" fontId="40" fillId="0" borderId="99" xfId="78" applyNumberFormat="1" applyFont="1" applyFill="1" applyBorder="1" applyAlignment="1">
      <alignment horizontal="center" vertical="center"/>
    </xf>
    <xf numFmtId="0" fontId="40" fillId="0" borderId="111" xfId="75" applyFont="1" applyBorder="1" applyAlignment="1">
      <alignment horizontal="center" vertical="center"/>
    </xf>
    <xf numFmtId="44" fontId="17" fillId="0" borderId="111" xfId="198" applyFont="1" applyBorder="1" applyAlignment="1" applyProtection="1">
      <alignment vertical="center" wrapText="1"/>
    </xf>
    <xf numFmtId="0" fontId="40" fillId="0" borderId="111" xfId="2" applyFont="1" applyBorder="1" applyAlignment="1">
      <alignment horizontal="center" vertical="center" wrapText="1"/>
    </xf>
    <xf numFmtId="1" fontId="40" fillId="0" borderId="111" xfId="83" applyNumberFormat="1" applyFont="1" applyBorder="1" applyAlignment="1">
      <alignment horizontal="center" vertical="center"/>
    </xf>
    <xf numFmtId="179" fontId="17" fillId="0" borderId="111" xfId="2" applyNumberFormat="1" applyBorder="1" applyAlignment="1">
      <alignment vertical="center" wrapText="1"/>
    </xf>
    <xf numFmtId="179" fontId="17" fillId="0" borderId="11" xfId="2" applyNumberFormat="1" applyBorder="1" applyAlignment="1">
      <alignment vertical="center" wrapText="1"/>
    </xf>
    <xf numFmtId="0" fontId="17" fillId="0" borderId="128" xfId="0" applyFont="1" applyBorder="1" applyAlignment="1">
      <alignment vertical="center" wrapText="1"/>
    </xf>
    <xf numFmtId="44" fontId="17" fillId="0" borderId="111" xfId="198" applyFont="1" applyBorder="1" applyAlignment="1" applyProtection="1">
      <alignment horizontal="right" vertical="center" wrapText="1"/>
    </xf>
    <xf numFmtId="0" fontId="39" fillId="0" borderId="111" xfId="75" applyFont="1" applyBorder="1" applyAlignment="1">
      <alignment horizontal="left"/>
    </xf>
    <xf numFmtId="44" fontId="17" fillId="0" borderId="111" xfId="198" applyFont="1" applyBorder="1" applyAlignment="1">
      <alignment horizontal="right" vertical="center"/>
    </xf>
    <xf numFmtId="168" fontId="17" fillId="0" borderId="11" xfId="1" applyNumberFormat="1" applyBorder="1" applyAlignment="1">
      <alignment horizontal="right" vertical="center"/>
    </xf>
    <xf numFmtId="0" fontId="40" fillId="0" borderId="99" xfId="75" applyFont="1" applyBorder="1" applyAlignment="1">
      <alignment horizontal="center" vertical="center"/>
    </xf>
    <xf numFmtId="49" fontId="40" fillId="12" borderId="11" xfId="75" applyNumberFormat="1" applyFont="1" applyFill="1" applyBorder="1" applyAlignment="1">
      <alignment vertical="center"/>
    </xf>
    <xf numFmtId="0" fontId="40" fillId="12" borderId="111" xfId="75" applyFont="1" applyFill="1" applyBorder="1" applyAlignment="1">
      <alignment horizontal="left" vertical="center" wrapText="1"/>
    </xf>
    <xf numFmtId="0" fontId="40" fillId="12" borderId="111" xfId="75" applyFont="1" applyFill="1" applyBorder="1" applyAlignment="1">
      <alignment vertical="top" wrapText="1"/>
    </xf>
    <xf numFmtId="44" fontId="17" fillId="0" borderId="99" xfId="198" applyFont="1" applyFill="1" applyBorder="1" applyAlignment="1" applyProtection="1">
      <alignment horizontal="right" vertical="center"/>
    </xf>
    <xf numFmtId="1" fontId="40" fillId="12" borderId="99" xfId="78" applyNumberFormat="1" applyFont="1" applyFill="1" applyBorder="1" applyAlignment="1">
      <alignment horizontal="center" vertical="center"/>
    </xf>
    <xf numFmtId="44" fontId="17" fillId="12" borderId="111" xfId="0" applyNumberFormat="1" applyFont="1" applyFill="1" applyBorder="1" applyAlignment="1">
      <alignment vertical="center"/>
    </xf>
    <xf numFmtId="0" fontId="40" fillId="0" borderId="111" xfId="75" applyFont="1" applyBorder="1" applyAlignment="1">
      <alignment horizontal="left"/>
    </xf>
    <xf numFmtId="0" fontId="40" fillId="0" borderId="111" xfId="81" applyFont="1" applyBorder="1" applyAlignment="1">
      <alignment horizontal="left" vertical="top"/>
    </xf>
    <xf numFmtId="0" fontId="40" fillId="0" borderId="111" xfId="81" applyFont="1" applyBorder="1" applyAlignment="1">
      <alignment horizontal="center" vertical="center" wrapText="1"/>
    </xf>
    <xf numFmtId="3" fontId="40" fillId="0" borderId="111" xfId="77" applyNumberFormat="1" applyFont="1" applyBorder="1" applyAlignment="1">
      <alignment horizontal="center" vertical="center"/>
    </xf>
    <xf numFmtId="49" fontId="40" fillId="0" borderId="111" xfId="81" applyNumberFormat="1" applyFont="1" applyBorder="1" applyAlignment="1">
      <alignment horizontal="left" vertical="center"/>
    </xf>
    <xf numFmtId="44" fontId="17" fillId="0" borderId="108" xfId="198" applyFont="1" applyBorder="1" applyAlignment="1">
      <alignment horizontal="right" vertical="center"/>
    </xf>
    <xf numFmtId="0" fontId="40" fillId="0" borderId="111" xfId="81" applyFont="1" applyBorder="1" applyAlignment="1">
      <alignment vertical="center"/>
    </xf>
    <xf numFmtId="3" fontId="40" fillId="0" borderId="111" xfId="77" quotePrefix="1" applyNumberFormat="1" applyFont="1" applyBorder="1" applyAlignment="1">
      <alignment horizontal="center" vertical="center"/>
    </xf>
    <xf numFmtId="0" fontId="40" fillId="0" borderId="111" xfId="81" applyFont="1" applyBorder="1" applyAlignment="1">
      <alignment horizontal="left" vertical="center"/>
    </xf>
    <xf numFmtId="44" fontId="17" fillId="0" borderId="108" xfId="198" applyFont="1" applyFill="1" applyBorder="1" applyAlignment="1">
      <alignment horizontal="right" vertical="center"/>
    </xf>
    <xf numFmtId="44" fontId="17" fillId="4" borderId="127" xfId="198" applyFont="1" applyFill="1" applyBorder="1" applyAlignment="1" applyProtection="1">
      <alignment vertical="center"/>
    </xf>
    <xf numFmtId="39" fontId="17" fillId="2" borderId="125" xfId="0" applyNumberFormat="1" applyFont="1" applyFill="1" applyBorder="1" applyAlignment="1">
      <alignment vertical="center"/>
    </xf>
    <xf numFmtId="39" fontId="17" fillId="0" borderId="90" xfId="0" applyNumberFormat="1" applyFont="1" applyBorder="1" applyAlignment="1">
      <alignment vertical="center"/>
    </xf>
    <xf numFmtId="0" fontId="17" fillId="11" borderId="125" xfId="0" applyFont="1" applyFill="1" applyBorder="1" applyAlignment="1">
      <alignment vertical="center"/>
    </xf>
    <xf numFmtId="0" fontId="17" fillId="11" borderId="73" xfId="0" applyFont="1" applyFill="1" applyBorder="1"/>
    <xf numFmtId="39" fontId="17" fillId="2" borderId="74" xfId="0" applyNumberFormat="1" applyFont="1" applyFill="1" applyBorder="1" applyAlignment="1">
      <alignment vertical="center"/>
    </xf>
    <xf numFmtId="0" fontId="17" fillId="11" borderId="74" xfId="0" applyFont="1" applyFill="1" applyBorder="1" applyAlignment="1">
      <alignment vertical="center"/>
    </xf>
    <xf numFmtId="0" fontId="40" fillId="0" borderId="99" xfId="84" applyFont="1" applyBorder="1" applyAlignment="1">
      <alignment horizontal="center" vertical="center"/>
    </xf>
    <xf numFmtId="0" fontId="40" fillId="0" borderId="99" xfId="190" applyFont="1" applyBorder="1" applyAlignment="1">
      <alignment horizontal="center" vertical="center"/>
    </xf>
    <xf numFmtId="44" fontId="71" fillId="0" borderId="125" xfId="198" applyFont="1" applyBorder="1" applyAlignment="1" applyProtection="1">
      <alignment horizontal="right" vertical="center"/>
      <protection locked="0"/>
    </xf>
    <xf numFmtId="0" fontId="39" fillId="0" borderId="10" xfId="2" applyFont="1" applyBorder="1" applyAlignment="1">
      <alignment horizontal="center" vertical="center"/>
    </xf>
    <xf numFmtId="1" fontId="39" fillId="0" borderId="99" xfId="1" applyNumberFormat="1" applyFont="1" applyBorder="1" applyAlignment="1">
      <alignment horizontal="center" vertical="center"/>
    </xf>
    <xf numFmtId="0" fontId="39" fillId="0" borderId="10" xfId="1" applyFont="1" applyBorder="1" applyAlignment="1">
      <alignment horizontal="center" vertical="top"/>
    </xf>
    <xf numFmtId="39" fontId="90" fillId="0" borderId="10" xfId="1" applyNumberFormat="1" applyFont="1" applyBorder="1" applyAlignment="1">
      <alignment horizontal="center" vertical="center"/>
    </xf>
    <xf numFmtId="1" fontId="90" fillId="0" borderId="10" xfId="1" applyNumberFormat="1" applyFont="1" applyBorder="1" applyAlignment="1">
      <alignment horizontal="center" vertical="center"/>
    </xf>
    <xf numFmtId="44" fontId="90" fillId="0" borderId="10" xfId="198" applyFont="1" applyBorder="1" applyAlignment="1" applyProtection="1">
      <alignment horizontal="right" vertical="center"/>
      <protection locked="0"/>
    </xf>
    <xf numFmtId="168" fontId="90" fillId="0" borderId="99" xfId="1" applyNumberFormat="1" applyFont="1" applyBorder="1" applyAlignment="1">
      <alignment horizontal="right" vertical="top"/>
    </xf>
    <xf numFmtId="0" fontId="21" fillId="0" borderId="99" xfId="1" applyFont="1" applyBorder="1" applyAlignment="1">
      <alignment horizontal="center" vertical="center"/>
    </xf>
    <xf numFmtId="39" fontId="73" fillId="0" borderId="10" xfId="1" applyNumberFormat="1" applyFont="1" applyBorder="1" applyAlignment="1">
      <alignment horizontal="center" vertical="center"/>
    </xf>
    <xf numFmtId="1" fontId="73" fillId="0" borderId="10" xfId="1" applyNumberFormat="1" applyFont="1" applyBorder="1" applyAlignment="1">
      <alignment horizontal="center" vertical="center"/>
    </xf>
    <xf numFmtId="44" fontId="73" fillId="0" borderId="10" xfId="198" applyFont="1" applyBorder="1" applyAlignment="1" applyProtection="1">
      <alignment horizontal="right" vertical="center"/>
      <protection locked="0"/>
    </xf>
    <xf numFmtId="168" fontId="73" fillId="0" borderId="99" xfId="1" applyNumberFormat="1" applyFont="1" applyBorder="1" applyAlignment="1">
      <alignment horizontal="right" vertical="top"/>
    </xf>
    <xf numFmtId="0" fontId="21" fillId="0" borderId="99" xfId="2" applyFont="1" applyBorder="1" applyAlignment="1">
      <alignment horizontal="center" vertical="center" wrapText="1"/>
    </xf>
    <xf numFmtId="172" fontId="17" fillId="0" borderId="11" xfId="35" applyFont="1" applyBorder="1" applyAlignment="1">
      <alignment horizontal="center" vertical="top"/>
    </xf>
    <xf numFmtId="172" fontId="17" fillId="0" borderId="11" xfId="35" applyFont="1" applyBorder="1" applyAlignment="1">
      <alignment vertical="top" wrapText="1"/>
    </xf>
    <xf numFmtId="172" fontId="21" fillId="0" borderId="11" xfId="35" applyFont="1" applyBorder="1" applyAlignment="1">
      <alignment vertical="top" wrapText="1"/>
    </xf>
    <xf numFmtId="172" fontId="17" fillId="0" borderId="11" xfId="35" applyFont="1" applyBorder="1" applyAlignment="1">
      <alignment horizontal="center" vertical="center"/>
    </xf>
    <xf numFmtId="172" fontId="21" fillId="0" borderId="11" xfId="35" applyFont="1" applyBorder="1" applyAlignment="1">
      <alignment vertical="center" wrapText="1"/>
    </xf>
    <xf numFmtId="172" fontId="71" fillId="0" borderId="118" xfId="35" applyFont="1" applyBorder="1" applyAlignment="1">
      <alignment horizontal="center" vertical="center"/>
    </xf>
    <xf numFmtId="172" fontId="21" fillId="0" borderId="95" xfId="35" applyFont="1" applyBorder="1" applyAlignment="1">
      <alignment vertical="top" wrapText="1"/>
    </xf>
    <xf numFmtId="172" fontId="17" fillId="0" borderId="95" xfId="35" applyFont="1" applyBorder="1" applyAlignment="1">
      <alignment vertical="top" wrapText="1"/>
    </xf>
    <xf numFmtId="49" fontId="17" fillId="2" borderId="124" xfId="2" applyNumberFormat="1" applyFill="1" applyBorder="1" applyAlignment="1">
      <alignment horizontal="center" vertical="center"/>
    </xf>
    <xf numFmtId="44" fontId="71" fillId="4" borderId="125" xfId="198" applyFont="1" applyFill="1" applyBorder="1" applyAlignment="1" applyProtection="1">
      <alignment vertical="center"/>
      <protection locked="0"/>
    </xf>
    <xf numFmtId="39" fontId="71" fillId="2" borderId="127" xfId="2" applyNumberFormat="1" applyFont="1" applyFill="1" applyBorder="1"/>
    <xf numFmtId="49" fontId="17" fillId="2" borderId="132" xfId="2" applyNumberFormat="1" applyFill="1" applyBorder="1" applyAlignment="1">
      <alignment horizontal="center" vertical="center"/>
    </xf>
    <xf numFmtId="44" fontId="71" fillId="4" borderId="131" xfId="198" applyFont="1" applyFill="1" applyBorder="1" applyAlignment="1" applyProtection="1">
      <alignment vertical="center"/>
      <protection locked="0"/>
    </xf>
    <xf numFmtId="44" fontId="21" fillId="2" borderId="131" xfId="198" applyFont="1" applyFill="1" applyBorder="1" applyProtection="1"/>
    <xf numFmtId="0" fontId="71" fillId="0" borderId="111" xfId="2" applyFont="1" applyBorder="1"/>
    <xf numFmtId="0" fontId="17" fillId="0" borderId="108" xfId="2" applyBorder="1" applyAlignment="1">
      <alignment horizontal="center" vertical="top"/>
    </xf>
    <xf numFmtId="0" fontId="21" fillId="0" borderId="95" xfId="2" applyFont="1" applyBorder="1" applyAlignment="1">
      <alignment horizontal="left" vertical="top" wrapText="1"/>
    </xf>
    <xf numFmtId="0" fontId="17" fillId="0" borderId="95" xfId="2" applyBorder="1" applyAlignment="1">
      <alignment horizontal="center" vertical="center"/>
    </xf>
    <xf numFmtId="0" fontId="17" fillId="0" borderId="120" xfId="2" applyBorder="1" applyAlignment="1">
      <alignment horizontal="center" vertical="top"/>
    </xf>
    <xf numFmtId="0" fontId="21" fillId="0" borderId="95" xfId="2" applyFont="1" applyBorder="1" applyAlignment="1">
      <alignment vertical="top" wrapText="1"/>
    </xf>
    <xf numFmtId="1" fontId="71" fillId="0" borderId="126" xfId="2" applyNumberFormat="1" applyFont="1" applyBorder="1" applyAlignment="1">
      <alignment horizontal="center" vertical="center"/>
    </xf>
    <xf numFmtId="0" fontId="17" fillId="0" borderId="95" xfId="2" applyBorder="1" applyAlignment="1">
      <alignment vertical="top" wrapText="1"/>
    </xf>
    <xf numFmtId="0" fontId="71" fillId="0" borderId="95" xfId="2" applyFont="1" applyBorder="1" applyAlignment="1">
      <alignment horizontal="center" vertical="center"/>
    </xf>
    <xf numFmtId="0" fontId="71" fillId="0" borderId="108" xfId="2" applyFont="1" applyBorder="1" applyAlignment="1">
      <alignment horizontal="center" vertical="top"/>
    </xf>
    <xf numFmtId="0" fontId="71" fillId="0" borderId="95" xfId="2" applyFont="1" applyBorder="1" applyAlignment="1">
      <alignment vertical="top" wrapText="1"/>
    </xf>
    <xf numFmtId="0" fontId="71" fillId="0" borderId="126" xfId="2" applyFont="1" applyBorder="1" applyAlignment="1">
      <alignment horizontal="center" vertical="top"/>
    </xf>
    <xf numFmtId="0" fontId="0" fillId="0" borderId="95" xfId="2" applyFont="1" applyBorder="1" applyAlignment="1">
      <alignment horizontal="center" vertical="center"/>
    </xf>
    <xf numFmtId="0" fontId="0" fillId="0" borderId="108" xfId="2" applyFont="1" applyBorder="1" applyAlignment="1">
      <alignment horizontal="center" vertical="top"/>
    </xf>
    <xf numFmtId="0" fontId="0" fillId="0" borderId="95" xfId="2" applyFont="1" applyBorder="1" applyAlignment="1">
      <alignment vertical="top" wrapText="1"/>
    </xf>
    <xf numFmtId="2" fontId="71" fillId="0" borderId="126" xfId="45" applyNumberFormat="1" applyFont="1" applyBorder="1" applyAlignment="1">
      <alignment horizontal="center" vertical="center" wrapText="1"/>
    </xf>
    <xf numFmtId="49" fontId="21" fillId="0" borderId="126" xfId="45" applyNumberFormat="1" applyFont="1" applyBorder="1" applyAlignment="1">
      <alignment horizontal="center" vertical="center" wrapText="1"/>
    </xf>
    <xf numFmtId="2" fontId="21" fillId="0" borderId="111" xfId="45" applyNumberFormat="1" applyFont="1" applyBorder="1" applyAlignment="1">
      <alignment horizontal="left" wrapText="1"/>
    </xf>
    <xf numFmtId="1" fontId="71" fillId="0" borderId="126" xfId="45" applyNumberFormat="1" applyFont="1" applyBorder="1" applyAlignment="1">
      <alignment horizontal="center" vertical="center" wrapText="1"/>
    </xf>
    <xf numFmtId="2" fontId="17" fillId="0" borderId="111" xfId="45" applyNumberFormat="1" applyFont="1" applyBorder="1" applyAlignment="1">
      <alignment wrapText="1"/>
    </xf>
    <xf numFmtId="2" fontId="71" fillId="0" borderId="111" xfId="45" applyNumberFormat="1" applyFont="1" applyBorder="1" applyAlignment="1">
      <alignment wrapText="1"/>
    </xf>
    <xf numFmtId="0" fontId="21" fillId="0" borderId="111" xfId="2" applyFont="1" applyBorder="1" applyAlignment="1">
      <alignment horizontal="left"/>
    </xf>
    <xf numFmtId="0" fontId="21" fillId="0" borderId="111" xfId="45" applyFont="1" applyBorder="1" applyAlignment="1">
      <alignment horizontal="left" wrapText="1"/>
    </xf>
    <xf numFmtId="2" fontId="21" fillId="0" borderId="111" xfId="45" applyNumberFormat="1" applyFont="1" applyBorder="1" applyAlignment="1">
      <alignment wrapText="1"/>
    </xf>
    <xf numFmtId="0" fontId="71" fillId="0" borderId="111" xfId="45" applyFont="1" applyBorder="1" applyAlignment="1">
      <alignment horizontal="center" wrapText="1"/>
    </xf>
    <xf numFmtId="172" fontId="17" fillId="0" borderId="95" xfId="0" applyNumberFormat="1" applyFont="1" applyBorder="1" applyAlignment="1">
      <alignment horizontal="center"/>
    </xf>
    <xf numFmtId="172" fontId="17" fillId="0" borderId="95" xfId="0" applyNumberFormat="1" applyFont="1" applyBorder="1"/>
    <xf numFmtId="172" fontId="21" fillId="0" borderId="95" xfId="0" applyNumberFormat="1" applyFont="1" applyBorder="1"/>
    <xf numFmtId="172" fontId="17" fillId="0" borderId="111" xfId="0" applyNumberFormat="1" applyFont="1" applyBorder="1" applyAlignment="1">
      <alignment horizontal="center"/>
    </xf>
    <xf numFmtId="0" fontId="17" fillId="0" borderId="126" xfId="2" applyBorder="1" applyAlignment="1">
      <alignment horizontal="center" vertical="center" wrapText="1"/>
    </xf>
    <xf numFmtId="2" fontId="71" fillId="0" borderId="111" xfId="45" applyNumberFormat="1" applyFont="1" applyBorder="1" applyAlignment="1">
      <alignment horizontal="center" vertical="center"/>
    </xf>
    <xf numFmtId="178" fontId="21" fillId="0" borderId="126" xfId="35" applyNumberFormat="1" applyFont="1" applyBorder="1" applyAlignment="1">
      <alignment horizontal="center" vertical="top"/>
    </xf>
    <xf numFmtId="172" fontId="73" fillId="0" borderId="111" xfId="35" applyFont="1" applyBorder="1" applyAlignment="1">
      <alignment horizontal="center" vertical="top"/>
    </xf>
    <xf numFmtId="0" fontId="17" fillId="0" borderId="115" xfId="2" applyBorder="1" applyAlignment="1">
      <alignment horizontal="left" wrapText="1"/>
    </xf>
    <xf numFmtId="0" fontId="73" fillId="0" borderId="111" xfId="2" applyFont="1" applyBorder="1" applyAlignment="1">
      <alignment horizontal="center"/>
    </xf>
    <xf numFmtId="44" fontId="71" fillId="0" borderId="111" xfId="2" applyNumberFormat="1" applyFont="1" applyBorder="1"/>
    <xf numFmtId="172" fontId="17" fillId="0" borderId="95" xfId="44" applyFont="1" applyBorder="1" applyAlignment="1">
      <alignment horizontal="right" vertical="top" wrapText="1"/>
    </xf>
    <xf numFmtId="0" fontId="71" fillId="0" borderId="115" xfId="2" applyFont="1" applyBorder="1" applyAlignment="1">
      <alignment horizontal="center" vertical="center"/>
    </xf>
    <xf numFmtId="0" fontId="17" fillId="0" borderId="131" xfId="2" applyBorder="1" applyAlignment="1">
      <alignment horizontal="center" vertical="center"/>
    </xf>
    <xf numFmtId="0" fontId="17" fillId="2" borderId="115" xfId="1" applyFill="1" applyBorder="1" applyAlignment="1">
      <alignment horizontal="center" vertical="center"/>
    </xf>
    <xf numFmtId="168" fontId="71" fillId="2" borderId="127" xfId="1" applyNumberFormat="1" applyFont="1" applyFill="1" applyBorder="1" applyAlignment="1">
      <alignment horizontal="right" vertical="top"/>
    </xf>
    <xf numFmtId="0" fontId="21" fillId="2" borderId="132" xfId="1" applyFont="1" applyFill="1" applyBorder="1" applyAlignment="1">
      <alignment horizontal="center" vertical="center"/>
    </xf>
    <xf numFmtId="44" fontId="73" fillId="2" borderId="131" xfId="198" applyFont="1" applyFill="1" applyBorder="1" applyAlignment="1" applyProtection="1">
      <alignment horizontal="right" vertical="center"/>
    </xf>
    <xf numFmtId="44" fontId="21" fillId="2" borderId="131" xfId="198" applyFont="1" applyFill="1" applyBorder="1" applyAlignment="1" applyProtection="1">
      <alignment horizontal="right" vertical="top"/>
    </xf>
    <xf numFmtId="0" fontId="17" fillId="0" borderId="115" xfId="2" applyBorder="1" applyAlignment="1">
      <alignment horizontal="center"/>
    </xf>
    <xf numFmtId="39" fontId="71" fillId="0" borderId="111" xfId="1" applyNumberFormat="1" applyFont="1" applyBorder="1" applyAlignment="1">
      <alignment horizontal="center" vertical="center"/>
    </xf>
    <xf numFmtId="1" fontId="90" fillId="0" borderId="111" xfId="87" applyNumberFormat="1" applyFont="1" applyBorder="1" applyAlignment="1">
      <alignment horizontal="center" vertical="center"/>
    </xf>
    <xf numFmtId="0" fontId="71" fillId="0" borderId="111" xfId="87" applyFont="1" applyBorder="1" applyAlignment="1">
      <alignment horizontal="center" vertical="distributed"/>
    </xf>
    <xf numFmtId="44" fontId="71" fillId="0" borderId="111" xfId="277" applyFont="1" applyBorder="1" applyAlignment="1">
      <alignment vertical="distributed"/>
    </xf>
    <xf numFmtId="0" fontId="21" fillId="0" borderId="115" xfId="2" applyFont="1" applyBorder="1" applyAlignment="1">
      <alignment horizontal="center"/>
    </xf>
    <xf numFmtId="0" fontId="71" fillId="0" borderId="111" xfId="87" applyFont="1" applyBorder="1" applyAlignment="1">
      <alignment horizontal="center" vertical="center"/>
    </xf>
    <xf numFmtId="0" fontId="32" fillId="0" borderId="111" xfId="0" applyFont="1" applyBorder="1" applyAlignment="1">
      <alignment horizontal="left" vertical="center" wrapText="1"/>
    </xf>
    <xf numFmtId="1" fontId="17" fillId="0" borderId="115" xfId="2" applyNumberFormat="1" applyBorder="1" applyAlignment="1">
      <alignment horizontal="center"/>
    </xf>
    <xf numFmtId="0" fontId="21" fillId="0" borderId="115" xfId="1" applyFont="1" applyBorder="1" applyAlignment="1">
      <alignment horizontal="center" vertical="center"/>
    </xf>
    <xf numFmtId="0" fontId="21" fillId="0" borderId="115" xfId="2" applyFont="1" applyBorder="1" applyAlignment="1">
      <alignment horizontal="center" vertical="center" wrapText="1"/>
    </xf>
    <xf numFmtId="0" fontId="21" fillId="0" borderId="115" xfId="2" applyFont="1" applyBorder="1" applyAlignment="1">
      <alignment vertical="center" wrapText="1"/>
    </xf>
    <xf numFmtId="171" fontId="71" fillId="0" borderId="111" xfId="1" applyNumberFormat="1" applyFont="1" applyBorder="1" applyAlignment="1">
      <alignment horizontal="center" vertical="center"/>
    </xf>
    <xf numFmtId="172" fontId="68" fillId="0" borderId="111" xfId="35" applyFont="1" applyBorder="1" applyAlignment="1">
      <alignment horizontal="center" vertical="top"/>
    </xf>
    <xf numFmtId="172" fontId="68" fillId="0" borderId="111" xfId="35" applyFont="1" applyBorder="1" applyAlignment="1">
      <alignment horizontal="center" vertical="center"/>
    </xf>
    <xf numFmtId="171" fontId="68" fillId="0" borderId="111" xfId="1" applyNumberFormat="1" applyFont="1" applyBorder="1" applyAlignment="1">
      <alignment horizontal="center" vertical="center"/>
    </xf>
    <xf numFmtId="0" fontId="68" fillId="0" borderId="115" xfId="2" applyFont="1" applyBorder="1" applyAlignment="1">
      <alignment horizontal="center"/>
    </xf>
    <xf numFmtId="171" fontId="17" fillId="0" borderId="111" xfId="2" applyNumberFormat="1" applyBorder="1" applyAlignment="1">
      <alignment horizontal="center" vertical="center"/>
    </xf>
    <xf numFmtId="189" fontId="17" fillId="0" borderId="111" xfId="2" applyNumberFormat="1" applyBorder="1" applyAlignment="1" applyProtection="1">
      <alignment horizontal="right" vertical="top"/>
      <protection locked="0"/>
    </xf>
    <xf numFmtId="44" fontId="71" fillId="4" borderId="127" xfId="198" applyFont="1" applyFill="1" applyBorder="1" applyAlignment="1" applyProtection="1">
      <alignment vertical="center"/>
      <protection locked="0"/>
    </xf>
    <xf numFmtId="39" fontId="71" fillId="2" borderId="125" xfId="2" applyNumberFormat="1" applyFont="1" applyFill="1" applyBorder="1"/>
    <xf numFmtId="44" fontId="73" fillId="2" borderId="131" xfId="198" applyFont="1" applyFill="1" applyBorder="1"/>
    <xf numFmtId="172" fontId="17" fillId="0" borderId="125" xfId="35" applyFont="1" applyBorder="1" applyAlignment="1">
      <alignment horizontal="center" vertical="center"/>
    </xf>
    <xf numFmtId="0" fontId="17" fillId="0" borderId="127" xfId="2" applyBorder="1" applyAlignment="1">
      <alignment horizontal="center" wrapText="1"/>
    </xf>
    <xf numFmtId="0" fontId="22" fillId="0" borderId="125" xfId="2" applyFont="1" applyBorder="1" applyAlignment="1">
      <alignment horizontal="right"/>
    </xf>
    <xf numFmtId="1" fontId="17" fillId="0" borderId="115" xfId="2" applyNumberFormat="1" applyBorder="1" applyAlignment="1">
      <alignment horizontal="center" vertical="center"/>
    </xf>
    <xf numFmtId="0" fontId="71" fillId="0" borderId="115" xfId="2" applyFont="1" applyBorder="1" applyAlignment="1">
      <alignment horizontal="center"/>
    </xf>
    <xf numFmtId="49" fontId="71" fillId="0" borderId="111" xfId="2" applyNumberFormat="1" applyFont="1" applyBorder="1" applyAlignment="1">
      <alignment horizontal="center"/>
    </xf>
    <xf numFmtId="0" fontId="71" fillId="0" borderId="99" xfId="2" applyFont="1" applyBorder="1" applyAlignment="1">
      <alignment horizontal="left" wrapText="1"/>
    </xf>
    <xf numFmtId="172" fontId="73" fillId="0" borderId="99" xfId="35" applyFont="1" applyBorder="1" applyAlignment="1">
      <alignment vertical="top" wrapText="1"/>
    </xf>
    <xf numFmtId="44" fontId="17" fillId="0" borderId="115" xfId="198" applyFont="1" applyBorder="1" applyAlignment="1" applyProtection="1">
      <alignment horizontal="center"/>
      <protection locked="0"/>
    </xf>
    <xf numFmtId="0" fontId="17" fillId="0" borderId="118" xfId="2" applyBorder="1" applyAlignment="1">
      <alignment horizontal="center" vertical="center"/>
    </xf>
    <xf numFmtId="172" fontId="17" fillId="0" borderId="95" xfId="35" applyFont="1" applyBorder="1" applyAlignment="1">
      <alignment horizontal="center" vertical="center"/>
    </xf>
    <xf numFmtId="39" fontId="71" fillId="0" borderId="10" xfId="0" applyNumberFormat="1" applyFont="1" applyBorder="1"/>
    <xf numFmtId="0" fontId="17" fillId="0" borderId="108" xfId="87" applyFont="1" applyBorder="1" applyAlignment="1">
      <alignment horizontal="center" vertical="top"/>
    </xf>
    <xf numFmtId="0" fontId="71" fillId="0" borderId="111" xfId="221" applyFont="1" applyBorder="1" applyAlignment="1">
      <alignment horizontal="left" vertical="top" wrapText="1"/>
    </xf>
    <xf numFmtId="0" fontId="71" fillId="0" borderId="111" xfId="221" applyFont="1" applyBorder="1" applyAlignment="1">
      <alignment horizontal="center" vertical="center"/>
    </xf>
    <xf numFmtId="0" fontId="17" fillId="0" borderId="115" xfId="87" applyFont="1" applyBorder="1" applyAlignment="1">
      <alignment horizontal="center" vertical="center"/>
    </xf>
    <xf numFmtId="0" fontId="17" fillId="0" borderId="111" xfId="87" applyFont="1" applyBorder="1" applyAlignment="1">
      <alignment horizontal="center" vertical="top"/>
    </xf>
    <xf numFmtId="0" fontId="17" fillId="0" borderId="111" xfId="87" applyFont="1" applyBorder="1" applyAlignment="1">
      <alignment horizontal="left" vertical="top" wrapText="1"/>
    </xf>
    <xf numFmtId="49" fontId="73" fillId="0" borderId="111" xfId="29" applyNumberFormat="1" applyFont="1" applyBorder="1" applyAlignment="1">
      <alignment horizontal="center" vertical="center"/>
    </xf>
    <xf numFmtId="0" fontId="21" fillId="0" borderId="111" xfId="29" applyFont="1" applyBorder="1" applyAlignment="1">
      <alignment horizontal="center" vertical="center" wrapText="1"/>
    </xf>
    <xf numFmtId="0" fontId="73" fillId="0" borderId="111" xfId="29" applyFont="1" applyBorder="1" applyAlignment="1">
      <alignment vertical="center"/>
    </xf>
    <xf numFmtId="0" fontId="73" fillId="0" borderId="111" xfId="29" applyFont="1" applyBorder="1" applyAlignment="1">
      <alignment horizontal="center" vertical="center"/>
    </xf>
    <xf numFmtId="193" fontId="73" fillId="0" borderId="111" xfId="29" applyNumberFormat="1" applyFont="1" applyBorder="1" applyAlignment="1">
      <alignment horizontal="center" vertical="center"/>
    </xf>
    <xf numFmtId="44" fontId="73" fillId="0" borderId="111" xfId="277" applyFont="1" applyBorder="1" applyAlignment="1" applyProtection="1">
      <alignment horizontal="center" vertical="center"/>
      <protection locked="0"/>
    </xf>
    <xf numFmtId="0" fontId="17" fillId="0" borderId="111" xfId="29" applyBorder="1" applyAlignment="1">
      <alignment horizontal="center" vertical="center"/>
    </xf>
    <xf numFmtId="0" fontId="73" fillId="0" borderId="111" xfId="29" applyFont="1" applyBorder="1"/>
    <xf numFmtId="0" fontId="71" fillId="0" borderId="111" xfId="29" applyFont="1" applyBorder="1" applyAlignment="1">
      <alignment wrapText="1"/>
    </xf>
    <xf numFmtId="0" fontId="17" fillId="0" borderId="111" xfId="29" applyBorder="1" applyAlignment="1">
      <alignment horizontal="center" vertical="top"/>
    </xf>
    <xf numFmtId="0" fontId="73" fillId="0" borderId="111" xfId="29" applyFont="1" applyBorder="1" applyAlignment="1">
      <alignment wrapText="1"/>
    </xf>
    <xf numFmtId="44" fontId="71" fillId="0" borderId="111" xfId="277" applyFont="1" applyBorder="1" applyAlignment="1" applyProtection="1">
      <alignment vertical="center"/>
      <protection locked="0"/>
    </xf>
    <xf numFmtId="193" fontId="71" fillId="0" borderId="111" xfId="1" applyNumberFormat="1" applyFont="1" applyBorder="1" applyAlignment="1">
      <alignment horizontal="center" vertical="center"/>
    </xf>
    <xf numFmtId="49" fontId="71" fillId="0" borderId="111" xfId="29" applyNumberFormat="1" applyFont="1" applyBorder="1" applyAlignment="1">
      <alignment horizontal="center" vertical="center" wrapText="1"/>
    </xf>
    <xf numFmtId="178" fontId="73" fillId="0" borderId="111" xfId="29" applyNumberFormat="1" applyFont="1" applyBorder="1" applyAlignment="1">
      <alignment horizontal="center" vertical="center"/>
    </xf>
    <xf numFmtId="0" fontId="71" fillId="0" borderId="111" xfId="29" applyFont="1" applyBorder="1" applyAlignment="1">
      <alignment horizontal="center" vertical="top"/>
    </xf>
    <xf numFmtId="0" fontId="71" fillId="0" borderId="111" xfId="29" applyFont="1" applyBorder="1" applyAlignment="1">
      <alignment vertical="top" wrapText="1"/>
    </xf>
    <xf numFmtId="192" fontId="71" fillId="0" borderId="111" xfId="29" applyNumberFormat="1" applyFont="1" applyBorder="1" applyAlignment="1">
      <alignment horizontal="center" vertical="center"/>
    </xf>
    <xf numFmtId="193" fontId="71" fillId="0" borderId="111" xfId="29" applyNumberFormat="1" applyFont="1" applyBorder="1" applyAlignment="1">
      <alignment horizontal="center" vertical="center"/>
    </xf>
    <xf numFmtId="44" fontId="71" fillId="0" borderId="111" xfId="277" applyFont="1" applyBorder="1" applyAlignment="1" applyProtection="1">
      <alignment horizontal="right" vertical="center"/>
      <protection locked="0"/>
    </xf>
    <xf numFmtId="0" fontId="71" fillId="0" borderId="111" xfId="29" applyFont="1" applyBorder="1" applyAlignment="1">
      <alignment horizontal="left" vertical="top" wrapText="1"/>
    </xf>
    <xf numFmtId="2" fontId="71" fillId="0" borderId="111" xfId="29" applyNumberFormat="1" applyFont="1" applyBorder="1" applyAlignment="1">
      <alignment horizontal="center" vertical="top"/>
    </xf>
    <xf numFmtId="0" fontId="73" fillId="0" borderId="120" xfId="221" applyFont="1" applyBorder="1" applyAlignment="1">
      <alignment horizontal="left" vertical="top" wrapText="1"/>
    </xf>
    <xf numFmtId="0" fontId="73" fillId="0" borderId="111" xfId="29" applyFont="1" applyBorder="1" applyAlignment="1">
      <alignment horizontal="left" wrapText="1"/>
    </xf>
    <xf numFmtId="0" fontId="71" fillId="0" borderId="111" xfId="29" applyFont="1" applyBorder="1" applyAlignment="1">
      <alignment horizontal="left"/>
    </xf>
    <xf numFmtId="0" fontId="71" fillId="0" borderId="111" xfId="29" applyFont="1" applyBorder="1" applyAlignment="1">
      <alignment horizontal="left" wrapText="1"/>
    </xf>
    <xf numFmtId="191" fontId="71" fillId="0" borderId="111" xfId="29" applyNumberFormat="1" applyFont="1" applyBorder="1" applyAlignment="1">
      <alignment horizontal="center" vertical="center"/>
    </xf>
    <xf numFmtId="0" fontId="87" fillId="0" borderId="111" xfId="29" applyFont="1" applyBorder="1" applyAlignment="1">
      <alignment horizontal="right"/>
    </xf>
    <xf numFmtId="49" fontId="21" fillId="0" borderId="111" xfId="44" applyNumberFormat="1" applyFont="1" applyBorder="1" applyAlignment="1">
      <alignment horizontal="center" vertical="center"/>
    </xf>
    <xf numFmtId="44" fontId="71" fillId="0" borderId="111" xfId="277" applyFont="1" applyBorder="1" applyAlignment="1">
      <alignment vertical="center"/>
    </xf>
    <xf numFmtId="44" fontId="71" fillId="0" borderId="111" xfId="277" applyFont="1" applyBorder="1" applyAlignment="1">
      <alignment horizontal="right" vertical="center"/>
    </xf>
    <xf numFmtId="0" fontId="73" fillId="2" borderId="124" xfId="29" applyFont="1" applyFill="1" applyBorder="1" applyAlignment="1">
      <alignment horizontal="center" vertical="center"/>
    </xf>
    <xf numFmtId="0" fontId="73" fillId="2" borderId="127" xfId="29" applyFont="1" applyFill="1" applyBorder="1" applyAlignment="1" applyProtection="1">
      <alignment vertical="center"/>
      <protection locked="0"/>
    </xf>
    <xf numFmtId="44" fontId="73" fillId="2" borderId="125" xfId="277" applyFont="1" applyFill="1" applyBorder="1" applyAlignment="1">
      <alignment vertical="center"/>
    </xf>
    <xf numFmtId="0" fontId="73" fillId="2" borderId="132" xfId="29" applyFont="1" applyFill="1" applyBorder="1" applyAlignment="1">
      <alignment horizontal="center" vertical="center"/>
    </xf>
    <xf numFmtId="44" fontId="73" fillId="2" borderId="131" xfId="277" applyFont="1" applyFill="1" applyBorder="1" applyAlignment="1">
      <alignment vertical="center"/>
    </xf>
    <xf numFmtId="0" fontId="17" fillId="0" borderId="111" xfId="29" applyBorder="1" applyAlignment="1">
      <alignment horizontal="center" vertical="center" wrapText="1"/>
    </xf>
    <xf numFmtId="0" fontId="73" fillId="0" borderId="111" xfId="29" applyFont="1" applyBorder="1" applyAlignment="1">
      <alignment horizontal="left" vertical="center" wrapText="1"/>
    </xf>
    <xf numFmtId="44" fontId="71" fillId="0" borderId="115" xfId="277" applyFont="1" applyBorder="1" applyAlignment="1" applyProtection="1">
      <alignment horizontal="center" vertical="center"/>
      <protection locked="0"/>
    </xf>
    <xf numFmtId="193" fontId="73" fillId="0" borderId="111" xfId="35" applyNumberFormat="1" applyFont="1" applyBorder="1" applyAlignment="1">
      <alignment horizontal="center" vertical="center"/>
    </xf>
    <xf numFmtId="44" fontId="73" fillId="0" borderId="115" xfId="277" applyFont="1" applyBorder="1" applyAlignment="1" applyProtection="1">
      <alignment horizontal="center" vertical="center"/>
      <protection locked="0"/>
    </xf>
    <xf numFmtId="2" fontId="71" fillId="0" borderId="111" xfId="29" applyNumberFormat="1" applyFont="1" applyBorder="1" applyAlignment="1">
      <alignment horizontal="center" vertical="center"/>
    </xf>
    <xf numFmtId="172" fontId="17" fillId="0" borderId="111" xfId="35" applyFont="1" applyBorder="1" applyAlignment="1">
      <alignment horizontal="center" vertical="center" wrapText="1"/>
    </xf>
    <xf numFmtId="172" fontId="71" fillId="0" borderId="111" xfId="35" applyFont="1" applyBorder="1" applyAlignment="1">
      <alignment vertical="center" wrapText="1"/>
    </xf>
    <xf numFmtId="0" fontId="71" fillId="0" borderId="111" xfId="29" applyFont="1" applyBorder="1" applyAlignment="1">
      <alignment horizontal="left" vertical="top"/>
    </xf>
    <xf numFmtId="0" fontId="71" fillId="0" borderId="111" xfId="29" applyFont="1" applyBorder="1" applyAlignment="1">
      <alignment horizontal="left" vertical="center" wrapText="1"/>
    </xf>
    <xf numFmtId="49" fontId="71" fillId="0" borderId="111" xfId="29" applyNumberFormat="1" applyFont="1" applyBorder="1" applyAlignment="1">
      <alignment horizontal="left"/>
    </xf>
    <xf numFmtId="171" fontId="71" fillId="0" borderId="111" xfId="35" applyNumberFormat="1" applyFont="1" applyBorder="1" applyAlignment="1">
      <alignment horizontal="center" vertical="center"/>
    </xf>
    <xf numFmtId="49" fontId="21" fillId="0" borderId="111" xfId="29" applyNumberFormat="1" applyFont="1" applyBorder="1" applyAlignment="1">
      <alignment horizontal="center" vertical="center" wrapText="1"/>
    </xf>
    <xf numFmtId="172" fontId="73" fillId="0" borderId="111" xfId="35" applyFont="1" applyBorder="1" applyAlignment="1">
      <alignment vertical="center" wrapText="1"/>
    </xf>
    <xf numFmtId="171" fontId="73" fillId="0" borderId="111" xfId="29" applyNumberFormat="1" applyFont="1" applyBorder="1" applyAlignment="1">
      <alignment horizontal="center" vertical="center"/>
    </xf>
    <xf numFmtId="0" fontId="73" fillId="0" borderId="115" xfId="276" applyFont="1" applyBorder="1" applyAlignment="1">
      <alignment horizontal="center" vertical="center"/>
    </xf>
    <xf numFmtId="0" fontId="71" fillId="0" borderId="115" xfId="276" applyFont="1" applyBorder="1" applyAlignment="1">
      <alignment horizontal="center"/>
    </xf>
    <xf numFmtId="0" fontId="17" fillId="0" borderId="120" xfId="29" applyBorder="1" applyAlignment="1">
      <alignment horizontal="center" vertical="top" wrapText="1"/>
    </xf>
    <xf numFmtId="0" fontId="73" fillId="0" borderId="95" xfId="29" applyFont="1" applyBorder="1" applyAlignment="1">
      <alignment vertical="top" wrapText="1"/>
    </xf>
    <xf numFmtId="0" fontId="71" fillId="0" borderId="95" xfId="29" applyFont="1" applyBorder="1" applyAlignment="1">
      <alignment horizontal="center" vertical="top"/>
    </xf>
    <xf numFmtId="44" fontId="71" fillId="0" borderId="111" xfId="277" applyFont="1" applyBorder="1" applyAlignment="1" applyProtection="1">
      <alignment horizontal="center" vertical="distributed"/>
      <protection locked="0"/>
    </xf>
    <xf numFmtId="0" fontId="71" fillId="0" borderId="95" xfId="29" applyFont="1" applyBorder="1" applyAlignment="1">
      <alignment horizontal="left" vertical="top" wrapText="1"/>
    </xf>
    <xf numFmtId="49" fontId="73" fillId="0" borderId="111" xfId="29" applyNumberFormat="1" applyFont="1" applyBorder="1" applyAlignment="1">
      <alignment horizontal="center" vertical="center" wrapText="1"/>
    </xf>
    <xf numFmtId="0" fontId="71" fillId="0" borderId="115" xfId="276" applyFont="1" applyBorder="1" applyAlignment="1">
      <alignment horizontal="center" vertical="center"/>
    </xf>
    <xf numFmtId="0" fontId="71" fillId="0" borderId="108" xfId="29" applyFont="1" applyBorder="1" applyAlignment="1">
      <alignment horizontal="center" vertical="top"/>
    </xf>
    <xf numFmtId="0" fontId="73" fillId="0" borderId="95" xfId="29" applyFont="1" applyBorder="1" applyAlignment="1">
      <alignment horizontal="left" vertical="top" wrapText="1"/>
    </xf>
    <xf numFmtId="0" fontId="71" fillId="0" borderId="126" xfId="29" applyFont="1" applyBorder="1" applyAlignment="1">
      <alignment vertical="top" wrapText="1"/>
    </xf>
    <xf numFmtId="0" fontId="71" fillId="0" borderId="108" xfId="29" applyFont="1" applyBorder="1" applyAlignment="1">
      <alignment horizontal="center" vertical="center"/>
    </xf>
    <xf numFmtId="0" fontId="73" fillId="0" borderId="126" xfId="29" applyFont="1" applyBorder="1" applyAlignment="1">
      <alignment horizontal="left" vertical="center" wrapText="1"/>
    </xf>
    <xf numFmtId="0" fontId="71" fillId="0" borderId="126" xfId="29" applyFont="1" applyBorder="1" applyAlignment="1">
      <alignment horizontal="left" vertical="top" wrapText="1"/>
    </xf>
    <xf numFmtId="44" fontId="21" fillId="2" borderId="131" xfId="277" applyFont="1" applyFill="1" applyBorder="1" applyAlignment="1">
      <alignment vertical="center"/>
    </xf>
    <xf numFmtId="49" fontId="71" fillId="0" borderId="125" xfId="29" applyNumberFormat="1" applyFont="1" applyBorder="1" applyAlignment="1">
      <alignment horizontal="center"/>
    </xf>
    <xf numFmtId="0" fontId="17" fillId="0" borderId="125" xfId="29" applyBorder="1" applyAlignment="1">
      <alignment horizontal="center"/>
    </xf>
    <xf numFmtId="0" fontId="71" fillId="0" borderId="125" xfId="29" applyFont="1" applyBorder="1" applyAlignment="1">
      <alignment horizontal="right"/>
    </xf>
    <xf numFmtId="0" fontId="71" fillId="0" borderId="125" xfId="29" applyFont="1" applyBorder="1" applyAlignment="1">
      <alignment horizontal="center" vertical="center"/>
    </xf>
    <xf numFmtId="193" fontId="71" fillId="0" borderId="125" xfId="29" applyNumberFormat="1" applyFont="1" applyBorder="1" applyAlignment="1">
      <alignment horizontal="center" vertical="center"/>
    </xf>
    <xf numFmtId="44" fontId="71" fillId="0" borderId="125" xfId="277" applyFont="1" applyBorder="1" applyAlignment="1" applyProtection="1">
      <alignment vertical="center"/>
      <protection locked="0"/>
    </xf>
    <xf numFmtId="44" fontId="17" fillId="0" borderId="125" xfId="277" applyFont="1" applyBorder="1" applyAlignment="1">
      <alignment vertical="center"/>
    </xf>
    <xf numFmtId="44" fontId="71" fillId="0" borderId="111" xfId="277" applyFont="1" applyBorder="1"/>
    <xf numFmtId="44" fontId="71" fillId="0" borderId="111" xfId="277" applyFont="1" applyBorder="1" applyAlignment="1">
      <alignment horizontal="center" vertical="center"/>
    </xf>
    <xf numFmtId="168" fontId="71" fillId="2" borderId="125" xfId="1" applyNumberFormat="1" applyFont="1" applyFill="1" applyBorder="1" applyAlignment="1">
      <alignment horizontal="right" vertical="top"/>
    </xf>
    <xf numFmtId="44" fontId="21" fillId="2" borderId="131" xfId="198" applyFont="1" applyFill="1" applyBorder="1" applyAlignment="1">
      <alignment horizontal="right" vertical="top"/>
    </xf>
    <xf numFmtId="0" fontId="68" fillId="0" borderId="111" xfId="2" applyFont="1" applyBorder="1"/>
    <xf numFmtId="0" fontId="96" fillId="0" borderId="111" xfId="2" applyFont="1" applyBorder="1"/>
    <xf numFmtId="172" fontId="21" fillId="0" borderId="111" xfId="35" applyFont="1" applyBorder="1" applyAlignment="1">
      <alignment horizontal="center" vertical="center" wrapText="1"/>
    </xf>
    <xf numFmtId="172" fontId="17" fillId="0" borderId="111" xfId="35" applyFont="1" applyBorder="1" applyAlignment="1">
      <alignment vertical="center"/>
    </xf>
    <xf numFmtId="171" fontId="17" fillId="0" borderId="111" xfId="1" applyNumberFormat="1" applyBorder="1" applyAlignment="1">
      <alignment vertical="center"/>
    </xf>
    <xf numFmtId="168" fontId="17" fillId="0" borderId="111" xfId="1" applyNumberFormat="1" applyBorder="1" applyAlignment="1">
      <alignment vertical="center"/>
    </xf>
    <xf numFmtId="0" fontId="17" fillId="0" borderId="95" xfId="2" applyBorder="1" applyAlignment="1">
      <alignment horizontal="left" vertical="top" wrapText="1"/>
    </xf>
    <xf numFmtId="0" fontId="98" fillId="0" borderId="115" xfId="0" applyFont="1" applyBorder="1" applyAlignment="1">
      <alignment horizontal="center"/>
    </xf>
    <xf numFmtId="0" fontId="17" fillId="0" borderId="118" xfId="221" applyBorder="1" applyAlignment="1">
      <alignment horizontal="center" vertical="top"/>
    </xf>
    <xf numFmtId="0" fontId="17" fillId="0" borderId="108" xfId="221" applyBorder="1" applyAlignment="1">
      <alignment horizontal="center" vertical="top" wrapText="1"/>
    </xf>
    <xf numFmtId="0" fontId="71" fillId="0" borderId="95" xfId="221" applyFont="1" applyBorder="1" applyAlignment="1">
      <alignment vertical="top" wrapText="1"/>
    </xf>
    <xf numFmtId="0" fontId="17" fillId="0" borderId="95" xfId="221" applyBorder="1" applyAlignment="1">
      <alignment horizontal="center" vertical="distributed"/>
    </xf>
    <xf numFmtId="39" fontId="17" fillId="0" borderId="95" xfId="221" applyNumberFormat="1" applyBorder="1" applyAlignment="1" applyProtection="1">
      <alignment horizontal="center" vertical="distributed"/>
      <protection locked="0"/>
    </xf>
    <xf numFmtId="0" fontId="0" fillId="0" borderId="115" xfId="1" applyFont="1" applyBorder="1" applyAlignment="1">
      <alignment horizontal="center" vertical="center"/>
    </xf>
    <xf numFmtId="0" fontId="0" fillId="0" borderId="95" xfId="221" applyFont="1" applyBorder="1" applyAlignment="1">
      <alignment vertical="top" wrapText="1"/>
    </xf>
    <xf numFmtId="0" fontId="0" fillId="0" borderId="95" xfId="221" applyFont="1" applyBorder="1" applyAlignment="1">
      <alignment horizontal="center" vertical="distributed"/>
    </xf>
    <xf numFmtId="39" fontId="0" fillId="0" borderId="95" xfId="221" applyNumberFormat="1" applyFont="1" applyBorder="1" applyAlignment="1" applyProtection="1">
      <alignment horizontal="center" vertical="distributed"/>
      <protection locked="0"/>
    </xf>
    <xf numFmtId="0" fontId="17" fillId="0" borderId="95" xfId="221" applyBorder="1" applyAlignment="1">
      <alignment vertical="top" wrapText="1"/>
    </xf>
    <xf numFmtId="0" fontId="17" fillId="0" borderId="111" xfId="329" applyBorder="1" applyAlignment="1">
      <alignment horizontal="center"/>
    </xf>
    <xf numFmtId="194" fontId="17" fillId="0" borderId="111" xfId="328" applyNumberFormat="1" applyBorder="1" applyAlignment="1" applyProtection="1">
      <alignment horizontal="center" vertical="center"/>
      <protection locked="0"/>
    </xf>
    <xf numFmtId="171" fontId="17" fillId="0" borderId="111" xfId="329" applyNumberFormat="1" applyBorder="1" applyAlignment="1">
      <alignment horizontal="center" vertical="center"/>
    </xf>
    <xf numFmtId="0" fontId="21" fillId="0" borderId="111" xfId="329" applyFont="1" applyBorder="1" applyAlignment="1">
      <alignment horizontal="left" wrapText="1"/>
    </xf>
    <xf numFmtId="0" fontId="17" fillId="0" borderId="111" xfId="329" applyBorder="1" applyAlignment="1">
      <alignment horizontal="left" wrapText="1"/>
    </xf>
    <xf numFmtId="2" fontId="17" fillId="0" borderId="115" xfId="1" applyNumberFormat="1" applyBorder="1" applyAlignment="1">
      <alignment horizontal="center" vertical="center"/>
    </xf>
    <xf numFmtId="0" fontId="21" fillId="0" borderId="118" xfId="221" applyFont="1" applyBorder="1" applyAlignment="1">
      <alignment horizontal="center" vertical="center"/>
    </xf>
    <xf numFmtId="0" fontId="21" fillId="0" borderId="108" xfId="221" applyFont="1" applyBorder="1" applyAlignment="1">
      <alignment horizontal="center" vertical="top" wrapText="1"/>
    </xf>
    <xf numFmtId="0" fontId="21" fillId="0" borderId="95" xfId="221" applyFont="1" applyBorder="1" applyAlignment="1">
      <alignment vertical="center" wrapText="1"/>
    </xf>
    <xf numFmtId="0" fontId="0" fillId="0" borderId="118" xfId="221" applyFont="1" applyBorder="1" applyAlignment="1">
      <alignment horizontal="center" vertical="top"/>
    </xf>
    <xf numFmtId="44" fontId="0" fillId="0" borderId="95" xfId="198" applyFont="1" applyBorder="1" applyAlignment="1" applyProtection="1">
      <alignment horizontal="center" vertical="distributed"/>
      <protection locked="0"/>
    </xf>
    <xf numFmtId="49" fontId="73" fillId="0" borderId="111" xfId="2" applyNumberFormat="1" applyFont="1" applyBorder="1" applyAlignment="1">
      <alignment horizontal="center" vertical="center" wrapText="1"/>
    </xf>
    <xf numFmtId="0" fontId="73" fillId="0" borderId="111" xfId="2" applyFont="1" applyBorder="1" applyAlignment="1">
      <alignment vertical="center"/>
    </xf>
    <xf numFmtId="189" fontId="73" fillId="0" borderId="111" xfId="2" applyNumberFormat="1" applyFont="1" applyBorder="1" applyAlignment="1" applyProtection="1">
      <alignment horizontal="center" vertical="center"/>
      <protection locked="0"/>
    </xf>
    <xf numFmtId="0" fontId="74" fillId="0" borderId="111" xfId="2" applyFont="1" applyBorder="1" applyAlignment="1">
      <alignment horizontal="left"/>
    </xf>
    <xf numFmtId="2" fontId="17" fillId="0" borderId="111" xfId="1" applyNumberFormat="1" applyBorder="1" applyAlignment="1">
      <alignment horizontal="center" vertical="center"/>
    </xf>
    <xf numFmtId="189" fontId="17" fillId="4" borderId="127" xfId="0" applyNumberFormat="1" applyFont="1" applyFill="1" applyBorder="1" applyProtection="1">
      <protection locked="0"/>
    </xf>
    <xf numFmtId="49" fontId="17" fillId="2" borderId="132" xfId="0" applyNumberFormat="1" applyFont="1" applyFill="1" applyBorder="1" applyAlignment="1">
      <alignment horizontal="center"/>
    </xf>
    <xf numFmtId="44" fontId="21" fillId="2" borderId="131" xfId="198" applyFont="1" applyFill="1" applyBorder="1" applyAlignment="1" applyProtection="1"/>
    <xf numFmtId="44" fontId="17" fillId="0" borderId="125" xfId="0" applyNumberFormat="1" applyFont="1" applyBorder="1"/>
    <xf numFmtId="0" fontId="74" fillId="0" borderId="111" xfId="2" applyFont="1" applyBorder="1" applyAlignment="1">
      <alignment horizontal="left" wrapText="1"/>
    </xf>
    <xf numFmtId="39" fontId="74" fillId="0" borderId="111" xfId="0" applyNumberFormat="1" applyFont="1" applyBorder="1"/>
    <xf numFmtId="3" fontId="17" fillId="0" borderId="95" xfId="221" applyNumberFormat="1" applyBorder="1" applyAlignment="1">
      <alignment horizontal="center" vertical="distributed"/>
    </xf>
    <xf numFmtId="44" fontId="17" fillId="0" borderId="95" xfId="198" applyFont="1" applyBorder="1" applyAlignment="1" applyProtection="1">
      <alignment horizontal="center" vertical="distributed"/>
      <protection locked="0"/>
    </xf>
    <xf numFmtId="0" fontId="73" fillId="0" borderId="115" xfId="276" applyFont="1" applyBorder="1" applyAlignment="1">
      <alignment horizontal="center"/>
    </xf>
    <xf numFmtId="0" fontId="71" fillId="2" borderId="124" xfId="1" applyFont="1" applyFill="1" applyBorder="1" applyAlignment="1">
      <alignment horizontal="center" vertical="center"/>
    </xf>
    <xf numFmtId="44" fontId="73" fillId="2" borderId="125" xfId="277" applyFont="1" applyFill="1" applyBorder="1" applyAlignment="1" applyProtection="1">
      <alignment vertical="center"/>
    </xf>
    <xf numFmtId="0" fontId="73" fillId="19" borderId="132" xfId="276" applyFont="1" applyFill="1" applyBorder="1"/>
    <xf numFmtId="44" fontId="21" fillId="2" borderId="131" xfId="277" applyFont="1" applyFill="1" applyBorder="1" applyAlignment="1" applyProtection="1">
      <alignment vertical="center"/>
    </xf>
    <xf numFmtId="1" fontId="21" fillId="0" borderId="111" xfId="2" applyNumberFormat="1" applyFont="1" applyBorder="1" applyAlignment="1">
      <alignment horizontal="center" vertical="center"/>
    </xf>
    <xf numFmtId="0" fontId="90" fillId="0" borderId="111" xfId="2" applyFont="1" applyBorder="1"/>
    <xf numFmtId="49" fontId="73" fillId="0" borderId="111" xfId="2" applyNumberFormat="1" applyFont="1" applyBorder="1" applyAlignment="1">
      <alignment horizontal="center" vertical="center"/>
    </xf>
    <xf numFmtId="0" fontId="73" fillId="0" borderId="111" xfId="2" applyFont="1" applyBorder="1"/>
    <xf numFmtId="39" fontId="73" fillId="0" borderId="111" xfId="0" applyNumberFormat="1" applyFont="1" applyBorder="1"/>
    <xf numFmtId="0" fontId="21" fillId="0" borderId="118" xfId="221" applyFont="1" applyBorder="1" applyAlignment="1">
      <alignment horizontal="center" vertical="top"/>
    </xf>
    <xf numFmtId="0" fontId="21" fillId="0" borderId="95" xfId="221" applyFont="1" applyBorder="1" applyAlignment="1">
      <alignment vertical="top" wrapText="1"/>
    </xf>
    <xf numFmtId="0" fontId="98" fillId="0" borderId="111" xfId="0" applyFont="1" applyBorder="1" applyAlignment="1">
      <alignment horizontal="center" vertical="center"/>
    </xf>
    <xf numFmtId="0" fontId="17" fillId="0" borderId="118" xfId="221" applyBorder="1" applyAlignment="1">
      <alignment horizontal="center" vertical="center"/>
    </xf>
    <xf numFmtId="0" fontId="17" fillId="0" borderId="108" xfId="221" applyBorder="1" applyAlignment="1">
      <alignment horizontal="center" vertical="center" wrapText="1"/>
    </xf>
    <xf numFmtId="0" fontId="17" fillId="0" borderId="95" xfId="221" applyBorder="1" applyAlignment="1">
      <alignment vertical="center" wrapText="1"/>
    </xf>
    <xf numFmtId="0" fontId="17" fillId="0" borderId="95" xfId="221" applyBorder="1" applyAlignment="1">
      <alignment horizontal="center" vertical="center"/>
    </xf>
    <xf numFmtId="44" fontId="17" fillId="0" borderId="95" xfId="198" applyFont="1" applyBorder="1" applyAlignment="1" applyProtection="1">
      <alignment horizontal="center" vertical="center"/>
      <protection locked="0"/>
    </xf>
    <xf numFmtId="44" fontId="17" fillId="0" borderId="95" xfId="198" applyFont="1" applyBorder="1" applyAlignment="1" applyProtection="1">
      <alignment horizontal="center" vertical="center"/>
    </xf>
    <xf numFmtId="0" fontId="17" fillId="0" borderId="111" xfId="221" applyBorder="1" applyAlignment="1">
      <alignment horizontal="center" vertical="top"/>
    </xf>
    <xf numFmtId="0" fontId="21" fillId="0" borderId="111" xfId="221" applyFont="1" applyBorder="1" applyAlignment="1">
      <alignment horizontal="center" vertical="top"/>
    </xf>
    <xf numFmtId="39" fontId="17" fillId="4" borderId="127" xfId="0" applyNumberFormat="1" applyFont="1" applyFill="1" applyBorder="1" applyProtection="1">
      <protection locked="0"/>
    </xf>
    <xf numFmtId="44" fontId="17" fillId="2" borderId="125" xfId="198" applyFont="1" applyFill="1" applyBorder="1" applyProtection="1"/>
    <xf numFmtId="49" fontId="17" fillId="2" borderId="132" xfId="0" applyNumberFormat="1" applyFont="1" applyFill="1" applyBorder="1" applyAlignment="1">
      <alignment horizontal="center" vertical="center"/>
    </xf>
    <xf numFmtId="44" fontId="21" fillId="2" borderId="131" xfId="198" applyFont="1" applyFill="1" applyBorder="1" applyAlignment="1" applyProtection="1">
      <alignment horizontal="right" indent="1"/>
    </xf>
    <xf numFmtId="1" fontId="17" fillId="0" borderId="111" xfId="19" applyNumberFormat="1" applyFont="1" applyFill="1" applyBorder="1" applyAlignment="1" applyProtection="1">
      <alignment horizontal="center" vertical="center"/>
    </xf>
    <xf numFmtId="168" fontId="17" fillId="0" borderId="111" xfId="1" applyNumberFormat="1" applyBorder="1" applyAlignment="1" applyProtection="1">
      <alignment horizontal="right" vertical="center" wrapText="1"/>
      <protection locked="0"/>
    </xf>
    <xf numFmtId="0" fontId="21" fillId="0" borderId="95" xfId="221" applyFont="1" applyBorder="1" applyAlignment="1">
      <alignment horizontal="center" vertical="top" wrapText="1"/>
    </xf>
    <xf numFmtId="0" fontId="17" fillId="0" borderId="95" xfId="221" applyBorder="1" applyAlignment="1">
      <alignment horizontal="center" vertical="center" wrapText="1"/>
    </xf>
    <xf numFmtId="44" fontId="73" fillId="2" borderId="125" xfId="277" applyFont="1" applyFill="1" applyBorder="1" applyAlignment="1" applyProtection="1">
      <alignment vertical="center" wrapText="1"/>
    </xf>
    <xf numFmtId="44" fontId="21" fillId="2" borderId="131" xfId="277" applyFont="1" applyFill="1" applyBorder="1" applyAlignment="1" applyProtection="1">
      <alignment vertical="center" wrapText="1"/>
    </xf>
    <xf numFmtId="0" fontId="98" fillId="0" borderId="115" xfId="0" applyFont="1" applyBorder="1" applyAlignment="1">
      <alignment horizontal="center" vertical="center"/>
    </xf>
    <xf numFmtId="0" fontId="73" fillId="0" borderId="132" xfId="276" applyFont="1" applyBorder="1" applyAlignment="1">
      <alignment horizontal="center" vertical="center"/>
    </xf>
    <xf numFmtId="168" fontId="17" fillId="0" borderId="125" xfId="1" applyNumberFormat="1" applyBorder="1" applyAlignment="1">
      <alignment horizontal="center" vertical="top"/>
    </xf>
    <xf numFmtId="0" fontId="21" fillId="0" borderId="115" xfId="0" applyFont="1" applyBorder="1" applyAlignment="1">
      <alignment horizontal="center" vertical="center" wrapText="1"/>
    </xf>
    <xf numFmtId="0" fontId="39" fillId="0" borderId="111" xfId="0" applyFont="1" applyBorder="1" applyAlignment="1">
      <alignment horizontal="center" vertical="center"/>
    </xf>
    <xf numFmtId="0" fontId="39" fillId="0" borderId="111" xfId="0" applyFont="1" applyBorder="1" applyAlignment="1">
      <alignment horizontal="center" vertical="center" wrapText="1"/>
    </xf>
    <xf numFmtId="0" fontId="41" fillId="0" borderId="111" xfId="0" applyFont="1" applyBorder="1" applyAlignment="1">
      <alignment wrapText="1"/>
    </xf>
    <xf numFmtId="1" fontId="40" fillId="0" borderId="111" xfId="19" applyNumberFormat="1" applyFont="1" applyFill="1" applyBorder="1" applyAlignment="1">
      <alignment horizontal="center" vertical="center"/>
    </xf>
    <xf numFmtId="44" fontId="40" fillId="0" borderId="111" xfId="198" applyFont="1" applyBorder="1" applyAlignment="1" applyProtection="1">
      <alignment horizontal="right" vertical="center" wrapText="1"/>
      <protection locked="0"/>
    </xf>
    <xf numFmtId="44" fontId="40" fillId="0" borderId="111" xfId="198" applyFont="1" applyBorder="1" applyAlignment="1">
      <alignment horizontal="center" vertical="center" wrapText="1"/>
    </xf>
    <xf numFmtId="0" fontId="71" fillId="0" borderId="111" xfId="0" applyFont="1" applyBorder="1" applyAlignment="1">
      <alignment wrapText="1"/>
    </xf>
    <xf numFmtId="168" fontId="17" fillId="0" borderId="111" xfId="1" applyNumberFormat="1" applyBorder="1" applyAlignment="1">
      <alignment horizontal="center" vertical="center" wrapText="1"/>
    </xf>
    <xf numFmtId="0" fontId="68" fillId="0" borderId="111" xfId="0" applyFont="1" applyBorder="1" applyAlignment="1">
      <alignment wrapText="1"/>
    </xf>
    <xf numFmtId="44" fontId="17" fillId="2" borderId="125" xfId="198" applyFont="1" applyFill="1" applyBorder="1" applyProtection="1">
      <protection locked="0"/>
    </xf>
    <xf numFmtId="44" fontId="17" fillId="2" borderId="125" xfId="198" applyFont="1" applyFill="1" applyBorder="1" applyAlignment="1">
      <alignment horizontal="center"/>
    </xf>
    <xf numFmtId="44" fontId="21" fillId="2" borderId="131" xfId="198" applyFont="1" applyFill="1" applyBorder="1" applyAlignment="1" applyProtection="1">
      <alignment horizontal="right" indent="1"/>
      <protection locked="0"/>
    </xf>
    <xf numFmtId="44" fontId="21" fillId="2" borderId="131" xfId="198" applyFont="1" applyFill="1" applyBorder="1" applyAlignment="1">
      <alignment horizontal="right" indent="1"/>
    </xf>
    <xf numFmtId="44" fontId="0" fillId="0" borderId="111" xfId="198" applyFont="1" applyBorder="1" applyAlignment="1">
      <alignment horizontal="center" vertical="center" wrapText="1"/>
    </xf>
    <xf numFmtId="0" fontId="0" fillId="0" borderId="111" xfId="0" applyBorder="1" applyAlignment="1">
      <alignment horizontal="center" vertical="center" wrapText="1"/>
    </xf>
    <xf numFmtId="44" fontId="17" fillId="0" borderId="111" xfId="198" applyFont="1" applyBorder="1" applyAlignment="1">
      <alignment horizontal="right" vertical="center" wrapText="1"/>
    </xf>
    <xf numFmtId="0" fontId="41" fillId="0" borderId="111" xfId="0" applyFont="1" applyBorder="1" applyAlignment="1">
      <alignment vertical="center" wrapText="1"/>
    </xf>
    <xf numFmtId="44" fontId="17" fillId="4" borderId="127" xfId="198" applyFont="1" applyFill="1" applyBorder="1" applyProtection="1">
      <protection locked="0"/>
    </xf>
    <xf numFmtId="44" fontId="17" fillId="2" borderId="125" xfId="198" applyFont="1" applyFill="1" applyBorder="1" applyAlignment="1"/>
    <xf numFmtId="44" fontId="21" fillId="2" borderId="131" xfId="198" applyFont="1" applyFill="1" applyBorder="1" applyAlignment="1">
      <alignment wrapText="1"/>
    </xf>
    <xf numFmtId="0" fontId="70" fillId="12" borderId="111" xfId="0" applyFont="1" applyFill="1" applyBorder="1" applyAlignment="1">
      <alignment wrapText="1"/>
    </xf>
    <xf numFmtId="1" fontId="21" fillId="0" borderId="111" xfId="0" quotePrefix="1" applyNumberFormat="1" applyFont="1" applyBorder="1" applyAlignment="1">
      <alignment horizontal="center" vertical="center"/>
    </xf>
    <xf numFmtId="0" fontId="0" fillId="0" borderId="115" xfId="0" applyBorder="1" applyAlignment="1">
      <alignment horizontal="center" vertical="center" wrapText="1"/>
    </xf>
    <xf numFmtId="49" fontId="17" fillId="0" borderId="111" xfId="45" applyNumberFormat="1" applyFont="1" applyBorder="1" applyAlignment="1">
      <alignment horizontal="center" vertical="center" wrapText="1"/>
    </xf>
    <xf numFmtId="44" fontId="17" fillId="0" borderId="108" xfId="198" applyFont="1" applyBorder="1" applyAlignment="1" applyProtection="1">
      <alignment horizontal="right" vertical="center"/>
      <protection locked="0"/>
    </xf>
    <xf numFmtId="1" fontId="74" fillId="0" borderId="111" xfId="45" applyNumberFormat="1" applyFont="1" applyBorder="1" applyAlignment="1">
      <alignment horizontal="center" vertical="center" wrapText="1"/>
    </xf>
    <xf numFmtId="44" fontId="17" fillId="0" borderId="111" xfId="198" applyFont="1" applyBorder="1" applyAlignment="1">
      <alignment horizontal="right" vertical="top"/>
    </xf>
    <xf numFmtId="2" fontId="74" fillId="0" borderId="111" xfId="45" applyNumberFormat="1" applyFont="1" applyBorder="1" applyAlignment="1">
      <alignment wrapText="1"/>
    </xf>
    <xf numFmtId="2" fontId="74" fillId="0" borderId="111" xfId="45" applyNumberFormat="1" applyFont="1" applyBorder="1" applyAlignment="1">
      <alignment horizontal="center" vertical="center" wrapText="1"/>
    </xf>
    <xf numFmtId="44" fontId="74" fillId="0" borderId="111" xfId="198" applyFont="1" applyBorder="1" applyAlignment="1">
      <alignment horizontal="right" vertical="top"/>
    </xf>
    <xf numFmtId="44" fontId="17" fillId="2" borderId="125" xfId="198" applyFont="1" applyFill="1" applyBorder="1" applyAlignment="1">
      <alignment horizontal="right" vertical="top"/>
    </xf>
    <xf numFmtId="0" fontId="39" fillId="0" borderId="115" xfId="0" applyFont="1" applyBorder="1" applyAlignment="1">
      <alignment horizontal="center" vertical="center" wrapText="1"/>
    </xf>
    <xf numFmtId="0" fontId="70" fillId="12" borderId="111" xfId="0" applyFont="1" applyFill="1" applyBorder="1" applyAlignment="1">
      <alignment vertical="center" wrapText="1"/>
    </xf>
    <xf numFmtId="44" fontId="21" fillId="2" borderId="131" xfId="198" applyFont="1" applyFill="1" applyBorder="1" applyAlignment="1"/>
    <xf numFmtId="0" fontId="68" fillId="0" borderId="95" xfId="2" applyFont="1" applyBorder="1" applyAlignment="1">
      <alignment vertical="top" wrapText="1"/>
    </xf>
    <xf numFmtId="44" fontId="68" fillId="0" borderId="111" xfId="198" applyFont="1" applyBorder="1" applyAlignment="1" applyProtection="1">
      <alignment horizontal="right" vertical="center"/>
      <protection locked="0"/>
    </xf>
    <xf numFmtId="49" fontId="21" fillId="0" borderId="111" xfId="45" applyNumberFormat="1" applyFont="1" applyBorder="1" applyAlignment="1">
      <alignment horizontal="center" vertical="center" wrapText="1"/>
    </xf>
    <xf numFmtId="44" fontId="17" fillId="0" borderId="126" xfId="198" applyFont="1" applyBorder="1" applyAlignment="1">
      <alignment horizontal="right" vertical="top"/>
    </xf>
    <xf numFmtId="0" fontId="40" fillId="0" borderId="126" xfId="0" applyFont="1" applyBorder="1" applyAlignment="1">
      <alignment horizontal="center" vertical="center" wrapText="1"/>
    </xf>
    <xf numFmtId="44" fontId="40" fillId="0" borderId="126" xfId="198" applyFont="1" applyBorder="1" applyAlignment="1">
      <alignment horizontal="right" vertical="center" wrapText="1"/>
    </xf>
    <xf numFmtId="0" fontId="17" fillId="0" borderId="126" xfId="0" applyFont="1" applyBorder="1" applyAlignment="1">
      <alignment horizontal="center" vertical="center" wrapText="1"/>
    </xf>
    <xf numFmtId="44" fontId="17" fillId="0" borderId="126" xfId="198" applyFont="1" applyBorder="1" applyAlignment="1">
      <alignment horizontal="right" vertical="center" wrapText="1"/>
    </xf>
    <xf numFmtId="44" fontId="0" fillId="0" borderId="126" xfId="198" applyFont="1" applyBorder="1" applyAlignment="1">
      <alignment horizontal="right" vertical="center" wrapText="1"/>
    </xf>
    <xf numFmtId="44" fontId="17" fillId="2" borderId="125" xfId="198" applyFont="1" applyFill="1" applyBorder="1"/>
    <xf numFmtId="44" fontId="21" fillId="2" borderId="131" xfId="198" applyFont="1" applyFill="1" applyBorder="1"/>
    <xf numFmtId="44" fontId="17" fillId="0" borderId="126" xfId="198" applyFont="1" applyBorder="1" applyAlignment="1">
      <alignment vertical="center" wrapText="1"/>
    </xf>
    <xf numFmtId="0" fontId="0" fillId="0" borderId="126" xfId="0" applyBorder="1" applyAlignment="1">
      <alignment horizontal="center" vertical="center" wrapText="1"/>
    </xf>
    <xf numFmtId="1" fontId="17" fillId="0" borderId="126" xfId="19" applyNumberFormat="1" applyFont="1" applyFill="1" applyBorder="1" applyAlignment="1">
      <alignment horizontal="center" vertical="center"/>
    </xf>
    <xf numFmtId="2" fontId="17" fillId="0" borderId="126" xfId="45" applyNumberFormat="1" applyFont="1" applyBorder="1" applyAlignment="1">
      <alignment horizontal="center" vertical="center" wrapText="1"/>
    </xf>
    <xf numFmtId="44" fontId="74" fillId="0" borderId="126" xfId="198" applyFont="1" applyBorder="1" applyAlignment="1">
      <alignment horizontal="right" vertical="top"/>
    </xf>
    <xf numFmtId="0" fontId="17" fillId="0" borderId="126" xfId="2" applyBorder="1" applyAlignment="1">
      <alignment horizontal="center" vertical="top" wrapText="1"/>
    </xf>
    <xf numFmtId="1" fontId="17" fillId="0" borderId="126" xfId="2" applyNumberFormat="1" applyBorder="1" applyAlignment="1">
      <alignment horizontal="center" vertical="center"/>
    </xf>
    <xf numFmtId="44" fontId="17" fillId="0" borderId="126" xfId="198" applyFont="1" applyBorder="1" applyAlignment="1">
      <alignment horizontal="center" vertical="top"/>
    </xf>
    <xf numFmtId="0" fontId="21" fillId="0" borderId="111" xfId="2" applyFont="1" applyBorder="1" applyAlignment="1">
      <alignment vertical="top" wrapText="1"/>
    </xf>
    <xf numFmtId="0" fontId="17" fillId="0" borderId="126" xfId="2" applyBorder="1" applyAlignment="1">
      <alignment horizontal="center" vertical="top"/>
    </xf>
    <xf numFmtId="0" fontId="68" fillId="0" borderId="111" xfId="2" applyFont="1" applyBorder="1" applyAlignment="1">
      <alignment vertical="top" wrapText="1"/>
    </xf>
    <xf numFmtId="0" fontId="68" fillId="0" borderId="126" xfId="2" applyFont="1" applyBorder="1" applyAlignment="1">
      <alignment horizontal="center" vertical="center"/>
    </xf>
    <xf numFmtId="1" fontId="68" fillId="0" borderId="126" xfId="2" applyNumberFormat="1" applyFont="1" applyBorder="1" applyAlignment="1">
      <alignment horizontal="center" vertical="center"/>
    </xf>
    <xf numFmtId="44" fontId="68" fillId="0" borderId="126" xfId="198" applyFont="1" applyBorder="1" applyAlignment="1">
      <alignment horizontal="center" vertical="top"/>
    </xf>
    <xf numFmtId="0" fontId="17" fillId="0" borderId="126" xfId="45" applyFont="1" applyBorder="1" applyAlignment="1">
      <alignment horizontal="center" wrapText="1"/>
    </xf>
    <xf numFmtId="1" fontId="17" fillId="0" borderId="126" xfId="45" applyNumberFormat="1" applyFont="1" applyBorder="1" applyAlignment="1">
      <alignment horizontal="center" vertical="center" wrapText="1"/>
    </xf>
    <xf numFmtId="44" fontId="74" fillId="0" borderId="111" xfId="198" applyFont="1" applyBorder="1" applyAlignment="1" applyProtection="1">
      <alignment horizontal="right" vertical="center"/>
      <protection locked="0"/>
    </xf>
    <xf numFmtId="44" fontId="74" fillId="0" borderId="126" xfId="198" applyFont="1" applyBorder="1" applyAlignment="1">
      <alignment horizontal="right" vertical="center"/>
    </xf>
    <xf numFmtId="44" fontId="17" fillId="0" borderId="126" xfId="198" applyFont="1" applyBorder="1" applyAlignment="1">
      <alignment horizontal="right" vertical="center"/>
    </xf>
    <xf numFmtId="0" fontId="39" fillId="0" borderId="11" xfId="0" applyFont="1" applyBorder="1" applyAlignment="1">
      <alignment horizontal="center" vertical="center" wrapText="1"/>
    </xf>
    <xf numFmtId="44" fontId="40" fillId="0" borderId="111" xfId="198" applyFont="1" applyFill="1" applyBorder="1" applyAlignment="1" applyProtection="1">
      <alignment horizontal="right" vertical="center" wrapText="1"/>
      <protection locked="0"/>
    </xf>
    <xf numFmtId="44" fontId="40" fillId="0" borderId="126" xfId="198" applyFont="1" applyFill="1" applyBorder="1" applyAlignment="1">
      <alignment horizontal="right" vertical="center" wrapText="1"/>
    </xf>
    <xf numFmtId="39" fontId="17" fillId="0" borderId="126" xfId="1" applyNumberFormat="1" applyBorder="1" applyAlignment="1">
      <alignment horizontal="center" vertical="center"/>
    </xf>
    <xf numFmtId="0" fontId="21" fillId="0" borderId="11" xfId="0" applyFont="1" applyBorder="1" applyAlignment="1">
      <alignment horizontal="center" vertical="center" wrapText="1"/>
    </xf>
    <xf numFmtId="0" fontId="69" fillId="0" borderId="111" xfId="0" applyFont="1" applyBorder="1" applyAlignment="1">
      <alignment vertical="center" wrapText="1"/>
    </xf>
    <xf numFmtId="0" fontId="62" fillId="0" borderId="111" xfId="0" applyFont="1" applyBorder="1" applyAlignment="1">
      <alignment vertical="center" wrapText="1"/>
    </xf>
    <xf numFmtId="0" fontId="70" fillId="0" borderId="126" xfId="0" applyFont="1" applyBorder="1" applyAlignment="1">
      <alignment vertical="center" wrapText="1"/>
    </xf>
    <xf numFmtId="44" fontId="17" fillId="4" borderId="127" xfId="198" applyFont="1" applyFill="1" applyBorder="1" applyAlignment="1" applyProtection="1">
      <alignment vertical="center"/>
      <protection locked="0"/>
    </xf>
    <xf numFmtId="44" fontId="17" fillId="2" borderId="125" xfId="198" applyFont="1" applyFill="1" applyBorder="1" applyAlignment="1">
      <alignment vertical="center"/>
    </xf>
    <xf numFmtId="44" fontId="21" fillId="2" borderId="131" xfId="198" applyFont="1" applyFill="1" applyBorder="1" applyAlignment="1">
      <alignment vertical="center"/>
    </xf>
    <xf numFmtId="44" fontId="17" fillId="0" borderId="126" xfId="198" applyFont="1" applyBorder="1" applyAlignment="1">
      <alignment vertical="center"/>
    </xf>
    <xf numFmtId="44" fontId="17" fillId="0" borderId="111" xfId="198" applyFont="1" applyFill="1" applyBorder="1" applyAlignment="1" applyProtection="1">
      <alignment horizontal="right" vertical="center" wrapText="1"/>
    </xf>
    <xf numFmtId="44" fontId="17" fillId="2" borderId="125" xfId="198" applyFont="1" applyFill="1" applyBorder="1" applyAlignment="1">
      <alignment horizontal="right" vertical="center"/>
    </xf>
    <xf numFmtId="44" fontId="21" fillId="2" borderId="131" xfId="198" applyFont="1" applyFill="1" applyBorder="1" applyAlignment="1">
      <alignment horizontal="right" vertical="center"/>
    </xf>
    <xf numFmtId="44" fontId="17" fillId="0" borderId="126" xfId="198" applyFont="1" applyFill="1" applyBorder="1" applyAlignment="1">
      <alignment horizontal="right" vertical="center"/>
    </xf>
    <xf numFmtId="44" fontId="17" fillId="0" borderId="126" xfId="198" applyFont="1" applyFill="1" applyBorder="1" applyAlignment="1">
      <alignment horizontal="right" vertical="center" wrapText="1"/>
    </xf>
    <xf numFmtId="1" fontId="0" fillId="0" borderId="126" xfId="19" applyNumberFormat="1" applyFont="1" applyBorder="1" applyAlignment="1">
      <alignment horizontal="center" vertical="center"/>
    </xf>
    <xf numFmtId="44" fontId="17" fillId="17" borderId="126" xfId="198" applyFont="1" applyFill="1" applyBorder="1" applyAlignment="1">
      <alignment horizontal="right" vertical="center" wrapText="1"/>
    </xf>
    <xf numFmtId="44" fontId="17" fillId="0" borderId="99" xfId="198" applyFont="1" applyFill="1" applyBorder="1" applyAlignment="1">
      <alignment horizontal="right" vertical="center"/>
    </xf>
    <xf numFmtId="0" fontId="100" fillId="0" borderId="116" xfId="393" applyFont="1" applyBorder="1"/>
    <xf numFmtId="44" fontId="40" fillId="0" borderId="99" xfId="198" applyFont="1" applyFill="1" applyBorder="1" applyAlignment="1">
      <alignment horizontal="right" vertical="center" wrapText="1"/>
    </xf>
    <xf numFmtId="0" fontId="101" fillId="0" borderId="116" xfId="0" applyFont="1" applyBorder="1" applyAlignment="1">
      <alignment wrapText="1"/>
    </xf>
    <xf numFmtId="0" fontId="101" fillId="0" borderId="108" xfId="0" applyFont="1" applyBorder="1" applyAlignment="1">
      <alignment horizontal="center" vertical="center"/>
    </xf>
    <xf numFmtId="44" fontId="101" fillId="0" borderId="108" xfId="198" quotePrefix="1" applyFont="1" applyBorder="1" applyAlignment="1">
      <alignment horizontal="center" vertical="center"/>
    </xf>
    <xf numFmtId="44" fontId="101" fillId="0" borderId="120" xfId="198" applyFont="1" applyBorder="1" applyAlignment="1">
      <alignment horizontal="center" vertical="center"/>
    </xf>
    <xf numFmtId="0" fontId="101" fillId="0" borderId="116" xfId="0" applyFont="1" applyBorder="1"/>
    <xf numFmtId="0" fontId="101" fillId="0" borderId="108" xfId="0" applyFont="1" applyBorder="1" applyAlignment="1">
      <alignment horizontal="center"/>
    </xf>
    <xf numFmtId="44" fontId="101" fillId="0" borderId="108" xfId="198" applyFont="1" applyBorder="1" applyAlignment="1">
      <alignment horizontal="center"/>
    </xf>
    <xf numFmtId="0" fontId="101" fillId="0" borderId="108" xfId="0" quotePrefix="1" applyFont="1" applyBorder="1" applyAlignment="1">
      <alignment horizontal="center"/>
    </xf>
    <xf numFmtId="0" fontId="71" fillId="0" borderId="111" xfId="397" applyFont="1" applyBorder="1" applyAlignment="1">
      <alignment vertical="center" wrapText="1"/>
    </xf>
    <xf numFmtId="0" fontId="71" fillId="0" borderId="111" xfId="397" applyFont="1" applyBorder="1" applyAlignment="1">
      <alignment vertical="center"/>
    </xf>
    <xf numFmtId="0" fontId="101" fillId="0" borderId="116" xfId="0" applyFont="1" applyBorder="1" applyAlignment="1">
      <alignment horizontal="center"/>
    </xf>
    <xf numFmtId="0" fontId="101" fillId="0" borderId="116" xfId="0" quotePrefix="1" applyFont="1" applyBorder="1" applyAlignment="1">
      <alignment horizontal="center"/>
    </xf>
    <xf numFmtId="0" fontId="73" fillId="0" borderId="111" xfId="397" applyFont="1" applyBorder="1" applyAlignment="1">
      <alignment vertical="center" wrapText="1"/>
    </xf>
    <xf numFmtId="49" fontId="73" fillId="0" borderId="111" xfId="397" applyNumberFormat="1" applyFont="1" applyBorder="1" applyAlignment="1">
      <alignment horizontal="center" vertical="center"/>
    </xf>
    <xf numFmtId="0" fontId="103" fillId="0" borderId="108" xfId="0" applyFont="1" applyBorder="1"/>
    <xf numFmtId="0" fontId="104" fillId="0" borderId="116" xfId="0" applyFont="1" applyBorder="1"/>
    <xf numFmtId="0" fontId="101" fillId="0" borderId="116" xfId="0" applyFont="1" applyBorder="1" applyAlignment="1">
      <alignment vertical="center" wrapText="1"/>
    </xf>
    <xf numFmtId="0" fontId="101" fillId="0" borderId="116" xfId="0" applyFont="1" applyBorder="1" applyAlignment="1">
      <alignment horizontal="center" vertical="center"/>
    </xf>
    <xf numFmtId="44" fontId="101" fillId="0" borderId="108" xfId="198" quotePrefix="1" applyFont="1" applyBorder="1" applyAlignment="1">
      <alignment horizontal="center"/>
    </xf>
    <xf numFmtId="0" fontId="71" fillId="0" borderId="111" xfId="81" applyFont="1" applyBorder="1" applyAlignment="1">
      <alignment vertical="center"/>
    </xf>
    <xf numFmtId="0" fontId="73" fillId="0" borderId="111" xfId="397" applyFont="1" applyBorder="1" applyAlignment="1">
      <alignment horizontal="center" vertical="center"/>
    </xf>
    <xf numFmtId="0" fontId="71" fillId="0" borderId="111" xfId="398" applyFont="1" applyBorder="1" applyAlignment="1">
      <alignment vertical="center" wrapText="1"/>
    </xf>
    <xf numFmtId="44" fontId="101" fillId="0" borderId="120" xfId="198" applyFont="1" applyBorder="1" applyAlignment="1">
      <alignment horizontal="center"/>
    </xf>
    <xf numFmtId="44" fontId="17" fillId="4" borderId="127" xfId="198" applyFont="1" applyFill="1" applyBorder="1" applyAlignment="1">
      <alignment vertical="center"/>
    </xf>
    <xf numFmtId="44" fontId="101" fillId="0" borderId="99" xfId="198" applyFont="1" applyBorder="1" applyAlignment="1">
      <alignment horizontal="center"/>
    </xf>
    <xf numFmtId="0" fontId="73" fillId="0" borderId="111" xfId="397" applyFont="1" applyBorder="1" applyAlignment="1">
      <alignment horizontal="center"/>
    </xf>
    <xf numFmtId="0" fontId="73" fillId="0" borderId="111" xfId="397" applyFont="1" applyBorder="1" applyAlignment="1">
      <alignment horizontal="left" wrapText="1"/>
    </xf>
    <xf numFmtId="0" fontId="71" fillId="0" borderId="111" xfId="397" applyFont="1" applyBorder="1" applyAlignment="1">
      <alignment horizontal="center"/>
    </xf>
    <xf numFmtId="0" fontId="71" fillId="0" borderId="111" xfId="397" applyFont="1" applyBorder="1" applyAlignment="1">
      <alignment horizontal="left" wrapText="1"/>
    </xf>
    <xf numFmtId="0" fontId="73" fillId="0" borderId="111" xfId="398" applyFont="1" applyBorder="1" applyAlignment="1">
      <alignment horizontal="center"/>
    </xf>
    <xf numFmtId="0" fontId="73" fillId="0" borderId="111" xfId="398" applyFont="1" applyBorder="1" applyAlignment="1">
      <alignment horizontal="left" wrapText="1"/>
    </xf>
    <xf numFmtId="0" fontId="71" fillId="0" borderId="111" xfId="398" applyFont="1" applyBorder="1" applyAlignment="1">
      <alignment horizontal="left" wrapText="1"/>
    </xf>
    <xf numFmtId="0" fontId="73" fillId="0" borderId="111" xfId="398" applyFont="1" applyBorder="1">
      <alignment wrapText="1"/>
    </xf>
    <xf numFmtId="0" fontId="73" fillId="0" borderId="111" xfId="398" applyFont="1" applyBorder="1" applyAlignment="1">
      <alignment horizontal="center" vertical="center"/>
    </xf>
    <xf numFmtId="0" fontId="71" fillId="0" borderId="111" xfId="398" applyFont="1" applyBorder="1">
      <alignment wrapText="1"/>
    </xf>
    <xf numFmtId="0" fontId="71" fillId="0" borderId="111" xfId="81" applyFont="1" applyBorder="1" applyAlignment="1">
      <alignment horizontal="center" vertical="top"/>
    </xf>
    <xf numFmtId="0" fontId="71" fillId="0" borderId="111" xfId="81" applyFont="1" applyBorder="1" applyAlignment="1">
      <alignment vertical="top"/>
    </xf>
    <xf numFmtId="0" fontId="71" fillId="0" borderId="111" xfId="396" applyFont="1" applyBorder="1" applyAlignment="1">
      <alignment horizontal="left" vertical="top" wrapText="1"/>
    </xf>
    <xf numFmtId="0" fontId="73" fillId="0" borderId="111" xfId="395" applyFont="1" applyBorder="1" applyAlignment="1">
      <alignment horizontal="center"/>
    </xf>
    <xf numFmtId="0" fontId="71" fillId="0" borderId="111" xfId="395" applyFont="1" applyBorder="1" applyAlignment="1">
      <alignment horizontal="center"/>
    </xf>
    <xf numFmtId="44" fontId="101" fillId="0" borderId="108" xfId="198" applyFont="1" applyFill="1" applyBorder="1" applyAlignment="1">
      <alignment horizontal="center"/>
    </xf>
    <xf numFmtId="44" fontId="101" fillId="0" borderId="120" xfId="198" applyFont="1" applyFill="1" applyBorder="1" applyAlignment="1">
      <alignment horizontal="center" vertical="center"/>
    </xf>
    <xf numFmtId="44" fontId="101" fillId="0" borderId="108" xfId="198" quotePrefix="1" applyFont="1" applyFill="1" applyBorder="1" applyAlignment="1">
      <alignment horizontal="center"/>
    </xf>
    <xf numFmtId="0" fontId="71" fillId="0" borderId="111" xfId="397" applyFont="1" applyBorder="1" applyAlignment="1">
      <alignment horizontal="left" vertical="center" wrapText="1"/>
    </xf>
    <xf numFmtId="44" fontId="101" fillId="0" borderId="108" xfId="198" applyFont="1" applyBorder="1" applyAlignment="1">
      <alignment horizontal="center" vertical="center"/>
    </xf>
    <xf numFmtId="0" fontId="110" fillId="0" borderId="116" xfId="0" applyFont="1" applyBorder="1"/>
    <xf numFmtId="0" fontId="103" fillId="0" borderId="108" xfId="0" applyFont="1" applyBorder="1" applyAlignment="1">
      <alignment wrapText="1"/>
    </xf>
    <xf numFmtId="39" fontId="17" fillId="2" borderId="125" xfId="2" applyNumberFormat="1" applyFill="1" applyBorder="1"/>
    <xf numFmtId="0" fontId="2" fillId="0" borderId="124" xfId="507" applyBorder="1" applyAlignment="1">
      <alignment horizontal="center"/>
    </xf>
    <xf numFmtId="0" fontId="71" fillId="0" borderId="125" xfId="397" applyFont="1" applyBorder="1" applyAlignment="1">
      <alignment horizontal="left" vertical="center"/>
    </xf>
    <xf numFmtId="0" fontId="73" fillId="0" borderId="125" xfId="397" applyFont="1" applyBorder="1" applyAlignment="1">
      <alignment horizontal="center" vertical="center" wrapText="1"/>
    </xf>
    <xf numFmtId="0" fontId="71" fillId="0" borderId="125" xfId="397" applyFont="1" applyBorder="1" applyAlignment="1">
      <alignment horizontal="center" vertical="center" wrapText="1"/>
    </xf>
    <xf numFmtId="1" fontId="71" fillId="0" borderId="125" xfId="397" applyNumberFormat="1" applyFont="1" applyBorder="1" applyAlignment="1">
      <alignment horizontal="center" vertical="center"/>
    </xf>
    <xf numFmtId="168" fontId="71" fillId="0" borderId="127" xfId="394" applyNumberFormat="1" applyFont="1" applyBorder="1" applyAlignment="1" applyProtection="1">
      <alignment vertical="center"/>
      <protection locked="0"/>
    </xf>
    <xf numFmtId="168" fontId="71" fillId="0" borderId="125" xfId="394" applyNumberFormat="1" applyFont="1" applyBorder="1" applyAlignment="1">
      <alignment vertical="center"/>
    </xf>
    <xf numFmtId="1" fontId="71" fillId="0" borderId="111" xfId="397" applyNumberFormat="1" applyFont="1" applyBorder="1" applyAlignment="1">
      <alignment horizontal="center" vertical="center"/>
    </xf>
    <xf numFmtId="168" fontId="71" fillId="0" borderId="111" xfId="394" applyNumberFormat="1" applyFont="1" applyBorder="1" applyAlignment="1">
      <alignment vertical="center"/>
    </xf>
    <xf numFmtId="0" fontId="71" fillId="0" borderId="111" xfId="397" applyFont="1" applyBorder="1" applyAlignment="1">
      <alignment horizontal="left" vertical="center"/>
    </xf>
    <xf numFmtId="0" fontId="100" fillId="0" borderId="116" xfId="507" applyFont="1" applyBorder="1" applyAlignment="1">
      <alignment vertical="center" wrapText="1"/>
    </xf>
    <xf numFmtId="0" fontId="69" fillId="0" borderId="116" xfId="507" applyFont="1" applyBorder="1" applyAlignment="1">
      <alignment vertical="center" wrapText="1"/>
    </xf>
    <xf numFmtId="3" fontId="71" fillId="0" borderId="111" xfId="76" applyNumberFormat="1" applyFont="1" applyBorder="1" applyAlignment="1">
      <alignment horizontal="center" vertical="center"/>
    </xf>
    <xf numFmtId="0" fontId="21" fillId="0" borderId="111" xfId="507" applyFont="1" applyBorder="1" applyAlignment="1">
      <alignment vertical="center" wrapText="1"/>
    </xf>
    <xf numFmtId="0" fontId="71" fillId="0" borderId="111" xfId="329" applyFont="1" applyBorder="1" applyAlignment="1">
      <alignment horizontal="center" vertical="center"/>
    </xf>
    <xf numFmtId="49" fontId="71" fillId="0" borderId="111" xfId="397" applyNumberFormat="1" applyFont="1" applyBorder="1" applyAlignment="1">
      <alignment vertical="center"/>
    </xf>
    <xf numFmtId="0" fontId="71" fillId="0" borderId="111" xfId="329" applyFont="1" applyBorder="1" applyAlignment="1">
      <alignment horizontal="center" vertical="center" wrapText="1"/>
    </xf>
    <xf numFmtId="1" fontId="71" fillId="0" borderId="111" xfId="83" applyNumberFormat="1" applyFont="1" applyBorder="1" applyAlignment="1">
      <alignment horizontal="center" vertical="center"/>
    </xf>
    <xf numFmtId="3" fontId="71" fillId="0" borderId="111" xfId="76" quotePrefix="1" applyNumberFormat="1" applyFont="1" applyBorder="1" applyAlignment="1">
      <alignment horizontal="center" vertical="center"/>
    </xf>
    <xf numFmtId="0" fontId="73" fillId="0" borderId="111" xfId="397" applyFont="1" applyBorder="1" applyAlignment="1">
      <alignment horizontal="left" vertical="center"/>
    </xf>
    <xf numFmtId="0" fontId="71" fillId="0" borderId="111" xfId="397" applyFont="1" applyBorder="1">
      <alignment wrapText="1"/>
    </xf>
    <xf numFmtId="3" fontId="71" fillId="0" borderId="111" xfId="76" applyNumberFormat="1" applyFont="1" applyBorder="1" applyAlignment="1">
      <alignment vertical="center"/>
    </xf>
    <xf numFmtId="0" fontId="71" fillId="0" borderId="111" xfId="397" applyFont="1" applyBorder="1" applyAlignment="1">
      <alignment horizontal="center" wrapText="1"/>
    </xf>
    <xf numFmtId="1" fontId="71" fillId="0" borderId="111" xfId="78" applyNumberFormat="1" applyFont="1" applyBorder="1"/>
    <xf numFmtId="49" fontId="71" fillId="0" borderId="111" xfId="81" applyNumberFormat="1" applyFont="1" applyBorder="1" applyAlignment="1">
      <alignment horizontal="left" vertical="center"/>
    </xf>
    <xf numFmtId="0" fontId="71" fillId="0" borderId="111" xfId="81" applyFont="1" applyBorder="1" applyAlignment="1">
      <alignment horizontal="center" vertical="center"/>
    </xf>
    <xf numFmtId="0" fontId="73" fillId="0" borderId="111" xfId="81" applyFont="1" applyBorder="1" applyAlignment="1">
      <alignment horizontal="center" vertical="center"/>
    </xf>
    <xf numFmtId="0" fontId="71" fillId="0" borderId="111" xfId="81" applyFont="1" applyBorder="1" applyAlignment="1">
      <alignment horizontal="left" vertical="center"/>
    </xf>
    <xf numFmtId="49" fontId="71" fillId="0" borderId="111" xfId="329" applyNumberFormat="1" applyFont="1" applyBorder="1" applyAlignment="1">
      <alignment horizontal="center" vertical="center" wrapText="1"/>
    </xf>
    <xf numFmtId="49" fontId="73" fillId="0" borderId="111" xfId="329" applyNumberFormat="1" applyFont="1" applyBorder="1" applyAlignment="1">
      <alignment horizontal="center" vertical="center"/>
    </xf>
    <xf numFmtId="3" fontId="71" fillId="0" borderId="111" xfId="176" applyNumberFormat="1" applyFont="1" applyBorder="1" applyAlignment="1">
      <alignment horizontal="center" vertical="center"/>
    </xf>
    <xf numFmtId="0" fontId="73" fillId="0" borderId="111" xfId="398" applyFont="1" applyBorder="1" applyAlignment="1">
      <alignment horizontal="center" vertical="center" wrapText="1"/>
    </xf>
    <xf numFmtId="0" fontId="71" fillId="0" borderId="111" xfId="84" applyFont="1" applyBorder="1" applyAlignment="1">
      <alignment horizontal="center" vertical="center"/>
    </xf>
    <xf numFmtId="0" fontId="118" fillId="0" borderId="111" xfId="507" applyFont="1" applyBorder="1" applyAlignment="1">
      <alignment vertical="center" wrapText="1"/>
    </xf>
    <xf numFmtId="0" fontId="71" fillId="0" borderId="111" xfId="507" applyFont="1" applyBorder="1" applyAlignment="1">
      <alignment vertical="center" wrapText="1"/>
    </xf>
    <xf numFmtId="39" fontId="71" fillId="0" borderId="111" xfId="329" applyNumberFormat="1" applyFont="1" applyBorder="1" applyAlignment="1">
      <alignment vertical="center"/>
    </xf>
    <xf numFmtId="44" fontId="17" fillId="4" borderId="127" xfId="266" applyFont="1" applyFill="1" applyBorder="1" applyAlignment="1" applyProtection="1">
      <alignment vertical="center"/>
      <protection locked="0"/>
    </xf>
    <xf numFmtId="44" fontId="17" fillId="2" borderId="125" xfId="266" applyFont="1" applyFill="1" applyBorder="1" applyAlignment="1">
      <alignment vertical="center"/>
    </xf>
    <xf numFmtId="44" fontId="21" fillId="2" borderId="131" xfId="266" applyFont="1" applyFill="1" applyBorder="1" applyAlignment="1">
      <alignment vertical="center"/>
    </xf>
    <xf numFmtId="0" fontId="22" fillId="0" borderId="111" xfId="0" applyFont="1" applyBorder="1" applyAlignment="1">
      <alignment horizontal="right" vertical="center" wrapText="1"/>
    </xf>
    <xf numFmtId="0" fontId="71" fillId="0" borderId="111" xfId="398" applyFont="1" applyBorder="1" applyAlignment="1">
      <alignment horizontal="left" vertical="center"/>
    </xf>
    <xf numFmtId="3" fontId="71" fillId="0" borderId="111" xfId="77" quotePrefix="1" applyNumberFormat="1" applyFont="1" applyBorder="1" applyAlignment="1">
      <alignment horizontal="center" vertical="center"/>
    </xf>
    <xf numFmtId="0" fontId="22" fillId="0" borderId="125" xfId="0" applyFont="1" applyBorder="1" applyAlignment="1">
      <alignment horizontal="right" vertical="center" wrapText="1"/>
    </xf>
    <xf numFmtId="49" fontId="71" fillId="0" borderId="111" xfId="81" applyNumberFormat="1" applyFont="1" applyBorder="1" applyAlignment="1">
      <alignment horizontal="left" vertical="top"/>
    </xf>
    <xf numFmtId="49" fontId="71" fillId="0" borderId="111" xfId="396" applyNumberFormat="1" applyFont="1" applyBorder="1" applyAlignment="1">
      <alignment vertical="top"/>
    </xf>
    <xf numFmtId="0" fontId="71" fillId="0" borderId="111" xfId="396" applyFont="1" applyBorder="1" applyAlignment="1">
      <alignment horizontal="left" vertical="center" wrapText="1"/>
    </xf>
    <xf numFmtId="1" fontId="71" fillId="0" borderId="111" xfId="329" quotePrefix="1" applyNumberFormat="1" applyFont="1" applyBorder="1" applyAlignment="1">
      <alignment horizontal="center" vertical="center" wrapText="1"/>
    </xf>
    <xf numFmtId="1" fontId="71" fillId="0" borderId="111" xfId="397" applyNumberFormat="1" applyFont="1" applyBorder="1" applyAlignment="1">
      <alignment vertical="center"/>
    </xf>
    <xf numFmtId="0" fontId="73" fillId="0" borderId="115" xfId="397" applyFont="1" applyBorder="1" applyAlignment="1">
      <alignment horizontal="center" vertical="center"/>
    </xf>
    <xf numFmtId="1" fontId="71" fillId="0" borderId="111" xfId="83" applyNumberFormat="1" applyFont="1" applyBorder="1"/>
    <xf numFmtId="0" fontId="71" fillId="0" borderId="111" xfId="507" applyFont="1" applyBorder="1" applyAlignment="1">
      <alignment horizontal="center"/>
    </xf>
    <xf numFmtId="1" fontId="71" fillId="0" borderId="111" xfId="78" applyNumberFormat="1" applyFont="1" applyBorder="1" applyAlignment="1">
      <alignment vertical="center"/>
    </xf>
    <xf numFmtId="0" fontId="71" fillId="0" borderId="111" xfId="81" applyFont="1" applyBorder="1" applyAlignment="1">
      <alignment vertical="center" wrapText="1"/>
    </xf>
    <xf numFmtId="1" fontId="71" fillId="0" borderId="111" xfId="76" applyNumberFormat="1" applyFont="1" applyBorder="1" applyAlignment="1">
      <alignment vertical="center"/>
    </xf>
    <xf numFmtId="0" fontId="71" fillId="0" borderId="111" xfId="398" applyFont="1" applyBorder="1" applyAlignment="1">
      <alignment vertical="center"/>
    </xf>
    <xf numFmtId="3" fontId="71" fillId="0" borderId="111" xfId="176" applyNumberFormat="1" applyFont="1" applyBorder="1" applyAlignment="1">
      <alignment vertical="center"/>
    </xf>
    <xf numFmtId="0" fontId="71" fillId="0" borderId="111" xfId="84" applyFont="1" applyBorder="1" applyAlignment="1">
      <alignment vertical="center"/>
    </xf>
    <xf numFmtId="0" fontId="71" fillId="0" borderId="111" xfId="81" applyFont="1" applyBorder="1" applyAlignment="1">
      <alignment horizontal="center"/>
    </xf>
    <xf numFmtId="0" fontId="73" fillId="0" borderId="111" xfId="81" applyFont="1" applyBorder="1" applyAlignment="1">
      <alignment horizontal="center" vertical="top"/>
    </xf>
    <xf numFmtId="0" fontId="73" fillId="0" borderId="111" xfId="221" applyFont="1" applyBorder="1" applyAlignment="1">
      <alignment horizontal="center" vertical="top"/>
    </xf>
    <xf numFmtId="0" fontId="71" fillId="0" borderId="111" xfId="221" applyFont="1" applyBorder="1" applyAlignment="1">
      <alignment horizontal="center" vertical="top"/>
    </xf>
    <xf numFmtId="0" fontId="71" fillId="0" borderId="111" xfId="221" applyFont="1" applyBorder="1" applyAlignment="1">
      <alignment horizontal="left" vertical="center" wrapText="1"/>
    </xf>
    <xf numFmtId="0" fontId="73" fillId="0" borderId="111" xfId="507" applyFont="1" applyBorder="1" applyAlignment="1">
      <alignment vertical="center" wrapText="1"/>
    </xf>
    <xf numFmtId="0" fontId="71" fillId="0" borderId="111" xfId="507" quotePrefix="1" applyFont="1" applyBorder="1" applyAlignment="1">
      <alignment vertical="center" wrapText="1"/>
    </xf>
    <xf numFmtId="0" fontId="69" fillId="0" borderId="111" xfId="507" applyFont="1" applyBorder="1" applyAlignment="1">
      <alignment vertical="center" wrapText="1"/>
    </xf>
    <xf numFmtId="0" fontId="73" fillId="0" borderId="111" xfId="221" applyFont="1" applyBorder="1" applyAlignment="1">
      <alignment horizontal="center" vertical="center"/>
    </xf>
    <xf numFmtId="0" fontId="71" fillId="0" borderId="111" xfId="397" applyFont="1" applyBorder="1" applyAlignment="1">
      <alignment horizontal="left"/>
    </xf>
    <xf numFmtId="0" fontId="71" fillId="0" borderId="111" xfId="398" applyFont="1" applyBorder="1" applyAlignment="1">
      <alignment horizontal="left"/>
    </xf>
    <xf numFmtId="0" fontId="71" fillId="0" borderId="111" xfId="81" applyFont="1" applyBorder="1" applyAlignment="1">
      <alignment horizontal="left" vertical="top"/>
    </xf>
    <xf numFmtId="3" fontId="71" fillId="0" borderId="111" xfId="85" applyNumberFormat="1" applyFont="1" applyBorder="1" applyAlignment="1">
      <alignment vertical="center"/>
    </xf>
    <xf numFmtId="0" fontId="71" fillId="0" borderId="111" xfId="396" applyFont="1" applyBorder="1" applyAlignment="1">
      <alignment vertical="center"/>
    </xf>
    <xf numFmtId="0" fontId="73" fillId="0" borderId="111" xfId="396" applyFont="1" applyBorder="1" applyAlignment="1">
      <alignment horizontal="center" vertical="top"/>
    </xf>
    <xf numFmtId="1" fontId="71" fillId="0" borderId="111" xfId="90" applyNumberFormat="1" applyFont="1" applyBorder="1" applyAlignment="1">
      <alignment vertical="center"/>
    </xf>
    <xf numFmtId="1" fontId="71" fillId="0" borderId="111" xfId="90" applyNumberFormat="1" applyFont="1" applyBorder="1" applyAlignment="1">
      <alignment horizontal="center" vertical="center"/>
    </xf>
    <xf numFmtId="2" fontId="73" fillId="0" borderId="111" xfId="397" applyNumberFormat="1" applyFont="1" applyBorder="1" applyAlignment="1">
      <alignment horizontal="center" vertical="center"/>
    </xf>
    <xf numFmtId="0" fontId="100" fillId="0" borderId="111" xfId="507" applyFont="1" applyBorder="1" applyAlignment="1">
      <alignment vertical="center" wrapText="1"/>
    </xf>
    <xf numFmtId="0" fontId="71" fillId="0" borderId="111" xfId="329" applyFont="1" applyBorder="1" applyAlignment="1">
      <alignment vertical="center" wrapText="1"/>
    </xf>
    <xf numFmtId="3" fontId="71" fillId="0" borderId="111" xfId="77" applyNumberFormat="1" applyFont="1" applyBorder="1" applyAlignment="1">
      <alignment vertical="center"/>
    </xf>
    <xf numFmtId="0" fontId="71" fillId="0" borderId="111" xfId="221" applyFont="1" applyBorder="1" applyAlignment="1">
      <alignment vertical="top"/>
    </xf>
    <xf numFmtId="0" fontId="21" fillId="0" borderId="127" xfId="0" applyFont="1" applyBorder="1" applyAlignment="1">
      <alignment horizontal="center" vertical="center" wrapText="1"/>
    </xf>
    <xf numFmtId="0" fontId="22" fillId="0" borderId="127" xfId="0" applyFont="1" applyBorder="1" applyAlignment="1">
      <alignment horizontal="right" vertical="center" wrapText="1"/>
    </xf>
    <xf numFmtId="1" fontId="71" fillId="0" borderId="111" xfId="76" applyNumberFormat="1" applyFont="1" applyBorder="1" applyAlignment="1">
      <alignment horizontal="center" vertical="center"/>
    </xf>
    <xf numFmtId="0" fontId="1" fillId="0" borderId="115" xfId="507" applyFont="1" applyBorder="1" applyAlignment="1">
      <alignment horizontal="center"/>
    </xf>
    <xf numFmtId="0" fontId="71" fillId="0" borderId="111" xfId="329" applyFont="1" applyBorder="1" applyAlignment="1">
      <alignment vertical="center"/>
    </xf>
    <xf numFmtId="0" fontId="69" fillId="0" borderId="131" xfId="507" applyFont="1" applyBorder="1" applyAlignment="1">
      <alignment vertical="center" wrapText="1"/>
    </xf>
    <xf numFmtId="0" fontId="21" fillId="0" borderId="125" xfId="0" applyFont="1" applyBorder="1" applyAlignment="1">
      <alignment horizontal="center" vertical="center" wrapText="1"/>
    </xf>
    <xf numFmtId="179" fontId="71" fillId="0" borderId="111" xfId="329" applyNumberFormat="1" applyFont="1" applyBorder="1" applyAlignment="1">
      <alignment vertical="center" wrapText="1"/>
    </xf>
    <xf numFmtId="0" fontId="71" fillId="0" borderId="111" xfId="398" applyFont="1" applyBorder="1" applyAlignment="1">
      <alignment horizontal="left" vertical="center" wrapText="1"/>
    </xf>
    <xf numFmtId="0" fontId="73" fillId="0" borderId="111" xfId="39" applyFont="1" applyBorder="1" applyAlignment="1">
      <alignment horizontal="left" vertical="center" wrapText="1"/>
    </xf>
    <xf numFmtId="0" fontId="73" fillId="0" borderId="111" xfId="81" applyFont="1" applyBorder="1" applyAlignment="1">
      <alignment horizontal="left" vertical="top"/>
    </xf>
    <xf numFmtId="0" fontId="69" fillId="0" borderId="116" xfId="2" applyFont="1" applyBorder="1" applyAlignment="1">
      <alignment vertical="center" wrapText="1"/>
    </xf>
    <xf numFmtId="0" fontId="100" fillId="0" borderId="111" xfId="2" applyFont="1" applyBorder="1" applyAlignment="1">
      <alignment vertical="center" wrapText="1"/>
    </xf>
    <xf numFmtId="0" fontId="70" fillId="0" borderId="111" xfId="2" applyFont="1" applyBorder="1" applyAlignment="1">
      <alignment vertical="center" wrapText="1"/>
    </xf>
    <xf numFmtId="0" fontId="70" fillId="0" borderId="116" xfId="2" applyFont="1" applyBorder="1" applyAlignment="1">
      <alignment vertical="center" wrapText="1"/>
    </xf>
    <xf numFmtId="0" fontId="73" fillId="0" borderId="111" xfId="398" applyFont="1" applyBorder="1" applyAlignment="1">
      <alignment horizontal="left"/>
    </xf>
    <xf numFmtId="49" fontId="71" fillId="0" borderId="111" xfId="81" applyNumberFormat="1" applyFont="1" applyBorder="1" applyAlignment="1">
      <alignment horizontal="center" vertical="center"/>
    </xf>
    <xf numFmtId="0" fontId="73" fillId="0" borderId="111" xfId="395" applyFont="1" applyBorder="1" applyAlignment="1">
      <alignment horizontal="center" wrapText="1"/>
    </xf>
    <xf numFmtId="0" fontId="71" fillId="0" borderId="111" xfId="395" applyFont="1" applyBorder="1" applyAlignment="1">
      <alignment horizontal="left"/>
    </xf>
    <xf numFmtId="0" fontId="73" fillId="0" borderId="111" xfId="397" quotePrefix="1" applyFont="1" applyBorder="1" applyAlignment="1">
      <alignment horizontal="center" vertical="center"/>
    </xf>
    <xf numFmtId="0" fontId="73" fillId="0" borderId="111" xfId="397" applyFont="1" applyBorder="1" applyAlignment="1">
      <alignment horizontal="center" vertical="top"/>
    </xf>
    <xf numFmtId="49" fontId="71" fillId="0" borderId="111" xfId="81" applyNumberFormat="1" applyFont="1" applyBorder="1" applyAlignment="1">
      <alignment horizontal="center"/>
    </xf>
    <xf numFmtId="49" fontId="71" fillId="0" borderId="111" xfId="329" applyNumberFormat="1" applyFont="1" applyBorder="1" applyAlignment="1">
      <alignment horizontal="center" wrapText="1"/>
    </xf>
    <xf numFmtId="39" fontId="71" fillId="0" borderId="111" xfId="329" quotePrefix="1" applyNumberFormat="1" applyFont="1" applyBorder="1" applyAlignment="1">
      <alignment horizontal="center" vertical="center" wrapText="1"/>
    </xf>
    <xf numFmtId="0" fontId="71" fillId="0" borderId="111" xfId="329" applyFont="1" applyBorder="1" applyAlignment="1">
      <alignment horizontal="center"/>
    </xf>
    <xf numFmtId="0" fontId="71" fillId="0" borderId="111" xfId="398" applyFont="1" applyBorder="1" applyAlignment="1">
      <alignment horizontal="center"/>
    </xf>
    <xf numFmtId="0" fontId="119" fillId="0" borderId="111" xfId="39" applyFont="1" applyBorder="1" applyAlignment="1">
      <alignment horizontal="left" vertical="center" wrapText="1"/>
    </xf>
    <xf numFmtId="0" fontId="100" fillId="0" borderId="120" xfId="507" applyFont="1" applyBorder="1" applyAlignment="1">
      <alignment vertical="center" wrapText="1"/>
    </xf>
    <xf numFmtId="0" fontId="73" fillId="0" borderId="111" xfId="397" applyFont="1" applyBorder="1" applyAlignment="1">
      <alignment horizontal="left"/>
    </xf>
    <xf numFmtId="0" fontId="119" fillId="0" borderId="111" xfId="398" applyFont="1" applyBorder="1" applyAlignment="1">
      <alignment horizontal="left" vertical="center" wrapText="1"/>
    </xf>
    <xf numFmtId="1" fontId="71" fillId="0" borderId="111" xfId="78" applyNumberFormat="1" applyFont="1" applyBorder="1" applyAlignment="1">
      <alignment horizontal="center"/>
    </xf>
    <xf numFmtId="1" fontId="71" fillId="0" borderId="111" xfId="83" applyNumberFormat="1" applyFont="1" applyBorder="1" applyAlignment="1">
      <alignment horizontal="center"/>
    </xf>
    <xf numFmtId="0" fontId="114" fillId="0" borderId="111" xfId="0" applyFont="1" applyBorder="1" applyAlignment="1">
      <alignment vertical="center" wrapText="1"/>
    </xf>
    <xf numFmtId="0" fontId="71" fillId="0" borderId="111" xfId="396" applyFont="1" applyBorder="1" applyAlignment="1">
      <alignment vertical="center" wrapText="1"/>
    </xf>
    <xf numFmtId="0" fontId="73" fillId="0" borderId="111" xfId="81" applyFont="1" applyBorder="1" applyAlignment="1">
      <alignment horizontal="left" vertical="center" wrapText="1"/>
    </xf>
    <xf numFmtId="0" fontId="71" fillId="0" borderId="111" xfId="81" applyFont="1" applyBorder="1" applyAlignment="1">
      <alignment horizontal="left" vertical="center" wrapText="1"/>
    </xf>
    <xf numFmtId="3" fontId="71" fillId="0" borderId="111" xfId="77" quotePrefix="1" applyNumberFormat="1" applyFont="1" applyBorder="1" applyAlignment="1">
      <alignment vertical="center"/>
    </xf>
    <xf numFmtId="0" fontId="119" fillId="0" borderId="111" xfId="507" applyFont="1" applyBorder="1" applyAlignment="1">
      <alignment vertical="center" wrapText="1"/>
    </xf>
    <xf numFmtId="0" fontId="71" fillId="0" borderId="111" xfId="329" applyFont="1" applyBorder="1" applyAlignment="1">
      <alignment horizontal="left" vertical="center" wrapText="1"/>
    </xf>
    <xf numFmtId="0" fontId="69" fillId="0" borderId="131" xfId="0" applyFont="1" applyBorder="1" applyAlignment="1">
      <alignment vertical="center" wrapText="1"/>
    </xf>
    <xf numFmtId="0" fontId="101" fillId="0" borderId="120" xfId="0" applyFont="1" applyBorder="1" applyAlignment="1">
      <alignment horizontal="center"/>
    </xf>
    <xf numFmtId="44" fontId="101" fillId="0" borderId="95" xfId="198" applyFont="1" applyFill="1" applyBorder="1" applyAlignment="1" applyProtection="1">
      <alignment horizontal="center"/>
      <protection locked="0"/>
    </xf>
    <xf numFmtId="44" fontId="101" fillId="0" borderId="95" xfId="198" applyFont="1" applyBorder="1" applyAlignment="1" applyProtection="1">
      <alignment horizontal="center"/>
      <protection locked="0"/>
    </xf>
    <xf numFmtId="44" fontId="101" fillId="0" borderId="95" xfId="198" applyFont="1" applyBorder="1" applyAlignment="1" applyProtection="1">
      <alignment horizontal="center"/>
    </xf>
    <xf numFmtId="0" fontId="71" fillId="2" borderId="121" xfId="394" applyFont="1" applyFill="1" applyBorder="1" applyAlignment="1">
      <alignment horizontal="center" vertical="center"/>
    </xf>
    <xf numFmtId="168" fontId="71" fillId="2" borderId="125" xfId="394" applyNumberFormat="1" applyFont="1" applyFill="1" applyBorder="1" applyAlignment="1">
      <alignment horizontal="right" vertical="top"/>
    </xf>
    <xf numFmtId="0" fontId="73" fillId="2" borderId="132" xfId="394" applyFont="1" applyFill="1" applyBorder="1" applyAlignment="1">
      <alignment horizontal="center" vertical="center"/>
    </xf>
    <xf numFmtId="44" fontId="21" fillId="2" borderId="131" xfId="394" applyNumberFormat="1" applyFont="1" applyFill="1" applyBorder="1" applyAlignment="1">
      <alignment horizontal="right" vertical="top"/>
    </xf>
    <xf numFmtId="0" fontId="17" fillId="0" borderId="125" xfId="1" applyBorder="1" applyAlignment="1">
      <alignment horizontal="center" vertical="center" wrapText="1"/>
    </xf>
    <xf numFmtId="44" fontId="17" fillId="0" borderId="115" xfId="198" applyFont="1" applyBorder="1" applyAlignment="1" applyProtection="1">
      <alignment horizontal="right" vertical="center"/>
      <protection locked="0"/>
    </xf>
    <xf numFmtId="44" fontId="17" fillId="0" borderId="125" xfId="198" applyFont="1" applyBorder="1" applyAlignment="1">
      <alignment horizontal="right" vertical="top"/>
    </xf>
    <xf numFmtId="0" fontId="42" fillId="0" borderId="111" xfId="0" applyFont="1" applyBorder="1" applyAlignment="1">
      <alignment vertical="center" wrapText="1"/>
    </xf>
    <xf numFmtId="44" fontId="40" fillId="0" borderId="115" xfId="198" applyFont="1" applyFill="1" applyBorder="1" applyAlignment="1" applyProtection="1">
      <alignment horizontal="right" vertical="center" wrapText="1"/>
      <protection locked="0"/>
    </xf>
    <xf numFmtId="44" fontId="40" fillId="0" borderId="111" xfId="198" applyFont="1" applyFill="1" applyBorder="1" applyAlignment="1">
      <alignment horizontal="right" vertical="center" wrapText="1"/>
    </xf>
    <xf numFmtId="0" fontId="40" fillId="0" borderId="115" xfId="0" applyFont="1" applyBorder="1" applyAlignment="1">
      <alignment horizontal="center" vertical="center" wrapText="1"/>
    </xf>
    <xf numFmtId="0" fontId="21" fillId="0" borderId="115" xfId="2" applyFont="1" applyBorder="1" applyAlignment="1">
      <alignment horizontal="center" vertical="center"/>
    </xf>
    <xf numFmtId="0" fontId="21" fillId="0" borderId="111" xfId="210" applyFont="1" applyBorder="1">
      <alignment wrapText="1"/>
    </xf>
    <xf numFmtId="1" fontId="17" fillId="0" borderId="111" xfId="210" applyNumberFormat="1" applyFont="1" applyBorder="1" applyAlignment="1">
      <alignment horizontal="center" vertical="center"/>
    </xf>
    <xf numFmtId="0" fontId="107" fillId="0" borderId="111" xfId="210" quotePrefix="1" applyFont="1" applyBorder="1">
      <alignment wrapText="1"/>
    </xf>
    <xf numFmtId="49" fontId="17" fillId="0" borderId="111" xfId="210" applyNumberFormat="1" applyFont="1" applyBorder="1" applyAlignment="1">
      <alignment horizontal="center" vertical="center" wrapText="1"/>
    </xf>
    <xf numFmtId="3" fontId="17" fillId="0" borderId="111" xfId="76" applyNumberFormat="1" applyFont="1" applyBorder="1" applyAlignment="1">
      <alignment horizontal="center" vertical="center"/>
    </xf>
    <xf numFmtId="3" fontId="17" fillId="0" borderId="111" xfId="76" quotePrefix="1" applyNumberFormat="1" applyFont="1" applyFill="1" applyBorder="1" applyAlignment="1">
      <alignment horizontal="center" vertical="center"/>
    </xf>
    <xf numFmtId="3" fontId="17" fillId="0" borderId="126" xfId="76" quotePrefix="1" applyNumberFormat="1" applyFont="1" applyFill="1" applyBorder="1" applyAlignment="1">
      <alignment horizontal="center" vertical="center"/>
    </xf>
    <xf numFmtId="0" fontId="17" fillId="0" borderId="111" xfId="210" applyFont="1" applyBorder="1" applyAlignment="1">
      <alignment horizontal="left" vertical="top" wrapText="1"/>
    </xf>
    <xf numFmtId="1" fontId="17" fillId="0" borderId="126" xfId="78" applyNumberFormat="1" applyFont="1" applyFill="1" applyBorder="1" applyAlignment="1">
      <alignment horizontal="center" vertical="center"/>
    </xf>
    <xf numFmtId="44" fontId="17" fillId="0" borderId="115" xfId="198" applyFont="1" applyBorder="1" applyAlignment="1" applyProtection="1">
      <alignment horizontal="left" vertical="center"/>
      <protection locked="0"/>
    </xf>
    <xf numFmtId="44" fontId="17" fillId="0" borderId="115" xfId="198" applyFont="1" applyBorder="1" applyAlignment="1" applyProtection="1">
      <alignment vertical="center"/>
      <protection locked="0"/>
    </xf>
    <xf numFmtId="44" fontId="17" fillId="0" borderId="115" xfId="198" applyFont="1" applyBorder="1" applyAlignment="1" applyProtection="1">
      <alignment horizontal="center" vertical="center" wrapText="1"/>
      <protection locked="0"/>
    </xf>
    <xf numFmtId="0" fontId="17" fillId="0" borderId="111" xfId="210" applyFont="1" applyBorder="1" applyAlignment="1">
      <alignment vertical="top" wrapText="1"/>
    </xf>
    <xf numFmtId="1" fontId="17" fillId="0" borderId="111" xfId="83" applyNumberFormat="1" applyFont="1" applyBorder="1" applyAlignment="1">
      <alignment horizontal="center" vertical="center"/>
    </xf>
    <xf numFmtId="0" fontId="17" fillId="12" borderId="111" xfId="210" applyFont="1" applyFill="1" applyBorder="1" applyAlignment="1">
      <alignment vertical="top" wrapText="1"/>
    </xf>
    <xf numFmtId="2" fontId="17" fillId="0" borderId="111" xfId="210" applyNumberFormat="1" applyFont="1" applyBorder="1" applyAlignment="1">
      <alignment horizontal="center" vertical="center" wrapText="1"/>
    </xf>
    <xf numFmtId="0" fontId="17" fillId="0" borderId="115" xfId="210" applyFont="1" applyBorder="1" applyAlignment="1">
      <alignment horizontal="center" vertical="center" wrapText="1"/>
    </xf>
    <xf numFmtId="49" fontId="17" fillId="0" borderId="115" xfId="210" applyNumberFormat="1" applyFont="1" applyBorder="1" applyAlignment="1">
      <alignment horizontal="center" vertical="center" wrapText="1"/>
    </xf>
    <xf numFmtId="2" fontId="17" fillId="0" borderId="115" xfId="210" applyNumberFormat="1" applyFont="1" applyBorder="1" applyAlignment="1">
      <alignment horizontal="center" vertical="center" wrapText="1"/>
    </xf>
    <xf numFmtId="0" fontId="21" fillId="0" borderId="111" xfId="210" applyFont="1" applyBorder="1" applyAlignment="1">
      <alignment vertical="top" wrapText="1"/>
    </xf>
    <xf numFmtId="0" fontId="21" fillId="0" borderId="111" xfId="210" applyFont="1" applyBorder="1" applyAlignment="1">
      <alignment horizontal="left"/>
    </xf>
    <xf numFmtId="0" fontId="17" fillId="0" borderId="111" xfId="210" applyFont="1" applyBorder="1" applyAlignment="1">
      <alignment horizontal="left"/>
    </xf>
    <xf numFmtId="0" fontId="17" fillId="0" borderId="111" xfId="208" applyFont="1" applyBorder="1" applyAlignment="1">
      <alignment horizontal="center" vertical="center" wrapText="1"/>
    </xf>
    <xf numFmtId="44" fontId="17" fillId="0" borderId="115" xfId="198" applyFont="1" applyFill="1" applyBorder="1" applyAlignment="1" applyProtection="1">
      <alignment horizontal="center" vertical="center"/>
      <protection locked="0"/>
    </xf>
    <xf numFmtId="49" fontId="17" fillId="2" borderId="124" xfId="0" applyNumberFormat="1" applyFont="1" applyFill="1" applyBorder="1" applyAlignment="1">
      <alignment horizontal="center" vertical="center" wrapText="1"/>
    </xf>
    <xf numFmtId="44" fontId="17" fillId="2" borderId="125" xfId="198" applyFont="1" applyFill="1" applyBorder="1" applyAlignment="1" applyProtection="1">
      <alignment horizontal="center" vertical="center"/>
    </xf>
    <xf numFmtId="49" fontId="17" fillId="2" borderId="132" xfId="0" applyNumberFormat="1" applyFont="1" applyFill="1" applyBorder="1" applyAlignment="1">
      <alignment horizontal="center" vertical="center" wrapText="1"/>
    </xf>
    <xf numFmtId="44" fontId="21" fillId="2" borderId="131" xfId="198" applyFont="1" applyFill="1" applyBorder="1" applyAlignment="1" applyProtection="1">
      <alignment horizontal="center" vertical="center"/>
    </xf>
    <xf numFmtId="44" fontId="17" fillId="0" borderId="116" xfId="198" applyFont="1" applyFill="1" applyBorder="1" applyAlignment="1" applyProtection="1">
      <alignment horizontal="center" vertical="center"/>
      <protection locked="0"/>
    </xf>
    <xf numFmtId="44" fontId="17" fillId="0" borderId="116" xfId="198" applyFont="1" applyBorder="1" applyAlignment="1" applyProtection="1">
      <alignment horizontal="center" vertical="center"/>
      <protection locked="0"/>
    </xf>
    <xf numFmtId="0" fontId="21" fillId="0" borderId="111" xfId="209" applyFont="1" applyBorder="1" applyAlignment="1">
      <alignment horizontal="center" vertical="center" wrapText="1"/>
    </xf>
    <xf numFmtId="1" fontId="17" fillId="0" borderId="111" xfId="76" applyNumberFormat="1" applyFont="1" applyFill="1" applyBorder="1" applyAlignment="1">
      <alignment horizontal="center" vertical="center"/>
    </xf>
    <xf numFmtId="0" fontId="21" fillId="0" borderId="111" xfId="39" applyFont="1" applyBorder="1" applyAlignment="1">
      <alignment horizontal="left"/>
    </xf>
    <xf numFmtId="0" fontId="17" fillId="0" borderId="111" xfId="209" applyFont="1" applyBorder="1" applyAlignment="1">
      <alignment horizontal="center" vertical="center"/>
    </xf>
    <xf numFmtId="3" fontId="17" fillId="0" borderId="111" xfId="176" applyNumberFormat="1" applyFont="1" applyFill="1" applyBorder="1" applyAlignment="1">
      <alignment horizontal="center" vertical="center"/>
    </xf>
    <xf numFmtId="0" fontId="21" fillId="0" borderId="111" xfId="209" applyFont="1" applyBorder="1" applyAlignment="1">
      <alignment horizontal="left"/>
    </xf>
    <xf numFmtId="0" fontId="17" fillId="0" borderId="111" xfId="209" applyFont="1" applyBorder="1" applyAlignment="1">
      <alignment horizontal="left"/>
    </xf>
    <xf numFmtId="0" fontId="17" fillId="0" borderId="111" xfId="84" applyBorder="1" applyAlignment="1">
      <alignment horizontal="center" vertical="center"/>
    </xf>
    <xf numFmtId="1" fontId="17" fillId="0" borderId="111" xfId="88" applyNumberFormat="1" applyFont="1" applyBorder="1" applyAlignment="1">
      <alignment horizontal="center" vertical="center"/>
    </xf>
    <xf numFmtId="0" fontId="17" fillId="0" borderId="111" xfId="2" applyBorder="1" applyAlignment="1">
      <alignment horizontal="left" vertical="top" wrapText="1"/>
    </xf>
    <xf numFmtId="0" fontId="21" fillId="0" borderId="111" xfId="208" applyFont="1" applyBorder="1" applyAlignment="1">
      <alignment horizontal="center" vertical="center" wrapText="1"/>
    </xf>
    <xf numFmtId="0" fontId="21" fillId="0" borderId="111" xfId="208" applyFont="1" applyBorder="1" applyAlignment="1">
      <alignment vertical="center" wrapText="1"/>
    </xf>
    <xf numFmtId="0" fontId="17" fillId="0" borderId="111" xfId="208" applyFont="1" applyBorder="1" applyAlignment="1">
      <alignment horizontal="center" vertical="center"/>
    </xf>
    <xf numFmtId="1" fontId="17" fillId="0" borderId="111" xfId="208" applyNumberFormat="1" applyFont="1" applyBorder="1" applyAlignment="1">
      <alignment horizontal="center" vertical="center"/>
    </xf>
    <xf numFmtId="0" fontId="32" fillId="0" borderId="111" xfId="208" applyFont="1" applyBorder="1">
      <alignment wrapText="1"/>
    </xf>
    <xf numFmtId="49" fontId="17" fillId="0" borderId="111" xfId="208" applyNumberFormat="1" applyFont="1" applyBorder="1" applyAlignment="1">
      <alignment horizontal="center" vertical="center" wrapText="1"/>
    </xf>
    <xf numFmtId="0" fontId="21" fillId="0" borderId="111" xfId="208" applyFont="1" applyBorder="1" applyAlignment="1">
      <alignment horizontal="left" vertical="top" wrapText="1"/>
    </xf>
    <xf numFmtId="0" fontId="21" fillId="0" borderId="111" xfId="208" applyFont="1" applyBorder="1" applyAlignment="1">
      <alignment horizontal="left" vertical="top"/>
    </xf>
    <xf numFmtId="3" fontId="17" fillId="0" borderId="111" xfId="181" applyNumberFormat="1" applyFont="1" applyBorder="1" applyAlignment="1">
      <alignment horizontal="center" vertical="center"/>
    </xf>
    <xf numFmtId="1" fontId="17" fillId="0" borderId="126" xfId="83" applyNumberFormat="1" applyFont="1" applyBorder="1" applyAlignment="1">
      <alignment horizontal="center" vertical="center"/>
    </xf>
    <xf numFmtId="0" fontId="21" fillId="0" borderId="111" xfId="210" applyFont="1" applyBorder="1" applyAlignment="1">
      <alignment horizontal="left" vertical="center" wrapText="1"/>
    </xf>
    <xf numFmtId="0" fontId="21" fillId="0" borderId="111" xfId="208" applyFont="1" applyBorder="1" applyAlignment="1">
      <alignment horizontal="left"/>
    </xf>
    <xf numFmtId="0" fontId="17" fillId="0" borderId="111" xfId="208" applyFont="1" applyBorder="1" applyAlignment="1">
      <alignment horizontal="left"/>
    </xf>
    <xf numFmtId="44" fontId="82" fillId="0" borderId="115" xfId="198" applyFont="1" applyFill="1" applyBorder="1" applyProtection="1">
      <protection locked="0"/>
    </xf>
    <xf numFmtId="3" fontId="17" fillId="0" borderId="111" xfId="313" applyNumberFormat="1" applyFont="1" applyBorder="1" applyAlignment="1">
      <alignment horizontal="center" vertical="center"/>
    </xf>
    <xf numFmtId="0" fontId="21" fillId="0" borderId="111" xfId="207" applyFont="1" applyBorder="1" applyAlignment="1">
      <alignment horizontal="center" vertical="center" wrapText="1"/>
    </xf>
    <xf numFmtId="3" fontId="17" fillId="0" borderId="111" xfId="313" quotePrefix="1" applyNumberFormat="1" applyFont="1" applyBorder="1" applyAlignment="1">
      <alignment horizontal="center" vertical="center"/>
    </xf>
    <xf numFmtId="0" fontId="17" fillId="0" borderId="111" xfId="207" applyFont="1" applyBorder="1" applyAlignment="1">
      <alignment horizontal="center" vertical="center" wrapText="1"/>
    </xf>
    <xf numFmtId="0" fontId="17" fillId="0" borderId="111" xfId="207" applyFont="1" applyBorder="1" applyAlignment="1">
      <alignment horizontal="center" vertical="center"/>
    </xf>
    <xf numFmtId="3" fontId="17" fillId="0" borderId="111" xfId="178" applyNumberFormat="1" applyFont="1" applyFill="1" applyBorder="1" applyAlignment="1">
      <alignment horizontal="center" vertical="center"/>
    </xf>
    <xf numFmtId="0" fontId="21" fillId="0" borderId="111" xfId="207" applyFont="1" applyBorder="1" applyAlignment="1">
      <alignment horizontal="left"/>
    </xf>
    <xf numFmtId="0" fontId="17" fillId="0" borderId="111" xfId="207" applyFont="1" applyBorder="1" applyAlignment="1">
      <alignment horizontal="left"/>
    </xf>
    <xf numFmtId="0" fontId="17" fillId="0" borderId="111" xfId="206" applyFont="1" applyBorder="1" applyAlignment="1">
      <alignment horizontal="center" vertical="center" wrapText="1"/>
    </xf>
    <xf numFmtId="0" fontId="21" fillId="0" borderId="111" xfId="81" applyFont="1" applyBorder="1" applyAlignment="1">
      <alignment horizontal="left" vertical="top"/>
    </xf>
    <xf numFmtId="0" fontId="17" fillId="0" borderId="126" xfId="84" applyBorder="1" applyAlignment="1">
      <alignment horizontal="center" vertical="center"/>
    </xf>
    <xf numFmtId="0" fontId="17" fillId="0" borderId="111" xfId="206" applyFont="1" applyBorder="1" applyAlignment="1">
      <alignment horizontal="left" vertical="center" wrapText="1"/>
    </xf>
    <xf numFmtId="0" fontId="17" fillId="0" borderId="111" xfId="206" applyFont="1" applyBorder="1" applyAlignment="1">
      <alignment horizontal="center" vertical="center"/>
    </xf>
    <xf numFmtId="0" fontId="17" fillId="0" borderId="111" xfId="206" applyFont="1" applyBorder="1" applyAlignment="1">
      <alignment horizontal="left" vertical="top" wrapText="1"/>
    </xf>
    <xf numFmtId="0" fontId="17" fillId="0" borderId="126" xfId="206" applyFont="1" applyBorder="1" applyAlignment="1">
      <alignment horizontal="center" vertical="center"/>
    </xf>
    <xf numFmtId="49" fontId="17" fillId="0" borderId="111" xfId="206" applyNumberFormat="1" applyFont="1" applyBorder="1" applyAlignment="1">
      <alignment horizontal="center" vertical="center" wrapText="1"/>
    </xf>
    <xf numFmtId="0" fontId="17" fillId="0" borderId="111" xfId="81" applyBorder="1" applyAlignment="1">
      <alignment horizontal="left" vertical="center" wrapText="1"/>
    </xf>
    <xf numFmtId="0" fontId="17" fillId="0" borderId="126" xfId="81" applyBorder="1" applyAlignment="1">
      <alignment horizontal="center" vertical="center"/>
    </xf>
    <xf numFmtId="0" fontId="21" fillId="0" borderId="111" xfId="210" applyFont="1" applyBorder="1" applyAlignment="1">
      <alignment horizontal="center" vertical="center"/>
    </xf>
    <xf numFmtId="0" fontId="32" fillId="0" borderId="111" xfId="210" applyFont="1" applyBorder="1">
      <alignment wrapText="1"/>
    </xf>
    <xf numFmtId="49" fontId="17" fillId="0" borderId="115" xfId="210" applyNumberFormat="1" applyFont="1" applyBorder="1" applyAlignment="1">
      <alignment horizontal="center" vertical="center"/>
    </xf>
    <xf numFmtId="0" fontId="17" fillId="0" borderId="115" xfId="210" applyFont="1" applyBorder="1" applyAlignment="1">
      <alignment horizontal="center" vertical="center"/>
    </xf>
    <xf numFmtId="0" fontId="17" fillId="0" borderId="126" xfId="210" applyFont="1" applyBorder="1" applyAlignment="1">
      <alignment horizontal="center" vertical="center"/>
    </xf>
    <xf numFmtId="0" fontId="17" fillId="0" borderId="126" xfId="210" applyFont="1" applyBorder="1" applyAlignment="1">
      <alignment horizontal="center" vertical="center" wrapText="1"/>
    </xf>
    <xf numFmtId="2" fontId="17" fillId="0" borderId="115" xfId="210" applyNumberFormat="1" applyFont="1" applyBorder="1" applyAlignment="1">
      <alignment horizontal="center" vertical="center"/>
    </xf>
    <xf numFmtId="0" fontId="21" fillId="0" borderId="111" xfId="209" applyFont="1" applyBorder="1" applyAlignment="1">
      <alignment horizontal="center" vertical="center"/>
    </xf>
    <xf numFmtId="3" fontId="17" fillId="0" borderId="111" xfId="77" applyNumberFormat="1" applyFont="1" applyBorder="1" applyAlignment="1">
      <alignment horizontal="center" vertical="center"/>
    </xf>
    <xf numFmtId="0" fontId="21" fillId="0" borderId="111" xfId="208" applyFont="1" applyBorder="1" applyAlignment="1">
      <alignment horizontal="center" vertical="center"/>
    </xf>
    <xf numFmtId="0" fontId="21" fillId="0" borderId="111" xfId="208" applyFont="1" applyBorder="1">
      <alignment wrapText="1"/>
    </xf>
    <xf numFmtId="49" fontId="17" fillId="0" borderId="111" xfId="208" applyNumberFormat="1" applyFont="1" applyBorder="1" applyAlignment="1">
      <alignment horizontal="center" vertical="center"/>
    </xf>
    <xf numFmtId="1" fontId="17" fillId="0" borderId="111" xfId="78" applyNumberFormat="1" applyFont="1" applyFill="1" applyBorder="1" applyAlignment="1">
      <alignment horizontal="center" vertical="center"/>
    </xf>
    <xf numFmtId="44" fontId="17" fillId="0" borderId="132" xfId="198" applyFont="1" applyBorder="1" applyAlignment="1" applyProtection="1">
      <alignment horizontal="center" vertical="center"/>
      <protection locked="0"/>
    </xf>
    <xf numFmtId="3" fontId="17" fillId="0" borderId="126" xfId="76" applyNumberFormat="1" applyFont="1" applyFill="1" applyBorder="1" applyAlignment="1">
      <alignment horizontal="center" vertical="center"/>
    </xf>
    <xf numFmtId="0" fontId="21" fillId="0" borderId="111" xfId="207" applyFont="1" applyBorder="1" applyAlignment="1">
      <alignment horizontal="center" vertical="center"/>
    </xf>
    <xf numFmtId="3" fontId="17" fillId="0" borderId="126" xfId="181" applyNumberFormat="1" applyFont="1" applyFill="1" applyBorder="1" applyAlignment="1">
      <alignment horizontal="center" vertical="center"/>
    </xf>
    <xf numFmtId="44" fontId="17" fillId="2" borderId="125" xfId="198" applyFont="1" applyFill="1" applyBorder="1" applyAlignment="1">
      <alignment horizontal="center" vertical="center"/>
    </xf>
    <xf numFmtId="44" fontId="21" fillId="2" borderId="131" xfId="198" applyFont="1" applyFill="1" applyBorder="1" applyAlignment="1">
      <alignment horizontal="center" vertical="center"/>
    </xf>
    <xf numFmtId="0" fontId="21" fillId="0" borderId="111" xfId="1" applyFont="1" applyBorder="1" applyAlignment="1">
      <alignment horizontal="left" vertical="top" wrapText="1"/>
    </xf>
    <xf numFmtId="39" fontId="17" fillId="0" borderId="111" xfId="1" applyNumberFormat="1" applyBorder="1" applyAlignment="1">
      <alignment horizontal="center" vertical="top" wrapText="1"/>
    </xf>
    <xf numFmtId="0" fontId="17" fillId="0" borderId="111" xfId="210" applyFont="1" applyBorder="1" applyAlignment="1">
      <alignment horizontal="center" vertical="top" wrapText="1"/>
    </xf>
    <xf numFmtId="0" fontId="21" fillId="0" borderId="115" xfId="210" applyFont="1" applyBorder="1" applyAlignment="1">
      <alignment horizontal="center" vertical="center"/>
    </xf>
    <xf numFmtId="0" fontId="17" fillId="0" borderId="115" xfId="81" applyBorder="1" applyAlignment="1">
      <alignment horizontal="center" vertical="center" wrapText="1"/>
    </xf>
    <xf numFmtId="2" fontId="17" fillId="0" borderId="111" xfId="210" applyNumberFormat="1" applyFont="1" applyBorder="1" applyAlignment="1">
      <alignment horizontal="center" vertical="center"/>
    </xf>
    <xf numFmtId="0" fontId="22" fillId="0" borderId="126" xfId="0" applyFont="1" applyBorder="1" applyAlignment="1">
      <alignment horizontal="right"/>
    </xf>
    <xf numFmtId="0" fontId="17" fillId="0" borderId="126" xfId="81" applyBorder="1" applyAlignment="1">
      <alignment horizontal="left" vertical="top"/>
    </xf>
    <xf numFmtId="0" fontId="17" fillId="0" borderId="131" xfId="210" applyFont="1" applyBorder="1" applyAlignment="1">
      <alignment horizontal="center" vertical="center" wrapText="1"/>
    </xf>
    <xf numFmtId="44" fontId="17" fillId="0" borderId="131" xfId="198" applyFont="1" applyBorder="1" applyAlignment="1">
      <alignment horizontal="center" vertical="center"/>
    </xf>
    <xf numFmtId="44" fontId="17" fillId="0" borderId="124" xfId="198" applyFont="1" applyBorder="1" applyAlignment="1" applyProtection="1">
      <alignment horizontal="center" vertical="center"/>
      <protection locked="0"/>
    </xf>
    <xf numFmtId="0" fontId="17" fillId="0" borderId="111" xfId="209" applyFont="1" applyBorder="1" applyAlignment="1">
      <alignment horizontal="center"/>
    </xf>
    <xf numFmtId="0" fontId="17" fillId="0" borderId="111" xfId="84" applyBorder="1" applyAlignment="1">
      <alignment horizontal="center" vertical="top"/>
    </xf>
    <xf numFmtId="0" fontId="17" fillId="0" borderId="111" xfId="81" applyBorder="1" applyAlignment="1">
      <alignment horizontal="center" vertical="top"/>
    </xf>
    <xf numFmtId="0" fontId="21" fillId="0" borderId="111" xfId="210" applyFont="1" applyBorder="1" applyAlignment="1">
      <alignment horizontal="left" wrapText="1"/>
    </xf>
    <xf numFmtId="49" fontId="17" fillId="0" borderId="115" xfId="2" applyNumberFormat="1" applyBorder="1" applyAlignment="1">
      <alignment horizontal="center" vertical="center" wrapText="1"/>
    </xf>
    <xf numFmtId="49" fontId="17" fillId="0" borderId="111" xfId="210" applyNumberFormat="1" applyFont="1" applyBorder="1" applyAlignment="1">
      <alignment horizontal="center" vertical="center"/>
    </xf>
    <xf numFmtId="3" fontId="17" fillId="0" borderId="111" xfId="77" quotePrefix="1" applyNumberFormat="1" applyFont="1" applyBorder="1" applyAlignment="1">
      <alignment horizontal="center" vertical="center"/>
    </xf>
    <xf numFmtId="0" fontId="17" fillId="0" borderId="111" xfId="207" applyFont="1" applyBorder="1" applyAlignment="1">
      <alignment horizontal="center"/>
    </xf>
    <xf numFmtId="0" fontId="17" fillId="0" borderId="126" xfId="84" applyBorder="1" applyAlignment="1">
      <alignment horizontal="center" vertical="top"/>
    </xf>
    <xf numFmtId="49" fontId="17" fillId="0" borderId="115" xfId="208" applyNumberFormat="1" applyFont="1" applyBorder="1" applyAlignment="1">
      <alignment horizontal="center" vertical="center"/>
    </xf>
    <xf numFmtId="0" fontId="17" fillId="0" borderId="126" xfId="210" applyFont="1" applyBorder="1" applyAlignment="1">
      <alignment horizontal="center" wrapText="1"/>
    </xf>
    <xf numFmtId="2" fontId="17" fillId="0" borderId="111" xfId="208" applyNumberFormat="1" applyFont="1" applyBorder="1" applyAlignment="1">
      <alignment horizontal="center" vertical="center"/>
    </xf>
    <xf numFmtId="0" fontId="17" fillId="0" borderId="126" xfId="210" applyFont="1" applyBorder="1" applyAlignment="1">
      <alignment horizontal="center" vertical="top" wrapText="1"/>
    </xf>
    <xf numFmtId="49" fontId="17" fillId="0" borderId="111" xfId="206" applyNumberFormat="1" applyFont="1" applyBorder="1" applyAlignment="1">
      <alignment horizontal="center" vertical="center"/>
    </xf>
    <xf numFmtId="49" fontId="21" fillId="0" borderId="111" xfId="206" applyNumberFormat="1" applyFont="1" applyBorder="1" applyAlignment="1">
      <alignment horizontal="center" vertical="center"/>
    </xf>
    <xf numFmtId="39" fontId="21" fillId="0" borderId="111" xfId="1" applyNumberFormat="1" applyFont="1" applyBorder="1" applyAlignment="1">
      <alignment horizontal="center" vertical="top" wrapText="1"/>
    </xf>
    <xf numFmtId="189" fontId="21" fillId="0" borderId="115" xfId="1" applyNumberFormat="1" applyFont="1" applyBorder="1" applyAlignment="1" applyProtection="1">
      <alignment horizontal="center" vertical="center"/>
      <protection locked="0"/>
    </xf>
    <xf numFmtId="189" fontId="17" fillId="0" borderId="115" xfId="1" applyNumberFormat="1" applyBorder="1" applyAlignment="1" applyProtection="1">
      <alignment horizontal="center" vertical="center"/>
      <protection locked="0"/>
    </xf>
    <xf numFmtId="0" fontId="21" fillId="0" borderId="115" xfId="208" applyFont="1" applyBorder="1" applyAlignment="1">
      <alignment horizontal="center" vertical="center"/>
    </xf>
    <xf numFmtId="0" fontId="17" fillId="0" borderId="111" xfId="207" applyFont="1" applyBorder="1" applyAlignment="1">
      <alignment horizontal="left" vertical="top"/>
    </xf>
    <xf numFmtId="0" fontId="17" fillId="0" borderId="111" xfId="207" applyFont="1" applyBorder="1" applyAlignment="1">
      <alignment horizontal="center" vertical="top"/>
    </xf>
    <xf numFmtId="3" fontId="17" fillId="0" borderId="111" xfId="178" quotePrefix="1" applyNumberFormat="1" applyFont="1" applyFill="1" applyBorder="1" applyAlignment="1">
      <alignment horizontal="center" vertical="center"/>
    </xf>
    <xf numFmtId="0" fontId="21" fillId="0" borderId="111" xfId="81" applyFont="1" applyBorder="1" applyAlignment="1">
      <alignment horizontal="center" vertical="center"/>
    </xf>
    <xf numFmtId="0" fontId="17" fillId="0" borderId="124" xfId="2" applyBorder="1" applyAlignment="1">
      <alignment horizontal="center" vertical="center"/>
    </xf>
    <xf numFmtId="49" fontId="17" fillId="0" borderId="125" xfId="2" applyNumberFormat="1" applyBorder="1" applyAlignment="1">
      <alignment horizontal="center" vertical="center" wrapText="1"/>
    </xf>
    <xf numFmtId="0" fontId="17" fillId="0" borderId="127" xfId="2" applyBorder="1" applyAlignment="1">
      <alignment horizontal="center" vertical="center"/>
    </xf>
    <xf numFmtId="44" fontId="17" fillId="0" borderId="125" xfId="198" applyFont="1" applyBorder="1" applyAlignment="1">
      <alignment horizontal="center" vertical="center"/>
    </xf>
    <xf numFmtId="39" fontId="21" fillId="0" borderId="111" xfId="1" applyNumberFormat="1" applyFont="1" applyBorder="1" applyAlignment="1">
      <alignment horizontal="center" vertical="center" wrapText="1"/>
    </xf>
    <xf numFmtId="44" fontId="21" fillId="0" borderId="115" xfId="198" applyFont="1" applyBorder="1" applyAlignment="1" applyProtection="1">
      <alignment horizontal="center" vertical="center"/>
      <protection locked="0"/>
    </xf>
    <xf numFmtId="44" fontId="17" fillId="0" borderId="115" xfId="198" applyFont="1" applyBorder="1" applyAlignment="1" applyProtection="1">
      <alignment horizontal="center" vertical="center"/>
    </xf>
    <xf numFmtId="44" fontId="17" fillId="3" borderId="125" xfId="198" applyFont="1" applyFill="1" applyBorder="1" applyAlignment="1">
      <alignment horizontal="right" vertical="top"/>
    </xf>
    <xf numFmtId="44" fontId="21" fillId="19" borderId="131" xfId="198" applyFont="1" applyFill="1" applyBorder="1" applyAlignment="1">
      <alignment horizontal="right" vertical="top"/>
    </xf>
    <xf numFmtId="0" fontId="24" fillId="0" borderId="125" xfId="0" applyFont="1" applyBorder="1"/>
    <xf numFmtId="0" fontId="20" fillId="0" borderId="131" xfId="0" applyFont="1" applyBorder="1"/>
    <xf numFmtId="44" fontId="20" fillId="0" borderId="128" xfId="0" applyNumberFormat="1" applyFont="1" applyBorder="1"/>
    <xf numFmtId="0" fontId="24" fillId="0" borderId="125" xfId="0" applyFont="1" applyBorder="1" applyAlignment="1">
      <alignment wrapText="1" shrinkToFit="1"/>
    </xf>
    <xf numFmtId="0" fontId="24" fillId="0" borderId="125" xfId="0" applyFont="1" applyBorder="1" applyAlignment="1">
      <alignment vertical="center"/>
    </xf>
    <xf numFmtId="0" fontId="20" fillId="0" borderId="131" xfId="0" applyFont="1" applyBorder="1" applyAlignment="1">
      <alignment vertical="center"/>
    </xf>
    <xf numFmtId="44" fontId="20" fillId="0" borderId="128" xfId="0" applyNumberFormat="1" applyFont="1" applyBorder="1" applyAlignment="1">
      <alignment vertical="center"/>
    </xf>
    <xf numFmtId="0" fontId="24" fillId="0" borderId="125" xfId="0" applyFont="1" applyBorder="1" applyAlignment="1">
      <alignment vertical="center" wrapText="1" shrinkToFit="1"/>
    </xf>
    <xf numFmtId="0" fontId="71" fillId="0" borderId="125" xfId="508" applyFont="1" applyBorder="1" applyAlignment="1">
      <alignment horizontal="center" vertical="center"/>
    </xf>
    <xf numFmtId="0" fontId="124" fillId="0" borderId="131" xfId="508" applyFont="1" applyBorder="1" applyAlignment="1">
      <alignment vertical="center"/>
    </xf>
    <xf numFmtId="0" fontId="78" fillId="15" borderId="57" xfId="0" applyFont="1" applyFill="1" applyBorder="1" applyAlignment="1">
      <alignment horizontal="center"/>
    </xf>
    <xf numFmtId="0" fontId="0" fillId="0" borderId="97" xfId="0" applyBorder="1" applyAlignment="1">
      <alignment horizontal="center"/>
    </xf>
    <xf numFmtId="0" fontId="0" fillId="0" borderId="112" xfId="0" applyBorder="1" applyAlignment="1">
      <alignment horizontal="center"/>
    </xf>
    <xf numFmtId="0" fontId="17" fillId="0" borderId="57" xfId="0" applyFont="1" applyBorder="1" applyAlignment="1">
      <alignment horizontal="center"/>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49" xfId="228" applyFont="1" applyBorder="1" applyAlignment="1">
      <alignment horizontal="center" vertical="center"/>
    </xf>
    <xf numFmtId="0" fontId="17" fillId="0" borderId="50" xfId="228" applyFont="1" applyBorder="1" applyAlignment="1">
      <alignment horizontal="center" vertical="center"/>
    </xf>
    <xf numFmtId="0" fontId="17" fillId="0" borderId="49" xfId="0" applyFont="1" applyBorder="1" applyAlignment="1">
      <alignment horizontal="center"/>
    </xf>
    <xf numFmtId="0" fontId="17" fillId="0" borderId="50" xfId="0" applyFont="1" applyBorder="1" applyAlignment="1">
      <alignment horizontal="center"/>
    </xf>
    <xf numFmtId="0" fontId="17" fillId="0" borderId="57" xfId="228" applyFont="1" applyBorder="1" applyAlignment="1">
      <alignment horizontal="center"/>
    </xf>
    <xf numFmtId="0" fontId="78" fillId="15" borderId="57" xfId="228" applyFont="1" applyFill="1" applyBorder="1" applyAlignment="1">
      <alignment horizontal="center"/>
    </xf>
    <xf numFmtId="0" fontId="8" fillId="0" borderId="97" xfId="228" applyBorder="1" applyAlignment="1">
      <alignment horizontal="center"/>
    </xf>
    <xf numFmtId="0" fontId="8" fillId="0" borderId="112" xfId="228" applyBorder="1" applyAlignment="1">
      <alignment horizontal="center"/>
    </xf>
    <xf numFmtId="0" fontId="17" fillId="0" borderId="49" xfId="228" applyFont="1" applyBorder="1" applyAlignment="1">
      <alignment horizontal="center"/>
    </xf>
    <xf numFmtId="0" fontId="17" fillId="0" borderId="50" xfId="228" applyFont="1" applyBorder="1" applyAlignment="1">
      <alignment horizontal="center"/>
    </xf>
    <xf numFmtId="0" fontId="39" fillId="0" borderId="49" xfId="2" applyFont="1" applyBorder="1" applyAlignment="1">
      <alignment horizontal="right" vertical="center"/>
    </xf>
    <xf numFmtId="0" fontId="39" fillId="0" borderId="80" xfId="2" applyFont="1" applyBorder="1" applyAlignment="1">
      <alignment horizontal="right" vertical="center"/>
    </xf>
    <xf numFmtId="0" fontId="39" fillId="0" borderId="50" xfId="2" applyFont="1" applyBorder="1" applyAlignment="1">
      <alignment horizontal="right" vertical="center"/>
    </xf>
    <xf numFmtId="0" fontId="20" fillId="0" borderId="49" xfId="2" applyFont="1" applyBorder="1" applyAlignment="1">
      <alignment horizontal="right" vertical="center"/>
    </xf>
    <xf numFmtId="0" fontId="20" fillId="0" borderId="80" xfId="2" applyFont="1" applyBorder="1" applyAlignment="1">
      <alignment horizontal="right" vertical="center"/>
    </xf>
    <xf numFmtId="0" fontId="20" fillId="0" borderId="50" xfId="2" applyFont="1" applyBorder="1" applyAlignment="1">
      <alignment horizontal="right" vertical="center"/>
    </xf>
    <xf numFmtId="0" fontId="21" fillId="0" borderId="6" xfId="2" applyFont="1" applyBorder="1" applyAlignment="1">
      <alignment horizontal="right" vertical="center" wrapText="1"/>
    </xf>
    <xf numFmtId="0" fontId="20" fillId="0" borderId="6" xfId="2" applyFont="1" applyBorder="1" applyAlignment="1">
      <alignment horizontal="center" vertical="top"/>
    </xf>
    <xf numFmtId="0" fontId="20" fillId="12" borderId="17" xfId="2" applyFont="1" applyFill="1" applyBorder="1" applyAlignment="1">
      <alignment horizontal="center" vertical="center"/>
    </xf>
    <xf numFmtId="0" fontId="20" fillId="12" borderId="14" xfId="2" applyFont="1" applyFill="1" applyBorder="1" applyAlignment="1">
      <alignment horizontal="center" vertical="center"/>
    </xf>
    <xf numFmtId="0" fontId="20" fillId="12" borderId="18" xfId="2" applyFont="1" applyFill="1" applyBorder="1" applyAlignment="1">
      <alignment horizontal="center" vertical="center"/>
    </xf>
    <xf numFmtId="44" fontId="17" fillId="0" borderId="0" xfId="198" applyFont="1" applyAlignment="1">
      <alignment horizontal="center" vertical="center"/>
    </xf>
    <xf numFmtId="171" fontId="21" fillId="10" borderId="129" xfId="2" applyNumberFormat="1" applyFont="1" applyFill="1" applyBorder="1" applyAlignment="1">
      <alignment horizontal="center" vertical="center"/>
    </xf>
    <xf numFmtId="171" fontId="21" fillId="10" borderId="25" xfId="2" applyNumberFormat="1" applyFont="1" applyFill="1" applyBorder="1" applyAlignment="1">
      <alignment horizontal="center" vertical="center"/>
    </xf>
    <xf numFmtId="171" fontId="21" fillId="10" borderId="19" xfId="2" applyNumberFormat="1" applyFont="1" applyFill="1" applyBorder="1" applyAlignment="1">
      <alignment horizontal="center" vertical="center"/>
    </xf>
    <xf numFmtId="171" fontId="21" fillId="10" borderId="123" xfId="2" applyNumberFormat="1" applyFont="1" applyFill="1" applyBorder="1" applyAlignment="1">
      <alignment horizontal="center" vertical="center"/>
    </xf>
    <xf numFmtId="171" fontId="21" fillId="10" borderId="61" xfId="2" applyNumberFormat="1" applyFont="1" applyFill="1" applyBorder="1" applyAlignment="1">
      <alignment horizontal="center" vertical="center"/>
    </xf>
    <xf numFmtId="0" fontId="20" fillId="13" borderId="17" xfId="2" applyFont="1" applyFill="1" applyBorder="1" applyAlignment="1">
      <alignment horizontal="center" vertical="center"/>
    </xf>
    <xf numFmtId="0" fontId="20" fillId="13" borderId="14" xfId="2" applyFont="1" applyFill="1" applyBorder="1" applyAlignment="1">
      <alignment horizontal="center" vertical="center"/>
    </xf>
    <xf numFmtId="0" fontId="20" fillId="13" borderId="18" xfId="2" applyFont="1" applyFill="1" applyBorder="1" applyAlignment="1">
      <alignment horizontal="center" vertical="center"/>
    </xf>
    <xf numFmtId="44" fontId="21" fillId="2" borderId="130" xfId="198" applyFont="1" applyFill="1" applyBorder="1" applyAlignment="1" applyProtection="1">
      <alignment horizontal="center" vertical="center"/>
    </xf>
    <xf numFmtId="44" fontId="21" fillId="2" borderId="131" xfId="198" applyFont="1" applyFill="1" applyBorder="1" applyAlignment="1" applyProtection="1">
      <alignment horizontal="center" vertical="center"/>
    </xf>
    <xf numFmtId="171" fontId="21" fillId="10" borderId="20" xfId="2" applyNumberFormat="1" applyFont="1" applyFill="1" applyBorder="1" applyAlignment="1">
      <alignment horizontal="center" vertical="center"/>
    </xf>
    <xf numFmtId="44" fontId="17" fillId="10" borderId="130" xfId="198" applyFont="1" applyFill="1" applyBorder="1" applyAlignment="1" applyProtection="1">
      <alignment horizontal="center" vertical="center"/>
    </xf>
    <xf numFmtId="44" fontId="17" fillId="10" borderId="28" xfId="198" applyFont="1" applyFill="1" applyBorder="1" applyAlignment="1" applyProtection="1">
      <alignment horizontal="center" vertical="center"/>
    </xf>
    <xf numFmtId="44" fontId="21" fillId="10" borderId="73" xfId="198" applyFont="1" applyFill="1" applyBorder="1" applyAlignment="1" applyProtection="1">
      <alignment horizontal="center" vertical="center"/>
    </xf>
    <xf numFmtId="44" fontId="21" fillId="10" borderId="29" xfId="198" applyFont="1" applyFill="1" applyBorder="1" applyAlignment="1" applyProtection="1">
      <alignment horizontal="center" vertical="center"/>
    </xf>
    <xf numFmtId="0" fontId="39" fillId="0" borderId="0" xfId="2" applyFont="1" applyAlignment="1">
      <alignment horizontal="right" vertical="center"/>
    </xf>
    <xf numFmtId="0" fontId="39" fillId="0" borderId="6" xfId="2" applyFont="1" applyBorder="1" applyAlignment="1">
      <alignment horizontal="right" vertical="center"/>
    </xf>
    <xf numFmtId="0" fontId="39" fillId="0" borderId="6" xfId="2" applyFont="1" applyBorder="1" applyAlignment="1">
      <alignment horizontal="right" vertical="top"/>
    </xf>
    <xf numFmtId="0" fontId="17" fillId="0" borderId="0" xfId="0" applyFont="1" applyAlignment="1">
      <alignment horizontal="center" textRotation="90"/>
    </xf>
    <xf numFmtId="0" fontId="17" fillId="0" borderId="0" xfId="0" applyFont="1" applyAlignment="1">
      <alignment horizontal="left" textRotation="90"/>
    </xf>
    <xf numFmtId="0" fontId="39" fillId="0" borderId="6" xfId="2" applyFont="1" applyBorder="1" applyAlignment="1">
      <alignment horizontal="right" vertical="top" indent="1"/>
    </xf>
    <xf numFmtId="0" fontId="39" fillId="0" borderId="49" xfId="2" applyFont="1" applyBorder="1" applyAlignment="1">
      <alignment horizontal="right" vertical="top"/>
    </xf>
    <xf numFmtId="0" fontId="39" fillId="0" borderId="80" xfId="2" applyFont="1" applyBorder="1" applyAlignment="1">
      <alignment horizontal="right" vertical="top"/>
    </xf>
    <xf numFmtId="0" fontId="39" fillId="0" borderId="50" xfId="2" applyFont="1" applyBorder="1" applyAlignment="1">
      <alignment horizontal="right" vertical="top"/>
    </xf>
    <xf numFmtId="0" fontId="39" fillId="0" borderId="6" xfId="221" applyFont="1" applyBorder="1" applyAlignment="1">
      <alignment horizontal="right" vertical="top"/>
    </xf>
    <xf numFmtId="0" fontId="73" fillId="2" borderId="6" xfId="394" applyFont="1" applyFill="1" applyBorder="1" applyAlignment="1">
      <alignment horizontal="center" vertical="top" wrapText="1"/>
    </xf>
    <xf numFmtId="0" fontId="20" fillId="0" borderId="41" xfId="0" applyFont="1" applyBorder="1" applyAlignment="1">
      <alignment horizontal="center" vertical="center"/>
    </xf>
    <xf numFmtId="0" fontId="20" fillId="0" borderId="51" xfId="0"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69" xfId="0" applyFont="1" applyBorder="1" applyAlignment="1">
      <alignment horizontal="center" vertical="center"/>
    </xf>
    <xf numFmtId="0" fontId="20" fillId="0" borderId="44" xfId="0" applyFont="1" applyBorder="1" applyAlignment="1">
      <alignment horizontal="center" vertical="center"/>
    </xf>
    <xf numFmtId="0" fontId="21" fillId="0" borderId="101" xfId="508" applyFont="1" applyBorder="1" applyAlignment="1">
      <alignment horizontal="left" vertical="center"/>
    </xf>
    <xf numFmtId="0" fontId="21" fillId="0" borderId="102" xfId="508" applyFont="1" applyBorder="1" applyAlignment="1">
      <alignment horizontal="left" vertical="center"/>
    </xf>
    <xf numFmtId="0" fontId="73" fillId="0" borderId="17" xfId="508" applyFont="1" applyBorder="1" applyAlignment="1">
      <alignment horizontal="center" vertical="center"/>
    </xf>
    <xf numFmtId="0" fontId="73" fillId="0" borderId="14" xfId="508" applyFont="1" applyBorder="1" applyAlignment="1">
      <alignment horizontal="center" vertical="center"/>
    </xf>
    <xf numFmtId="0" fontId="73" fillId="0" borderId="18" xfId="508" applyFont="1" applyBorder="1" applyAlignment="1">
      <alignment horizontal="center" vertical="center"/>
    </xf>
    <xf numFmtId="9" fontId="71" fillId="0" borderId="57" xfId="508" applyNumberFormat="1" applyFont="1" applyBorder="1" applyAlignment="1">
      <alignment horizontal="center" vertical="center"/>
    </xf>
    <xf numFmtId="0" fontId="71" fillId="0" borderId="57" xfId="508" applyFont="1" applyBorder="1" applyAlignment="1">
      <alignment horizontal="center" vertical="center"/>
    </xf>
    <xf numFmtId="0" fontId="21" fillId="23" borderId="0" xfId="508" applyFont="1" applyFill="1" applyAlignment="1">
      <alignment horizontal="center" vertical="center" wrapText="1"/>
    </xf>
    <xf numFmtId="0" fontId="21" fillId="23" borderId="24" xfId="508" applyFont="1" applyFill="1" applyBorder="1" applyAlignment="1">
      <alignment horizontal="center" vertical="center" wrapText="1"/>
    </xf>
    <xf numFmtId="0" fontId="21" fillId="23" borderId="69" xfId="508" applyFont="1" applyFill="1" applyBorder="1" applyAlignment="1">
      <alignment horizontal="center" vertical="center" wrapText="1"/>
    </xf>
    <xf numFmtId="0" fontId="21" fillId="23" borderId="44" xfId="508" applyFont="1" applyFill="1" applyBorder="1" applyAlignment="1">
      <alignment horizontal="center" vertical="center" wrapText="1"/>
    </xf>
    <xf numFmtId="0" fontId="21" fillId="24" borderId="0" xfId="508" applyFont="1" applyFill="1" applyAlignment="1">
      <alignment horizontal="center" vertical="center" wrapText="1"/>
    </xf>
    <xf numFmtId="0" fontId="21" fillId="24" borderId="24" xfId="508" applyFont="1" applyFill="1" applyBorder="1" applyAlignment="1">
      <alignment horizontal="center" vertical="center" wrapText="1"/>
    </xf>
    <xf numFmtId="0" fontId="21" fillId="24" borderId="69" xfId="508" applyFont="1" applyFill="1" applyBorder="1" applyAlignment="1">
      <alignment horizontal="center" vertical="center" wrapText="1"/>
    </xf>
    <xf numFmtId="0" fontId="21" fillId="24" borderId="44" xfId="508" applyFont="1" applyFill="1" applyBorder="1" applyAlignment="1">
      <alignment horizontal="center" vertical="center" wrapText="1"/>
    </xf>
    <xf numFmtId="9" fontId="71" fillId="0" borderId="72" xfId="509" applyFont="1" applyBorder="1" applyAlignment="1">
      <alignment horizontal="center" vertical="center"/>
    </xf>
    <xf numFmtId="9" fontId="71" fillId="0" borderId="27" xfId="509" applyFont="1" applyBorder="1" applyAlignment="1">
      <alignment horizontal="center" vertical="center"/>
    </xf>
    <xf numFmtId="9" fontId="71" fillId="0" borderId="71" xfId="509" applyFont="1" applyBorder="1" applyAlignment="1">
      <alignment horizontal="center" vertical="center"/>
    </xf>
    <xf numFmtId="9" fontId="71" fillId="0" borderId="125" xfId="509" applyFont="1" applyBorder="1" applyAlignment="1">
      <alignment horizontal="center" vertical="center"/>
    </xf>
    <xf numFmtId="9" fontId="71" fillId="0" borderId="111" xfId="509" applyFont="1" applyBorder="1" applyAlignment="1">
      <alignment horizontal="center" vertical="center"/>
    </xf>
    <xf numFmtId="9" fontId="71" fillId="0" borderId="131" xfId="509" applyFont="1" applyBorder="1" applyAlignment="1">
      <alignment horizontal="center" vertical="center"/>
    </xf>
    <xf numFmtId="0" fontId="17" fillId="0" borderId="0" xfId="0" applyFont="1" applyAlignment="1">
      <alignment wrapText="1"/>
    </xf>
    <xf numFmtId="0" fontId="0" fillId="0" borderId="0" xfId="0" applyAlignment="1">
      <alignment wrapText="1"/>
    </xf>
    <xf numFmtId="196" fontId="113" fillId="15" borderId="76" xfId="503" applyNumberFormat="1" applyFill="1" applyBorder="1" applyAlignment="1">
      <alignment horizontal="center" vertical="center"/>
    </xf>
    <xf numFmtId="196" fontId="113" fillId="15" borderId="77" xfId="503" applyNumberFormat="1" applyFill="1" applyBorder="1" applyAlignment="1">
      <alignment horizontal="center" vertical="center"/>
    </xf>
    <xf numFmtId="196" fontId="113" fillId="15" borderId="78" xfId="503" applyNumberFormat="1" applyFill="1" applyBorder="1" applyAlignment="1">
      <alignment horizontal="center" vertical="center"/>
    </xf>
    <xf numFmtId="196" fontId="113" fillId="0" borderId="79" xfId="503" applyNumberFormat="1" applyBorder="1" applyAlignment="1">
      <alignment horizontal="center" vertical="center"/>
    </xf>
    <xf numFmtId="196" fontId="113" fillId="0" borderId="0" xfId="503" applyNumberFormat="1" applyAlignment="1">
      <alignment horizontal="center" vertical="center"/>
    </xf>
  </cellXfs>
  <cellStyles count="510">
    <cellStyle name="args.style" xfId="92" xr:uid="{00000000-0005-0000-0000-000000000000}"/>
    <cellStyle name="Comma" xfId="197" builtinId="3"/>
    <cellStyle name="Comma  - Style1" xfId="93" xr:uid="{00000000-0005-0000-0000-000002000000}"/>
    <cellStyle name="Comma  - Style2" xfId="94" xr:uid="{00000000-0005-0000-0000-000003000000}"/>
    <cellStyle name="Comma  - Style3" xfId="95" xr:uid="{00000000-0005-0000-0000-000004000000}"/>
    <cellStyle name="Comma  - Style4" xfId="96" xr:uid="{00000000-0005-0000-0000-000005000000}"/>
    <cellStyle name="Comma  - Style5" xfId="97" xr:uid="{00000000-0005-0000-0000-000006000000}"/>
    <cellStyle name="Comma  - Style6" xfId="98" xr:uid="{00000000-0005-0000-0000-000007000000}"/>
    <cellStyle name="Comma  - Style7" xfId="99" xr:uid="{00000000-0005-0000-0000-000008000000}"/>
    <cellStyle name="Comma  - Style8" xfId="100" xr:uid="{00000000-0005-0000-0000-000009000000}"/>
    <cellStyle name="Comma 10" xfId="70" xr:uid="{00000000-0005-0000-0000-00000A000000}"/>
    <cellStyle name="Comma 10 2" xfId="245" xr:uid="{BB309B80-CF7D-45F2-8787-2BF0AEA1B365}"/>
    <cellStyle name="Comma 10 2 2" xfId="373" xr:uid="{A1B5DB99-C4EC-4DFB-861B-AA364BC546F3}"/>
    <cellStyle name="Comma 10 3" xfId="308" xr:uid="{A25D61EF-2456-4420-B2AB-E7425894B90C}"/>
    <cellStyle name="Comma 10 4" xfId="426" xr:uid="{08A98166-3162-42A5-B0C3-FAE9B144E7E5}"/>
    <cellStyle name="Comma 11" xfId="76" xr:uid="{00000000-0005-0000-0000-00000B000000}"/>
    <cellStyle name="Comma 12" xfId="176" xr:uid="{00000000-0005-0000-0000-00000C000000}"/>
    <cellStyle name="Comma 13" xfId="181" xr:uid="{00000000-0005-0000-0000-00000D000000}"/>
    <cellStyle name="Comma 14" xfId="178" xr:uid="{00000000-0005-0000-0000-00000E000000}"/>
    <cellStyle name="Comma 15" xfId="183" xr:uid="{00000000-0005-0000-0000-00000F000000}"/>
    <cellStyle name="Comma 16" xfId="185" xr:uid="{00000000-0005-0000-0000-000010000000}"/>
    <cellStyle name="Comma 17" xfId="180" xr:uid="{00000000-0005-0000-0000-000011000000}"/>
    <cellStyle name="Comma 18" xfId="187" xr:uid="{00000000-0005-0000-0000-000012000000}"/>
    <cellStyle name="Comma 19" xfId="189" xr:uid="{00000000-0005-0000-0000-000013000000}"/>
    <cellStyle name="Comma 2" xfId="7" xr:uid="{00000000-0005-0000-0000-000014000000}"/>
    <cellStyle name="Comma 2 10" xfId="219" xr:uid="{AB3A2088-75BD-4E6F-BBCA-7CF06154F9ED}"/>
    <cellStyle name="Comma 2 10 2" xfId="348" xr:uid="{1C24EA45-D3FE-40EE-A6D8-7F6186FDC148}"/>
    <cellStyle name="Comma 2 11" xfId="279" xr:uid="{76A282EB-AC5B-4A58-8704-3AF0A6DB07A8}"/>
    <cellStyle name="Comma 2 12" xfId="281" xr:uid="{AC7A3A35-8133-46FF-B679-4C7F6A904859}"/>
    <cellStyle name="Comma 2 13" xfId="401" xr:uid="{E82D5E57-B42B-4F26-B256-63F3A02717C4}"/>
    <cellStyle name="Comma 2 2" xfId="49" xr:uid="{00000000-0005-0000-0000-000015000000}"/>
    <cellStyle name="Comma 2 2 2" xfId="101" xr:uid="{00000000-0005-0000-0000-000016000000}"/>
    <cellStyle name="Comma 2 2 3" xfId="88" xr:uid="{00000000-0005-0000-0000-000017000000}"/>
    <cellStyle name="Comma 2 2 4" xfId="225" xr:uid="{885D2F53-B9AB-4B9C-A44B-6EC75D0EB2E8}"/>
    <cellStyle name="Comma 2 2 4 2" xfId="353" xr:uid="{78939250-8D51-4181-A9C3-D629C0C22B2F}"/>
    <cellStyle name="Comma 2 2 5" xfId="288" xr:uid="{77EC5C90-EF7E-42BB-A0F2-ACB05B36FA9E}"/>
    <cellStyle name="Comma 2 2 6" xfId="406" xr:uid="{FCE484B8-D23C-443E-8EA3-B24F658445CC}"/>
    <cellStyle name="Comma 2 3" xfId="55" xr:uid="{00000000-0005-0000-0000-000018000000}"/>
    <cellStyle name="Comma 2 3 2" xfId="102" xr:uid="{00000000-0005-0000-0000-000019000000}"/>
    <cellStyle name="Comma 2 3 3" xfId="230" xr:uid="{80EF6D05-BA09-43EC-A51F-0B277BAFC45D}"/>
    <cellStyle name="Comma 2 3 3 2" xfId="358" xr:uid="{7D073153-2AD1-4E7F-9669-583AE846C027}"/>
    <cellStyle name="Comma 2 3 4" xfId="293" xr:uid="{C05C1514-CE2C-4623-8891-3974FB9C67DF}"/>
    <cellStyle name="Comma 2 3 5" xfId="411" xr:uid="{47536C97-166B-4E74-8518-7BDE6BCACDA1}"/>
    <cellStyle name="Comma 2 4" xfId="60" xr:uid="{00000000-0005-0000-0000-00001A000000}"/>
    <cellStyle name="Comma 2 4 2" xfId="103" xr:uid="{00000000-0005-0000-0000-00001B000000}"/>
    <cellStyle name="Comma 2 4 3" xfId="235" xr:uid="{239ABB44-57E3-43E2-8469-71D728D39FF6}"/>
    <cellStyle name="Comma 2 4 3 2" xfId="363" xr:uid="{61F5740E-DF04-4D48-B0AA-862DEE4874C9}"/>
    <cellStyle name="Comma 2 4 4" xfId="298" xr:uid="{EFBE4FE5-E101-481B-9129-363861BC78A7}"/>
    <cellStyle name="Comma 2 4 5" xfId="416" xr:uid="{AD30169D-4BCA-4B11-840D-E180C250C94D}"/>
    <cellStyle name="Comma 2 5" xfId="65" xr:uid="{00000000-0005-0000-0000-00001C000000}"/>
    <cellStyle name="Comma 2 5 2" xfId="104" xr:uid="{00000000-0005-0000-0000-00001D000000}"/>
    <cellStyle name="Comma 2 5 3" xfId="240" xr:uid="{6BCA6DED-7E86-4DBA-8A8E-0CEFCAD28DDF}"/>
    <cellStyle name="Comma 2 5 3 2" xfId="368" xr:uid="{3DA55EED-0E3C-4CA8-8C52-64F829A59B5E}"/>
    <cellStyle name="Comma 2 5 4" xfId="303" xr:uid="{3B355F6E-374C-4EBB-BC92-B6DE31547CDA}"/>
    <cellStyle name="Comma 2 5 5" xfId="421" xr:uid="{3C757BAD-C71D-48A7-920C-165CB3A4202E}"/>
    <cellStyle name="Comma 2 6" xfId="71" xr:uid="{00000000-0005-0000-0000-00001E000000}"/>
    <cellStyle name="Comma 2 6 2" xfId="105" xr:uid="{00000000-0005-0000-0000-00001F000000}"/>
    <cellStyle name="Comma 2 6 3" xfId="246" xr:uid="{18CCDACF-E3D9-47EF-B56B-FFCB60C036EA}"/>
    <cellStyle name="Comma 2 6 3 2" xfId="374" xr:uid="{72C71615-609A-4AE6-BABE-89E489A43FCE}"/>
    <cellStyle name="Comma 2 6 4" xfId="309" xr:uid="{FA3938B4-9B47-42D7-A258-88370FEB88E3}"/>
    <cellStyle name="Comma 2 6 5" xfId="427" xr:uid="{FAAC23AD-610C-4D6F-ACD9-78C3FE718A8D}"/>
    <cellStyle name="Comma 2 7" xfId="106" xr:uid="{00000000-0005-0000-0000-000020000000}"/>
    <cellStyle name="Comma 2 8" xfId="107" xr:uid="{00000000-0005-0000-0000-000021000000}"/>
    <cellStyle name="Comma 2 9" xfId="83" xr:uid="{00000000-0005-0000-0000-000022000000}"/>
    <cellStyle name="Comma 20" xfId="191" xr:uid="{00000000-0005-0000-0000-000023000000}"/>
    <cellStyle name="Comma 21" xfId="193" xr:uid="{00000000-0005-0000-0000-000024000000}"/>
    <cellStyle name="Comma 22" xfId="195" xr:uid="{00000000-0005-0000-0000-000025000000}"/>
    <cellStyle name="Comma 23" xfId="265" xr:uid="{004D7CB0-3D50-494F-9A15-487DCF7F0BD3}"/>
    <cellStyle name="Comma 23 2" xfId="325" xr:uid="{82BADACA-4562-472E-80C2-98439A5235C2}"/>
    <cellStyle name="Comma 24" xfId="275" xr:uid="{1B6B54A2-DA18-409A-B511-78A57948558C}"/>
    <cellStyle name="Comma 24 2" xfId="332" xr:uid="{0A304B78-1AB9-43E6-BABC-BA177FFFF434}"/>
    <cellStyle name="Comma 25" xfId="274" xr:uid="{A13420FE-DCF8-488E-900A-587460BEA84D}"/>
    <cellStyle name="Comma 25 2" xfId="463" xr:uid="{05A3EB5A-B873-46CC-B129-10010735AAD9}"/>
    <cellStyle name="Comma 26" xfId="264" xr:uid="{F94DF186-1A23-497C-9D04-9A0BADB44451}"/>
    <cellStyle name="Comma 26 2" xfId="460" xr:uid="{CE2DA440-602D-451C-A37A-87BB9AA66D9A}"/>
    <cellStyle name="Comma 27" xfId="271" xr:uid="{662C0D18-ED43-4895-BDBC-5470EAAF65FC}"/>
    <cellStyle name="Comma 27 2" xfId="464" xr:uid="{A8395819-DB1F-4FA9-9B84-372BD50D03F6}"/>
    <cellStyle name="Comma 28" xfId="343" xr:uid="{63AF0D42-BF8A-409A-8495-9D3D66143ACD}"/>
    <cellStyle name="Comma 28 2" xfId="461" xr:uid="{E41C4333-4B4E-439C-9AA1-B63C29EAD3F8}"/>
    <cellStyle name="Comma 29" xfId="462" xr:uid="{CF0935D9-BC58-4804-BEF8-AEFD7D40B381}"/>
    <cellStyle name="Comma 3" xfId="8" xr:uid="{00000000-0005-0000-0000-000026000000}"/>
    <cellStyle name="Comma 3 2" xfId="9" xr:uid="{00000000-0005-0000-0000-000027000000}"/>
    <cellStyle name="Comma 3 2 2" xfId="283" xr:uid="{49968519-EDC7-4989-9D9D-83AA87437315}"/>
    <cellStyle name="Comma 3 3" xfId="108" xr:uid="{00000000-0005-0000-0000-000028000000}"/>
    <cellStyle name="Comma 3 4" xfId="282" xr:uid="{F266152C-60DC-4E12-AFE4-AF86AD9CC372}"/>
    <cellStyle name="Comma 30" xfId="473" xr:uid="{C8B42084-7583-4217-833A-8A737DB335DE}"/>
    <cellStyle name="Comma 31" xfId="485" xr:uid="{098419AA-EFFD-4CE5-B8A9-5A7D70F504C4}"/>
    <cellStyle name="Comma 32" xfId="474" xr:uid="{DDB915C0-B2E9-4F95-BA45-8B89D41B139E}"/>
    <cellStyle name="Comma 33" xfId="483" xr:uid="{0D615A31-CD7B-4494-A2A7-61F66AF4224D}"/>
    <cellStyle name="Comma 34" xfId="476" xr:uid="{F0EE52AA-78F3-46BF-902E-8E36677DB019}"/>
    <cellStyle name="Comma 35" xfId="482" xr:uid="{47F3F934-6BEF-4031-B5C8-A000CCB883F9}"/>
    <cellStyle name="Comma 36" xfId="475" xr:uid="{7B2B3CE1-8885-41A3-8EAC-0AF5420C9154}"/>
    <cellStyle name="Comma 37" xfId="480" xr:uid="{A5439B0F-6B96-4730-BDCD-99EB3D1FB050}"/>
    <cellStyle name="Comma 38" xfId="489" xr:uid="{0F4AA02C-5FFF-4D28-BDC9-388A03276FE4}"/>
    <cellStyle name="Comma 39" xfId="481" xr:uid="{0FAD2C05-7629-4A95-81D3-1505230A1783}"/>
    <cellStyle name="Comma 4" xfId="3" xr:uid="{00000000-0005-0000-0000-000029000000}"/>
    <cellStyle name="Comma 4 2" xfId="10" xr:uid="{00000000-0005-0000-0000-00002A000000}"/>
    <cellStyle name="Comma 4 2 2" xfId="284" xr:uid="{DC3789DA-E1F0-441D-85F2-AD0A3CD52981}"/>
    <cellStyle name="Comma 4 3" xfId="109" xr:uid="{00000000-0005-0000-0000-00002B000000}"/>
    <cellStyle name="Comma 4 3 2" xfId="250" xr:uid="{DAA8E3A7-2508-460D-84CB-224CE435E805}"/>
    <cellStyle name="Comma 4 3 2 2" xfId="378" xr:uid="{0DD88B21-D3E2-4D27-A607-2A4D226D35F2}"/>
    <cellStyle name="Comma 4 3 3" xfId="314" xr:uid="{55BF5F27-1D73-4151-A9DE-8EDF1DC29E2D}"/>
    <cellStyle name="Comma 4 3 4" xfId="431" xr:uid="{3ABEF63B-224B-4A7F-B874-8E4DFABDA8C1}"/>
    <cellStyle name="Comma 40" xfId="488" xr:uid="{6280190B-7696-4E1D-BD5B-7468F7331A4F}"/>
    <cellStyle name="Comma 41" xfId="484" xr:uid="{29692D04-8A6F-4B2F-903C-1F47982C5B34}"/>
    <cellStyle name="Comma 42" xfId="487" xr:uid="{ED286CE7-9110-4625-B1FD-0D5748BDAE6D}"/>
    <cellStyle name="Comma 43" xfId="477" xr:uid="{22A4DA7C-8FA6-478A-87CD-0E7C3245C297}"/>
    <cellStyle name="Comma 44" xfId="478" xr:uid="{D323642C-EA16-4C75-9B34-B23771263A94}"/>
    <cellStyle name="Comma 45" xfId="486" xr:uid="{5B7A1102-184E-4092-89B4-162F2FB387BF}"/>
    <cellStyle name="Comma 46" xfId="479" xr:uid="{8F7B08DB-E584-4D7A-ACE5-794AD534F2BE}"/>
    <cellStyle name="Comma 47" xfId="490" xr:uid="{2F96CAFF-FA10-4A7A-89C1-171432237FC5}"/>
    <cellStyle name="Comma 48" xfId="491" xr:uid="{45C0A7A0-50D0-47CC-B436-85B3135AB797}"/>
    <cellStyle name="Comma 49" xfId="497" xr:uid="{5F418202-39D1-4FB8-98AA-985E836A807B}"/>
    <cellStyle name="Comma 5" xfId="11" xr:uid="{00000000-0005-0000-0000-00002C000000}"/>
    <cellStyle name="Comma 5 2" xfId="12" xr:uid="{00000000-0005-0000-0000-00002D000000}"/>
    <cellStyle name="Comma 50" xfId="496" xr:uid="{04533627-2692-4772-93CC-A400BB34C56B}"/>
    <cellStyle name="Comma 51" xfId="502" xr:uid="{4A4E0884-F974-4300-A556-51D20164E529}"/>
    <cellStyle name="Comma 52" xfId="499" xr:uid="{6B01F398-CF14-4725-87E4-0C395F452D71}"/>
    <cellStyle name="Comma 53" xfId="505" xr:uid="{E8C41401-1B32-49E0-AB2C-93DB9995EDFE}"/>
    <cellStyle name="Comma 6" xfId="48" xr:uid="{00000000-0005-0000-0000-00002E000000}"/>
    <cellStyle name="Comma 6 2" xfId="224" xr:uid="{F77589BB-8C25-4994-9642-F9F14F4BD53D}"/>
    <cellStyle name="Comma 6 2 2" xfId="352" xr:uid="{CAA4A3A8-7240-4D66-9504-033035BD08F3}"/>
    <cellStyle name="Comma 6 3" xfId="287" xr:uid="{6EA47BC4-5B3E-4249-9849-41BF517CB23F}"/>
    <cellStyle name="Comma 6 4" xfId="405" xr:uid="{BD7118A2-FFDE-462C-ADFB-07B55838B61A}"/>
    <cellStyle name="Comma 7" xfId="54" xr:uid="{00000000-0005-0000-0000-00002F000000}"/>
    <cellStyle name="Comma 7 2" xfId="229" xr:uid="{F56C3896-64F6-4DE9-91FC-EF5F0BB7C802}"/>
    <cellStyle name="Comma 7 2 2" xfId="357" xr:uid="{558C2ACF-95BB-4768-BF01-D25932DD9AB7}"/>
    <cellStyle name="Comma 7 3" xfId="292" xr:uid="{CE31D129-F4F7-4931-BC03-7E870B1BAFD6}"/>
    <cellStyle name="Comma 7 4" xfId="410" xr:uid="{A5EB3826-3F29-4BF2-B6A5-BE3D9E72644A}"/>
    <cellStyle name="Comma 8" xfId="59" xr:uid="{00000000-0005-0000-0000-000030000000}"/>
    <cellStyle name="Comma 8 2" xfId="234" xr:uid="{2A8AA414-66D1-4C08-9350-2B24DB451F03}"/>
    <cellStyle name="Comma 8 2 2" xfId="362" xr:uid="{68F6E962-EC25-448E-8062-974762F9732C}"/>
    <cellStyle name="Comma 8 3" xfId="297" xr:uid="{EC0E3780-8AC4-4987-A202-1B509A4DC4E4}"/>
    <cellStyle name="Comma 8 4" xfId="415" xr:uid="{DC5B3616-762F-4753-ACE6-EB6DB1ACDB80}"/>
    <cellStyle name="Comma 9" xfId="64" xr:uid="{00000000-0005-0000-0000-000031000000}"/>
    <cellStyle name="Comma 9 2" xfId="239" xr:uid="{597D86C2-A4A5-427B-8BF5-8789F9B5F733}"/>
    <cellStyle name="Comma 9 2 2" xfId="367" xr:uid="{BAB1382A-B140-4BAE-A957-C2F2B5EA1EE1}"/>
    <cellStyle name="Comma 9 3" xfId="302" xr:uid="{C48512DF-671F-41F9-91A7-44F189124A41}"/>
    <cellStyle name="Comma 9 4" xfId="420" xr:uid="{7A759AD3-FAAB-42A5-80D1-B1C5520C23C5}"/>
    <cellStyle name="Comma_050162 SOQ Olifantsvlei Unit 2 Mod 2  3 Upgrade" xfId="77" xr:uid="{00000000-0005-0000-0000-000032000000}"/>
    <cellStyle name="Comma_050162 SOQ Olifantsvlei Unit 2 Mod 2  3 Upgrade 2" xfId="85" xr:uid="{00000000-0005-0000-0000-000033000000}"/>
    <cellStyle name="Comma_050162 SOQ Olifantsvlei Unit 2 Mod 2  3 Upgrade 3" xfId="313" xr:uid="{8EF567A8-5E32-4D29-9C4B-13244756814E}"/>
    <cellStyle name="Comma0" xfId="4" xr:uid="{00000000-0005-0000-0000-000034000000}"/>
    <cellStyle name="Comma0 2" xfId="13" xr:uid="{00000000-0005-0000-0000-000035000000}"/>
    <cellStyle name="Comma0 2 2" xfId="89" xr:uid="{00000000-0005-0000-0000-000036000000}"/>
    <cellStyle name="Comma0 3" xfId="455" xr:uid="{81309DB9-9BA6-4CB7-AF94-74B3C70A0656}"/>
    <cellStyle name="Comma0 4" xfId="466" xr:uid="{FEC14CD8-BC30-4B43-A2E7-B45A5ED3AEA6}"/>
    <cellStyle name="Comma1" xfId="14" xr:uid="{00000000-0005-0000-0000-000037000000}"/>
    <cellStyle name="Comma1 2" xfId="15" xr:uid="{00000000-0005-0000-0000-000038000000}"/>
    <cellStyle name="Comma2" xfId="16" xr:uid="{00000000-0005-0000-0000-000039000000}"/>
    <cellStyle name="Comma3" xfId="17" xr:uid="{00000000-0005-0000-0000-00003A000000}"/>
    <cellStyle name="Comma3 2" xfId="18" xr:uid="{00000000-0005-0000-0000-00003B000000}"/>
    <cellStyle name="Currency" xfId="198" builtinId="4"/>
    <cellStyle name="Currency 10" xfId="266" xr:uid="{8ACF533D-4DCB-428E-A543-08C4C6B46A30}"/>
    <cellStyle name="Currency 10 2" xfId="388" xr:uid="{76742D59-C921-46F2-B19A-274C636654D5}"/>
    <cellStyle name="Currency 10 3" xfId="448" xr:uid="{561C6890-5AC4-4B1C-B43C-BBBBD78630B9}"/>
    <cellStyle name="Currency 11" xfId="220" xr:uid="{D7B1F6A0-818F-4934-B18C-064EA384EA5F}"/>
    <cellStyle name="Currency 11 2" xfId="349" xr:uid="{287AFAA2-0220-4309-8521-23C434CFAD71}"/>
    <cellStyle name="Currency 11 3" xfId="465" xr:uid="{C72D6C2A-9D71-43F7-BB2A-9CC9EFD4E504}"/>
    <cellStyle name="Currency 12" xfId="277" xr:uid="{E849E3ED-966E-42F0-9B61-B7919714E590}"/>
    <cellStyle name="Currency 12 2" xfId="467" xr:uid="{5806541F-F637-408D-9C01-5AC743933C11}"/>
    <cellStyle name="Currency 13" xfId="344" xr:uid="{EBAB3DB9-7ED1-47DA-B486-20B55B5F4E03}"/>
    <cellStyle name="Currency 13 2" xfId="492" xr:uid="{25D6515A-D422-42A3-ABA8-B07836FFAFEC}"/>
    <cellStyle name="Currency 14" xfId="498" xr:uid="{8B432309-5BED-41BB-AACB-FAD83622F697}"/>
    <cellStyle name="Currency 2" xfId="19" xr:uid="{00000000-0005-0000-0000-00003D000000}"/>
    <cellStyle name="Currency 2 2" xfId="90" xr:uid="{00000000-0005-0000-0000-00003E000000}"/>
    <cellStyle name="Currency 2 3" xfId="110" xr:uid="{00000000-0005-0000-0000-00003F000000}"/>
    <cellStyle name="Currency 2 4" xfId="214" xr:uid="{00000000-0005-0000-0000-000040000000}"/>
    <cellStyle name="Currency 3" xfId="52" xr:uid="{00000000-0005-0000-0000-000041000000}"/>
    <cellStyle name="Currency 3 2" xfId="111" xr:uid="{00000000-0005-0000-0000-000042000000}"/>
    <cellStyle name="Currency 3 2 2" xfId="215" xr:uid="{00000000-0005-0000-0000-000043000000}"/>
    <cellStyle name="Currency 3 2 3" xfId="251" xr:uid="{A2262071-C281-41C8-86AC-DC8ACC91E892}"/>
    <cellStyle name="Currency 3 2 3 2" xfId="379" xr:uid="{EDA66F4E-F8FB-439E-9D2E-FCBDEBC9401F}"/>
    <cellStyle name="Currency 3 2 4" xfId="315" xr:uid="{8149BED1-A2D5-472F-8141-D08F386D1667}"/>
    <cellStyle name="Currency 3 2 5" xfId="432" xr:uid="{13A885BD-1655-491E-B7F3-158BC12C29A7}"/>
    <cellStyle name="Currency 3 3" xfId="216" xr:uid="{00000000-0005-0000-0000-000044000000}"/>
    <cellStyle name="Currency 3 4" xfId="227" xr:uid="{9B247073-24CA-4C28-8918-CD4FA7987798}"/>
    <cellStyle name="Currency 3 4 2" xfId="355" xr:uid="{3D3E2D19-4DB5-4074-8CEE-B8759F2D09A3}"/>
    <cellStyle name="Currency 3 5" xfId="290" xr:uid="{54A6505C-277A-427A-AD27-90BA730AFA25}"/>
    <cellStyle name="Currency 3 6" xfId="408" xr:uid="{573F4232-EB72-472F-A18E-C2DFAEB06F1B}"/>
    <cellStyle name="Currency 4" xfId="57" xr:uid="{00000000-0005-0000-0000-000045000000}"/>
    <cellStyle name="Currency 4 2" xfId="232" xr:uid="{30F5FAFD-A10D-4DB4-A93A-32C5D95BFF72}"/>
    <cellStyle name="Currency 4 2 2" xfId="360" xr:uid="{5FB04D2F-0C2C-4D6A-AF96-C6A2B4B5C0BD}"/>
    <cellStyle name="Currency 4 3" xfId="295" xr:uid="{0DC60178-A717-4D2B-B6F8-C6BDB663DF96}"/>
    <cellStyle name="Currency 4 4" xfId="413" xr:uid="{CB15D4FB-79CF-4D9D-B43A-C8BAE3C95E1E}"/>
    <cellStyle name="Currency 5" xfId="62" xr:uid="{00000000-0005-0000-0000-000046000000}"/>
    <cellStyle name="Currency 5 2" xfId="237" xr:uid="{0B57E690-5F28-4BDF-B158-56DF93AA17CB}"/>
    <cellStyle name="Currency 5 2 2" xfId="365" xr:uid="{3A35DE48-DCC9-4ED5-B868-67F1384792D9}"/>
    <cellStyle name="Currency 5 3" xfId="300" xr:uid="{5B6A1721-EFD4-413C-8E34-C1A3276F3ABE}"/>
    <cellStyle name="Currency 5 4" xfId="418" xr:uid="{513D9A8A-8AD4-4863-8086-571980DB88F5}"/>
    <cellStyle name="Currency 6" xfId="67" xr:uid="{00000000-0005-0000-0000-000047000000}"/>
    <cellStyle name="Currency 6 2" xfId="242" xr:uid="{1CCCD8B4-4A16-43D5-B636-C4305B6562FC}"/>
    <cellStyle name="Currency 6 2 2" xfId="370" xr:uid="{6F20D007-55D5-481E-BF91-A1EC641F9FA9}"/>
    <cellStyle name="Currency 6 3" xfId="305" xr:uid="{8F18E95B-4A72-42B7-88B0-2712043D87D9}"/>
    <cellStyle name="Currency 6 4" xfId="423" xr:uid="{4697706A-2324-4C68-B1BE-6656BB7701D0}"/>
    <cellStyle name="Currency 7" xfId="73" xr:uid="{00000000-0005-0000-0000-000048000000}"/>
    <cellStyle name="Currency 7 2" xfId="248" xr:uid="{8BF0D919-E1ED-43FE-A2AD-71634C2ECDF8}"/>
    <cellStyle name="Currency 7 2 2" xfId="376" xr:uid="{4E5307CE-0395-4B25-BA27-E93DFB7D2ADB}"/>
    <cellStyle name="Currency 7 3" xfId="311" xr:uid="{3540AFE2-F7FE-43A1-8681-3CAA90405B1C}"/>
    <cellStyle name="Currency 7 4" xfId="429" xr:uid="{BD1D195A-6F5F-43AE-88D3-AB79D73D248F}"/>
    <cellStyle name="Currency 8" xfId="78" xr:uid="{00000000-0005-0000-0000-000049000000}"/>
    <cellStyle name="Currency 9" xfId="213" xr:uid="{00000000-0005-0000-0000-00004A000000}"/>
    <cellStyle name="Currency 9 2" xfId="270" xr:uid="{A93B0B83-4654-411F-8D35-60779F402AC3}"/>
    <cellStyle name="Currency 9 2 2" xfId="391" xr:uid="{5A3538C3-5C2C-4786-AC18-20BCE85FB3D0}"/>
    <cellStyle name="Currency 9 3" xfId="346" xr:uid="{EEA68FC0-2F26-41F2-967E-5D17B5439F28}"/>
    <cellStyle name="Currency 9 4" xfId="452" xr:uid="{821EB0F6-2720-4A3C-9BD3-19D4E64E6012}"/>
    <cellStyle name="CURRENCY IN RANDS" xfId="112" xr:uid="{00000000-0005-0000-0000-00004B000000}"/>
    <cellStyle name="CURRENCY IN US$" xfId="113" xr:uid="{00000000-0005-0000-0000-00004C000000}"/>
    <cellStyle name="Currency0" xfId="20" xr:uid="{00000000-0005-0000-0000-00004D000000}"/>
    <cellStyle name="Currency0 2" xfId="21" xr:uid="{00000000-0005-0000-0000-00004E000000}"/>
    <cellStyle name="Date" xfId="22" xr:uid="{00000000-0005-0000-0000-00004F000000}"/>
    <cellStyle name="DATE 2" xfId="114" xr:uid="{00000000-0005-0000-0000-000050000000}"/>
    <cellStyle name="Date 3" xfId="115" xr:uid="{00000000-0005-0000-0000-000051000000}"/>
    <cellStyle name="Date 4" xfId="456" xr:uid="{69FFF632-AD9A-4651-BA72-3429B7DCFE57}"/>
    <cellStyle name="Date 5" xfId="469" xr:uid="{E9725BCC-E9B2-4C6F-8F49-A54456D7546E}"/>
    <cellStyle name="Date 6" xfId="468" xr:uid="{79EDF546-61A6-4256-BDEB-6BC2A823691C}"/>
    <cellStyle name="Date 7" xfId="471" xr:uid="{4B6A05E5-28AF-4C2E-8705-95468EDB88BF}"/>
    <cellStyle name="Date 8" xfId="472" xr:uid="{8703630D-F211-4E97-AF81-002E5531874C}"/>
    <cellStyle name="Date 9" xfId="470" xr:uid="{21B8A82A-97CA-4868-B74D-D74C46B40CD9}"/>
    <cellStyle name="F2" xfId="116" xr:uid="{00000000-0005-0000-0000-000052000000}"/>
    <cellStyle name="F3" xfId="23" xr:uid="{00000000-0005-0000-0000-000053000000}"/>
    <cellStyle name="F3 2" xfId="117" xr:uid="{00000000-0005-0000-0000-000054000000}"/>
    <cellStyle name="F4" xfId="24" xr:uid="{00000000-0005-0000-0000-000055000000}"/>
    <cellStyle name="F4 2" xfId="118" xr:uid="{00000000-0005-0000-0000-000056000000}"/>
    <cellStyle name="F5" xfId="119" xr:uid="{00000000-0005-0000-0000-000057000000}"/>
    <cellStyle name="F6" xfId="120" xr:uid="{00000000-0005-0000-0000-000058000000}"/>
    <cellStyle name="F7" xfId="25" xr:uid="{00000000-0005-0000-0000-000059000000}"/>
    <cellStyle name="F7 2" xfId="121" xr:uid="{00000000-0005-0000-0000-00005A000000}"/>
    <cellStyle name="F8" xfId="122" xr:uid="{00000000-0005-0000-0000-00005B000000}"/>
    <cellStyle name="Fixed" xfId="26" xr:uid="{00000000-0005-0000-0000-00005C000000}"/>
    <cellStyle name="Fixed 2" xfId="123" xr:uid="{00000000-0005-0000-0000-00005D000000}"/>
    <cellStyle name="Header1" xfId="124" xr:uid="{00000000-0005-0000-0000-00005E000000}"/>
    <cellStyle name="Header2" xfId="125" xr:uid="{00000000-0005-0000-0000-00005F000000}"/>
    <cellStyle name="Header2 2" xfId="433" xr:uid="{233EFA67-B568-41DD-9404-C3E17E346F5F}"/>
    <cellStyle name="Heading 1 2" xfId="79" xr:uid="{00000000-0005-0000-0000-000060000000}"/>
    <cellStyle name="Heading 2 2" xfId="80" xr:uid="{00000000-0005-0000-0000-000061000000}"/>
    <cellStyle name="HEADING1" xfId="27" xr:uid="{00000000-0005-0000-0000-000062000000}"/>
    <cellStyle name="HEADING1 2" xfId="126" xr:uid="{00000000-0005-0000-0000-000063000000}"/>
    <cellStyle name="HEADING2" xfId="28" xr:uid="{00000000-0005-0000-0000-000064000000}"/>
    <cellStyle name="HEADING2 2" xfId="127" xr:uid="{00000000-0005-0000-0000-000065000000}"/>
    <cellStyle name="HIDE" xfId="128" xr:uid="{00000000-0005-0000-0000-000066000000}"/>
    <cellStyle name="Ian" xfId="129" xr:uid="{00000000-0005-0000-0000-000067000000}"/>
    <cellStyle name="Ian 2" xfId="252" xr:uid="{67CBB5FF-DD5E-47AE-AB1F-D6F5FDA952B1}"/>
    <cellStyle name="Ian 3" xfId="434" xr:uid="{C2FDCB9F-0763-4C5F-9E66-FB3D86DB02A1}"/>
    <cellStyle name="Input Cells" xfId="130" xr:uid="{00000000-0005-0000-0000-000068000000}"/>
    <cellStyle name="Normal" xfId="0" builtinId="0"/>
    <cellStyle name="Normal - Style1" xfId="131" xr:uid="{00000000-0005-0000-0000-00006A000000}"/>
    <cellStyle name="Normal 10" xfId="53" xr:uid="{00000000-0005-0000-0000-00006B000000}"/>
    <cellStyle name="Normal 10 2" xfId="132" xr:uid="{00000000-0005-0000-0000-00006C000000}"/>
    <cellStyle name="Normal 10 3" xfId="228" xr:uid="{37166654-B447-42EC-9056-9EC8099BC5D2}"/>
    <cellStyle name="Normal 10 3 2" xfId="356" xr:uid="{50BA4CCD-4AF5-4F06-90E8-A2B8DCF197EA}"/>
    <cellStyle name="Normal 10 4" xfId="291" xr:uid="{8E912413-15D0-489D-8F78-E1CEAE10360C}"/>
    <cellStyle name="Normal 10 5" xfId="409" xr:uid="{1E6BF1BF-AE5E-4D6D-922A-CFBCE3A5C309}"/>
    <cellStyle name="Normal 11" xfId="58" xr:uid="{00000000-0005-0000-0000-00006D000000}"/>
    <cellStyle name="Normal 11 2" xfId="133" xr:uid="{00000000-0005-0000-0000-00006E000000}"/>
    <cellStyle name="Normal 11 3" xfId="233" xr:uid="{D28EA406-CA3A-4A8C-90EA-E7C59B3FDD3D}"/>
    <cellStyle name="Normal 11 3 2" xfId="361" xr:uid="{4724D24E-9AF4-40ED-AD43-BDF945E2EEBF}"/>
    <cellStyle name="Normal 11 4" xfId="296" xr:uid="{B4D83E98-0D09-4ADE-ADCB-73E95CFEC473}"/>
    <cellStyle name="Normal 11 5" xfId="414" xr:uid="{8C1660E9-B543-48BF-9879-A31A74E8EA74}"/>
    <cellStyle name="Normal 12" xfId="63" xr:uid="{00000000-0005-0000-0000-00006F000000}"/>
    <cellStyle name="Normal 12 2" xfId="86" xr:uid="{00000000-0005-0000-0000-000070000000}"/>
    <cellStyle name="Normal 12 3" xfId="238" xr:uid="{B9BFA3AC-C3AA-46EB-9071-AA2276A0AF22}"/>
    <cellStyle name="Normal 12 3 2" xfId="366" xr:uid="{2EE567D5-9025-415F-B73B-D461995DADBE}"/>
    <cellStyle name="Normal 12 4" xfId="301" xr:uid="{2163689B-E7CE-49C0-AC81-7D31EBB658B5}"/>
    <cellStyle name="Normal 12 5" xfId="419" xr:uid="{1627B959-1565-4EDE-A154-E8F49ADE556C}"/>
    <cellStyle name="Normal 13" xfId="69" xr:uid="{00000000-0005-0000-0000-000071000000}"/>
    <cellStyle name="Normal 13 2" xfId="244" xr:uid="{D9AE3F80-68A7-4CD3-9694-5A65172056BA}"/>
    <cellStyle name="Normal 13 2 2" xfId="372" xr:uid="{3BFE42D0-3FC4-4F53-8700-799A46FC9199}"/>
    <cellStyle name="Normal 13 3" xfId="307" xr:uid="{840551DF-BF27-4B0A-A64F-F26172BC4DDF}"/>
    <cellStyle name="Normal 13 4" xfId="425" xr:uid="{BE05A80E-9146-4510-9F44-3365B82C895F}"/>
    <cellStyle name="Normal 14" xfId="75" xr:uid="{00000000-0005-0000-0000-000072000000}"/>
    <cellStyle name="Normal 14 2" xfId="210" xr:uid="{00000000-0005-0000-0000-000073000000}"/>
    <cellStyle name="Normal 14 2 2" xfId="327" xr:uid="{DB382218-6B1B-4C8E-ACCD-CD0249AFE6DF}"/>
    <cellStyle name="Normal 14 3" xfId="397" xr:uid="{45B7AFD5-BE1F-4281-8DF9-F291C6F2D382}"/>
    <cellStyle name="Normal 15" xfId="175" xr:uid="{00000000-0005-0000-0000-000074000000}"/>
    <cellStyle name="Normal 15 2" xfId="209" xr:uid="{00000000-0005-0000-0000-000075000000}"/>
    <cellStyle name="Normal 15 2 2" xfId="331" xr:uid="{83B68436-45E1-4384-9876-5772B9C29A9B}"/>
    <cellStyle name="Normal 15 3" xfId="398" xr:uid="{F893B300-CCA5-4278-A70B-D9CCC35C3158}"/>
    <cellStyle name="Normal 16" xfId="182" xr:uid="{00000000-0005-0000-0000-000076000000}"/>
    <cellStyle name="Normal 16 2" xfId="208" xr:uid="{00000000-0005-0000-0000-000077000000}"/>
    <cellStyle name="Normal 16 2 2" xfId="333" xr:uid="{B71D7A50-98C3-47C5-8BDC-FF1DBD2D976A}"/>
    <cellStyle name="Normal 16 3" xfId="396" xr:uid="{38C2A759-76B6-436E-B243-A418D1E6B87A}"/>
    <cellStyle name="Normal 17" xfId="177" xr:uid="{00000000-0005-0000-0000-000078000000}"/>
    <cellStyle name="Normal 17 2" xfId="207" xr:uid="{00000000-0005-0000-0000-000079000000}"/>
    <cellStyle name="Normal 17 2 2" xfId="334" xr:uid="{31415DBE-8E64-4584-843F-2CAA9B0D805D}"/>
    <cellStyle name="Normal 17 3" xfId="395" xr:uid="{72EA8229-C658-4C21-A412-B21B306AFF54}"/>
    <cellStyle name="Normal 18" xfId="184" xr:uid="{00000000-0005-0000-0000-00007A000000}"/>
    <cellStyle name="Normal 18 2" xfId="262" xr:uid="{0C5A2D55-E9AE-4F69-B11F-78E7EC98D35E}"/>
    <cellStyle name="Normal 19" xfId="186" xr:uid="{00000000-0005-0000-0000-00007B000000}"/>
    <cellStyle name="Normal 19 2" xfId="206" xr:uid="{00000000-0005-0000-0000-00007C000000}"/>
    <cellStyle name="Normal 19 2 2" xfId="335" xr:uid="{E076E77E-C9A6-482C-B0B5-0C2E52D68BAB}"/>
    <cellStyle name="Normal 2" xfId="2" xr:uid="{00000000-0005-0000-0000-00007D000000}"/>
    <cellStyle name="Normal 2 2" xfId="29" xr:uid="{00000000-0005-0000-0000-00007E000000}"/>
    <cellStyle name="Normal 2 2 2" xfId="135" xr:uid="{00000000-0005-0000-0000-00007F000000}"/>
    <cellStyle name="Normal 2 2 2 2" xfId="329" xr:uid="{26585D31-FF3D-4455-8A90-A452666DDCF2}"/>
    <cellStyle name="Normal 2 2 3" xfId="87" xr:uid="{00000000-0005-0000-0000-000080000000}"/>
    <cellStyle name="Normal 2 3" xfId="136" xr:uid="{00000000-0005-0000-0000-000081000000}"/>
    <cellStyle name="Normal 2 4" xfId="137" xr:uid="{00000000-0005-0000-0000-000082000000}"/>
    <cellStyle name="Normal 2 5" xfId="134" xr:uid="{00000000-0005-0000-0000-000083000000}"/>
    <cellStyle name="Normal 2 6" xfId="454" xr:uid="{8C18D03C-BFB0-4526-BDFE-976B18726946}"/>
    <cellStyle name="Normal 20" xfId="179" xr:uid="{00000000-0005-0000-0000-000084000000}"/>
    <cellStyle name="Normal 20 2" xfId="205" xr:uid="{00000000-0005-0000-0000-000085000000}"/>
    <cellStyle name="Normal 20 2 2" xfId="336" xr:uid="{E814458D-7B5D-4433-B1DA-B8721C1D2BE8}"/>
    <cellStyle name="Normal 21" xfId="188" xr:uid="{00000000-0005-0000-0000-000086000000}"/>
    <cellStyle name="Normal 21 2" xfId="204" xr:uid="{00000000-0005-0000-0000-000087000000}"/>
    <cellStyle name="Normal 21 2 2" xfId="338" xr:uid="{04575B3A-6F8B-4646-8554-F23606E56C78}"/>
    <cellStyle name="Normal 22" xfId="190" xr:uid="{00000000-0005-0000-0000-000088000000}"/>
    <cellStyle name="Normal 22 2" xfId="203" xr:uid="{00000000-0005-0000-0000-000089000000}"/>
    <cellStyle name="Normal 22 2 2" xfId="337" xr:uid="{1825B535-4818-4F98-B236-64787C31D7C8}"/>
    <cellStyle name="Normal 23" xfId="192" xr:uid="{00000000-0005-0000-0000-00008A000000}"/>
    <cellStyle name="Normal 23 2" xfId="263" xr:uid="{CC0DB4FC-BB1A-4C30-B889-C163310922A4}"/>
    <cellStyle name="Normal 24" xfId="194" xr:uid="{00000000-0005-0000-0000-00008B000000}"/>
    <cellStyle name="Normal 24 2" xfId="202" xr:uid="{00000000-0005-0000-0000-00008C000000}"/>
    <cellStyle name="Normal 24 2 2" xfId="339" xr:uid="{16611B69-B5EB-4F9F-B911-08214F20BDED}"/>
    <cellStyle name="Normal 25" xfId="196" xr:uid="{00000000-0005-0000-0000-00008D000000}"/>
    <cellStyle name="Normal 25 2" xfId="201" xr:uid="{00000000-0005-0000-0000-00008E000000}"/>
    <cellStyle name="Normal 25 2 2" xfId="340" xr:uid="{2FC2EBA5-A040-481B-973D-35DD16B557E0}"/>
    <cellStyle name="Normal 26" xfId="200" xr:uid="{00000000-0005-0000-0000-00008F000000}"/>
    <cellStyle name="Normal 26 2" xfId="267" xr:uid="{15718460-8314-4217-BA95-B3258A73AA6B}"/>
    <cellStyle name="Normal 26 2 2" xfId="389" xr:uid="{3BA32461-14DA-420C-BF11-D612FCCEDC7B}"/>
    <cellStyle name="Normal 26 3" xfId="324" xr:uid="{DB35A4D1-B142-4E69-AB60-68CC060C663D}"/>
    <cellStyle name="Normal 26 4" xfId="450" xr:uid="{2D0F1618-E11D-4D30-A402-8B6069974DA3}"/>
    <cellStyle name="Normal 27" xfId="217" xr:uid="{DDC6E66C-6622-4DE4-BC1A-63E36E90B2D9}"/>
    <cellStyle name="Normal 27 2" xfId="330" xr:uid="{11186385-5097-4C17-93B8-03D63167D038}"/>
    <cellStyle name="Normal 28" xfId="261" xr:uid="{2EE91972-FAD2-47B2-979F-74DD7B7F18D1}"/>
    <cellStyle name="Normal 29" xfId="273" xr:uid="{B63FCF65-F12C-475C-A1F3-67A90A75E745}"/>
    <cellStyle name="Normal 3" xfId="5" xr:uid="{00000000-0005-0000-0000-000090000000}"/>
    <cellStyle name="Normal 3 2" xfId="30" xr:uid="{00000000-0005-0000-0000-000091000000}"/>
    <cellStyle name="Normal 3 2 2" xfId="31" xr:uid="{00000000-0005-0000-0000-000092000000}"/>
    <cellStyle name="Normal 3 2 2 2" xfId="32" xr:uid="{00000000-0005-0000-0000-000093000000}"/>
    <cellStyle name="Normal 3 2 2 3" xfId="139" xr:uid="{00000000-0005-0000-0000-000094000000}"/>
    <cellStyle name="Normal 3 2 3" xfId="33" xr:uid="{00000000-0005-0000-0000-000095000000}"/>
    <cellStyle name="Normal 3 2 4" xfId="459" xr:uid="{38D07918-89AF-490D-B277-D04E29685862}"/>
    <cellStyle name="Normal 3 3" xfId="34" xr:uid="{00000000-0005-0000-0000-000096000000}"/>
    <cellStyle name="Normal 3 3 2" xfId="140" xr:uid="{00000000-0005-0000-0000-000097000000}"/>
    <cellStyle name="Normal 3 3 3" xfId="458" xr:uid="{DF6FEC0D-9030-4084-9A41-315D6CBD3677}"/>
    <cellStyle name="Normal 3 4" xfId="141" xr:uid="{00000000-0005-0000-0000-000098000000}"/>
    <cellStyle name="Normal 3 4 2" xfId="254" xr:uid="{AC1ABDE8-2556-4E01-99BA-B17A135001F5}"/>
    <cellStyle name="Normal 3 4 2 2" xfId="381" xr:uid="{97A5FB9B-3FEA-489F-9678-53306931B585}"/>
    <cellStyle name="Normal 3 4 3" xfId="317" xr:uid="{2DB97E71-CAC4-4CB5-B444-030B8E5510F2}"/>
    <cellStyle name="Normal 3 4 4" xfId="436" xr:uid="{5AE48EB1-9A75-4ADE-A9A9-C5FA40F5FB26}"/>
    <cellStyle name="Normal 3 5" xfId="138" xr:uid="{00000000-0005-0000-0000-000099000000}"/>
    <cellStyle name="Normal 3 5 2" xfId="253" xr:uid="{F3860450-E3A6-4FFB-9E98-1C0C5E95C85B}"/>
    <cellStyle name="Normal 3 5 2 2" xfId="380" xr:uid="{8DDA12F6-4CAF-4C35-ACC7-8DC49A8B7057}"/>
    <cellStyle name="Normal 3 5 3" xfId="316" xr:uid="{8CF864D9-F42C-49C8-AD11-49836EAD630E}"/>
    <cellStyle name="Normal 3 5 4" xfId="435" xr:uid="{B99DD765-3E09-4DBD-8E77-C8F5328A7068}"/>
    <cellStyle name="Normal 3 6" xfId="218" xr:uid="{BC70F8C3-4307-49D2-A507-284949A3BCDD}"/>
    <cellStyle name="Normal 3 6 2" xfId="347" xr:uid="{8D8969B0-3695-4A3E-98D0-F46822D84CDB}"/>
    <cellStyle name="Normal 3 6 3" xfId="457" xr:uid="{465021EC-F596-4B75-A39F-DA31E008FB34}"/>
    <cellStyle name="Normal 3 7" xfId="280" xr:uid="{03C6BB1A-3DE7-4D62-BBCC-E20B5CF5F037}"/>
    <cellStyle name="Normal 3 8" xfId="402" xr:uid="{09382817-C7E2-4635-8135-D3692D842D86}"/>
    <cellStyle name="Normal 30" xfId="268" xr:uid="{1E9BD008-686E-4C92-A3E9-E15428C504AD}"/>
    <cellStyle name="Normal 31" xfId="272" xr:uid="{934E4E14-1DEC-4408-85AF-BA5CD4A26103}"/>
    <cellStyle name="Normal 32" xfId="276" xr:uid="{46FFC7FB-DCE9-447B-81F5-A873FFE7C308}"/>
    <cellStyle name="Normal 32 2" xfId="393" xr:uid="{6DE348FD-A664-43D5-B59E-931C6BC1DDC5}"/>
    <cellStyle name="Normal 32 3" xfId="494" xr:uid="{2F10506B-9C8D-423F-9778-31990203A7E3}"/>
    <cellStyle name="Normal 32 4" xfId="507" xr:uid="{7F841EAC-5D65-4837-9290-7C9D8634551A}"/>
    <cellStyle name="Normal 33" xfId="341" xr:uid="{79832286-830E-4597-A410-FA05E61ECF5A}"/>
    <cellStyle name="Normal 34" xfId="399" xr:uid="{79FB73E3-6530-4E7D-A8AC-F2E0EC93516A}"/>
    <cellStyle name="Normal 34 2" xfId="493" xr:uid="{7D0DBA18-E4CC-4505-80AC-498EE9AFBD9F}"/>
    <cellStyle name="Normal 35" xfId="495" xr:uid="{4C604C2D-5570-4D0F-AAAA-AA2B046AE5F2}"/>
    <cellStyle name="Normal 36" xfId="500" xr:uid="{9ACF8102-B359-4C2C-A2EF-6CE3E49BD202}"/>
    <cellStyle name="Normal 37" xfId="400" xr:uid="{418CE1C0-99B6-4766-9412-96DDF2BBDB63}"/>
    <cellStyle name="Normal 37 2" xfId="503" xr:uid="{4FF797AE-8C94-4C84-B2F9-E0EDDEEB9808}"/>
    <cellStyle name="Normal 38" xfId="508" xr:uid="{9ED56AB6-4B68-49F5-A7F7-9BD48CD04CAB}"/>
    <cellStyle name="Normal 4" xfId="35" xr:uid="{00000000-0005-0000-0000-00009A000000}"/>
    <cellStyle name="Normal 4 2" xfId="142" xr:uid="{00000000-0005-0000-0000-00009B000000}"/>
    <cellStyle name="Normal 4 2 2" xfId="255" xr:uid="{950DDF3F-8E0A-41B6-B129-728FAC9E1DCE}"/>
    <cellStyle name="Normal 4 2 2 2" xfId="382" xr:uid="{0EDB3931-22A0-4F94-A9BD-DA8EDFB057E2}"/>
    <cellStyle name="Normal 4 2 3" xfId="318" xr:uid="{2B0C933F-E38E-4183-AC62-5F20490B1B43}"/>
    <cellStyle name="Normal 4 2 4" xfId="437" xr:uid="{EF8BBA04-AED3-4DD3-8884-0C5887826289}"/>
    <cellStyle name="Normal 4 3" xfId="212" xr:uid="{00000000-0005-0000-0000-00009C000000}"/>
    <cellStyle name="Normal 5" xfId="1" xr:uid="{00000000-0005-0000-0000-00009D000000}"/>
    <cellStyle name="Normal 5 2" xfId="36" xr:uid="{00000000-0005-0000-0000-00009E000000}"/>
    <cellStyle name="Normal 5 2 2" xfId="143" xr:uid="{00000000-0005-0000-0000-00009F000000}"/>
    <cellStyle name="Normal 5 2 2 2" xfId="256" xr:uid="{AAE4CF4B-C418-4785-A61F-124149025D48}"/>
    <cellStyle name="Normal 5 2 2 2 2" xfId="328" xr:uid="{2C111FC7-EAC9-4B3B-A17C-A63BCCD03181}"/>
    <cellStyle name="Normal 5 2 2 2 3" xfId="383" xr:uid="{117FA1C7-9070-4067-989B-AC899C836077}"/>
    <cellStyle name="Normal 5 2 2 2 4" xfId="438" xr:uid="{3F0B7CC9-ACA8-4E30-A26B-BC09D18F8E3F}"/>
    <cellStyle name="Normal 5 2 2 3" xfId="278" xr:uid="{8AC19FC5-8A90-4A59-8117-FDF4BAE9086A}"/>
    <cellStyle name="Normal 5 2 2 3 2" xfId="392" xr:uid="{BF6ABAE8-B1ED-419B-8B36-338F2E2B8FBB}"/>
    <cellStyle name="Normal 5 2 2 4" xfId="319" xr:uid="{B3B0B9B8-5711-4F09-8B56-D63588487BAD}"/>
    <cellStyle name="Normal 5 2 2 4 2" xfId="394" xr:uid="{85607799-DE72-4B4B-859C-EB14374A831E}"/>
    <cellStyle name="Normal 6" xfId="6" xr:uid="{00000000-0005-0000-0000-0000A0000000}"/>
    <cellStyle name="Normal 6 2" xfId="144" xr:uid="{00000000-0005-0000-0000-0000A1000000}"/>
    <cellStyle name="Normal 6 2 2" xfId="257" xr:uid="{5E1A87B8-855E-4B4F-85D3-F1091B29DC52}"/>
    <cellStyle name="Normal 6 2 2 2" xfId="384" xr:uid="{7FAB7302-0DC1-43FD-AE0C-C1DFBC172987}"/>
    <cellStyle name="Normal 6 2 3" xfId="320" xr:uid="{A20B36BC-5F1A-4BE0-81AA-E7A5A03FCBC8}"/>
    <cellStyle name="Normal 6 2 4" xfId="439" xr:uid="{130FCF2A-1258-45B0-A09D-3010B81EC7A3}"/>
    <cellStyle name="Normal 7" xfId="37" xr:uid="{00000000-0005-0000-0000-0000A2000000}"/>
    <cellStyle name="Normal 7 2" xfId="51" xr:uid="{00000000-0005-0000-0000-0000A3000000}"/>
    <cellStyle name="Normal 7 3" xfId="145" xr:uid="{00000000-0005-0000-0000-0000A4000000}"/>
    <cellStyle name="Normal 7 3 2" xfId="258" xr:uid="{D7A635B4-AA70-4875-8F1E-C418C6308476}"/>
    <cellStyle name="Normal 7 3 2 2" xfId="385" xr:uid="{C8636DF9-44FF-4848-A139-04F61F317B5D}"/>
    <cellStyle name="Normal 7 3 3" xfId="321" xr:uid="{02EB1039-B204-4E43-9873-E7F33CFFDB93}"/>
    <cellStyle name="Normal 7 3 4" xfId="440" xr:uid="{988FFF7F-F397-41A4-B04A-C3398C0E4616}"/>
    <cellStyle name="Normal 8" xfId="38" xr:uid="{00000000-0005-0000-0000-0000A5000000}"/>
    <cellStyle name="Normal 8 10" xfId="403" xr:uid="{1A57B87C-C767-4A0A-9412-F1947DE26E94}"/>
    <cellStyle name="Normal 8 2" xfId="50" xr:uid="{00000000-0005-0000-0000-0000A6000000}"/>
    <cellStyle name="Normal 8 2 2" xfId="226" xr:uid="{0309ED56-E61F-4D32-9C0A-DE2BAF28CBF1}"/>
    <cellStyle name="Normal 8 2 2 2" xfId="354" xr:uid="{198AEB7A-0D31-44B2-A67B-63F6A4334A12}"/>
    <cellStyle name="Normal 8 2 3" xfId="289" xr:uid="{1F0BD12E-E528-474C-8A77-A2BC25D9D5C0}"/>
    <cellStyle name="Normal 8 2 4" xfId="407" xr:uid="{3E047FE5-EA96-4A37-B2DC-0F58F447C7E8}"/>
    <cellStyle name="Normal 8 3" xfId="56" xr:uid="{00000000-0005-0000-0000-0000A7000000}"/>
    <cellStyle name="Normal 8 3 2" xfId="231" xr:uid="{8F201BB8-7481-4BE3-B1C2-5F161EC83B82}"/>
    <cellStyle name="Normal 8 3 2 2" xfId="359" xr:uid="{BF6A1419-27E5-418D-8737-CFA74061E31F}"/>
    <cellStyle name="Normal 8 3 3" xfId="294" xr:uid="{1A45B51D-70D4-4B3E-B11E-30D1CA117704}"/>
    <cellStyle name="Normal 8 3 4" xfId="412" xr:uid="{362EAD8F-B1A1-4072-A2B8-B8260DC4979F}"/>
    <cellStyle name="Normal 8 4" xfId="61" xr:uid="{00000000-0005-0000-0000-0000A8000000}"/>
    <cellStyle name="Normal 8 4 2" xfId="236" xr:uid="{64850193-D077-400A-963D-73E8E3AFF000}"/>
    <cellStyle name="Normal 8 4 2 2" xfId="364" xr:uid="{B76D35C1-73D6-478C-89CC-E8248BE7D36B}"/>
    <cellStyle name="Normal 8 4 3" xfId="299" xr:uid="{DD9716CD-61AE-4CCD-9525-3EE16BA3FEB8}"/>
    <cellStyle name="Normal 8 4 4" xfId="417" xr:uid="{B31B51FB-E937-4E2B-B730-6023E11C16BE}"/>
    <cellStyle name="Normal 8 5" xfId="66" xr:uid="{00000000-0005-0000-0000-0000A9000000}"/>
    <cellStyle name="Normal 8 5 2" xfId="241" xr:uid="{7D46941D-64BC-4225-B051-1CEA36A61ABF}"/>
    <cellStyle name="Normal 8 5 2 2" xfId="369" xr:uid="{778397B6-AF1E-4058-A6CA-8E9065224163}"/>
    <cellStyle name="Normal 8 5 3" xfId="304" xr:uid="{7EC64E91-0329-4DF3-B043-979B50DE311B}"/>
    <cellStyle name="Normal 8 5 4" xfId="422" xr:uid="{866A6602-850B-49EE-87EE-63D3FFD6954D}"/>
    <cellStyle name="Normal 8 6" xfId="72" xr:uid="{00000000-0005-0000-0000-0000AA000000}"/>
    <cellStyle name="Normal 8 6 2" xfId="247" xr:uid="{D755A7B4-4E8C-413D-BA49-35C8E18598CB}"/>
    <cellStyle name="Normal 8 6 2 2" xfId="375" xr:uid="{B3FC8E56-0BD5-4162-BCD1-34A6452B7B96}"/>
    <cellStyle name="Normal 8 6 3" xfId="310" xr:uid="{22021B88-02D5-47CD-A8B1-280346AEBFA1}"/>
    <cellStyle name="Normal 8 6 4" xfId="428" xr:uid="{6C27B9D2-6AD4-4FF8-873B-51403A43B0DC}"/>
    <cellStyle name="Normal 8 7" xfId="146" xr:uid="{00000000-0005-0000-0000-0000AB000000}"/>
    <cellStyle name="Normal 8 8" xfId="222" xr:uid="{7B121A00-8190-4900-858B-2B771B23D60C}"/>
    <cellStyle name="Normal 8 8 2" xfId="350" xr:uid="{0EB45ED3-221E-4855-90D0-26EA21DCE339}"/>
    <cellStyle name="Normal 8 9" xfId="285" xr:uid="{6405A9D6-5A9D-4BA0-AA96-3A1678B9DCE5}"/>
    <cellStyle name="Normal 9" xfId="46" xr:uid="{00000000-0005-0000-0000-0000AC000000}"/>
    <cellStyle name="Normal 9 2" xfId="147" xr:uid="{00000000-0005-0000-0000-0000AD000000}"/>
    <cellStyle name="Normal 9 3" xfId="223" xr:uid="{97A7B890-72E9-4F7A-B797-AB33398DE09C}"/>
    <cellStyle name="Normal 9 3 2" xfId="326" xr:uid="{84290680-3951-438B-9A86-0B468838A80D}"/>
    <cellStyle name="Normal 9 3 3" xfId="351" xr:uid="{63788C0F-4946-45C5-B074-9498F6EC6F98}"/>
    <cellStyle name="Normal 9 3 4" xfId="404" xr:uid="{E6C01189-8592-40E7-8378-F886A94458A5}"/>
    <cellStyle name="Normal 9 4" xfId="221" xr:uid="{36ADEC47-19CC-4ADF-87F7-F30D36D868F1}"/>
    <cellStyle name="Normal 9 5" xfId="286" xr:uid="{24434F9B-B163-4B98-B448-DF9A3ADB7713}"/>
    <cellStyle name="NORMAL NUMBER" xfId="148" xr:uid="{00000000-0005-0000-0000-0000AE000000}"/>
    <cellStyle name="NORMAL TEXT" xfId="149" xr:uid="{00000000-0005-0000-0000-0000AF000000}"/>
    <cellStyle name="NORMAL TEXT 2" xfId="441" xr:uid="{96479175-9DD9-4D1D-8F83-F6D5BC8C205B}"/>
    <cellStyle name="Normal_050162 SOQ Olifantsvlei Unit 2 Mod 2  3 Upgrade" xfId="81" xr:uid="{00000000-0005-0000-0000-0000B0000000}"/>
    <cellStyle name="Normal_050162 SOQ Olifantsvlei Unit 2 Mod 2  3 Upgrade 2" xfId="84" xr:uid="{00000000-0005-0000-0000-0000B1000000}"/>
    <cellStyle name="Normal_4620-Sec3" xfId="44" xr:uid="{00000000-0005-0000-0000-0000B3000000}"/>
    <cellStyle name="Normal_Ras Pump Station" xfId="45" xr:uid="{00000000-0005-0000-0000-0000B4000000}"/>
    <cellStyle name="Normal_WAS Thickener" xfId="47" xr:uid="{00000000-0005-0000-0000-0000B5000000}"/>
    <cellStyle name="NUMBER" xfId="150" xr:uid="{00000000-0005-0000-0000-0000B6000000}"/>
    <cellStyle name="NUMBER DECIMAL" xfId="151" xr:uid="{00000000-0005-0000-0000-0000B7000000}"/>
    <cellStyle name="OPSKRIF" xfId="39" xr:uid="{00000000-0005-0000-0000-0000B8000000}"/>
    <cellStyle name="OPSKRIF 2" xfId="152" xr:uid="{00000000-0005-0000-0000-0000B9000000}"/>
    <cellStyle name="OPSKRIF 2 2" xfId="91" xr:uid="{00000000-0005-0000-0000-0000BA000000}"/>
    <cellStyle name="OPSKRIFTE" xfId="40" xr:uid="{00000000-0005-0000-0000-0000BB000000}"/>
    <cellStyle name="or" xfId="41" xr:uid="{00000000-0005-0000-0000-0000BC000000}"/>
    <cellStyle name="Part numbers" xfId="153" xr:uid="{00000000-0005-0000-0000-0000BD000000}"/>
    <cellStyle name="per.style" xfId="154" xr:uid="{00000000-0005-0000-0000-0000BE000000}"/>
    <cellStyle name="Percent" xfId="199" builtinId="5"/>
    <cellStyle name="Percent 2" xfId="42" xr:uid="{00000000-0005-0000-0000-0000C0000000}"/>
    <cellStyle name="Percent 2 2" xfId="43" xr:uid="{00000000-0005-0000-0000-0000C1000000}"/>
    <cellStyle name="Percent 2 3" xfId="156" xr:uid="{00000000-0005-0000-0000-0000C2000000}"/>
    <cellStyle name="Percent 2 4" xfId="157" xr:uid="{00000000-0005-0000-0000-0000C3000000}"/>
    <cellStyle name="Percent 2 5" xfId="158" xr:uid="{00000000-0005-0000-0000-0000C4000000}"/>
    <cellStyle name="Percent 2 6" xfId="159" xr:uid="{00000000-0005-0000-0000-0000C5000000}"/>
    <cellStyle name="Percent 2 7" xfId="160" xr:uid="{00000000-0005-0000-0000-0000C6000000}"/>
    <cellStyle name="Percent 2 8" xfId="155" xr:uid="{00000000-0005-0000-0000-0000C7000000}"/>
    <cellStyle name="Percent 3" xfId="68" xr:uid="{00000000-0005-0000-0000-0000C8000000}"/>
    <cellStyle name="Percent 3 2" xfId="161" xr:uid="{00000000-0005-0000-0000-0000C9000000}"/>
    <cellStyle name="Percent 3 3" xfId="243" xr:uid="{92711C0E-6B40-4941-BBE2-424FE1C4674C}"/>
    <cellStyle name="Percent 3 3 2" xfId="371" xr:uid="{44EC6389-AA28-410A-853A-5985D037F97E}"/>
    <cellStyle name="Percent 3 4" xfId="306" xr:uid="{FA28B21E-B715-4B14-8AB8-8F82244EAA20}"/>
    <cellStyle name="Percent 3 5" xfId="424" xr:uid="{93D07D8A-014D-464E-B306-0D6779CFD698}"/>
    <cellStyle name="Percent 4" xfId="74" xr:uid="{00000000-0005-0000-0000-0000CA000000}"/>
    <cellStyle name="Percent 4 2" xfId="162" xr:uid="{00000000-0005-0000-0000-0000CB000000}"/>
    <cellStyle name="Percent 4 2 2" xfId="259" xr:uid="{FEBB3BAD-AE0E-472E-864C-89EBC361EF71}"/>
    <cellStyle name="Percent 4 2 2 2" xfId="386" xr:uid="{5D3C148F-3DC1-4F8F-B132-6585BC67FB7C}"/>
    <cellStyle name="Percent 4 2 3" xfId="322" xr:uid="{C8108DA7-C741-4E44-9334-DBDFCAC489E2}"/>
    <cellStyle name="Percent 4 2 4" xfId="442" xr:uid="{B985B152-9BF3-4D5C-952E-F27E7F31CC04}"/>
    <cellStyle name="Percent 4 3" xfId="249" xr:uid="{800C39CE-0602-4454-A681-21F2512370B0}"/>
    <cellStyle name="Percent 4 3 2" xfId="377" xr:uid="{AD987738-6E08-4342-BF86-5A683FA668EB}"/>
    <cellStyle name="Percent 4 4" xfId="312" xr:uid="{FA4B0BF2-7923-482D-BAF4-37A50AE224A6}"/>
    <cellStyle name="Percent 4 5" xfId="430" xr:uid="{C9FAB2CA-FE1D-41C7-BBED-C1BA7AA34293}"/>
    <cellStyle name="Percent 5" xfId="211" xr:uid="{00000000-0005-0000-0000-0000CC000000}"/>
    <cellStyle name="Percent 5 2" xfId="269" xr:uid="{4AA350FF-B396-4A8E-994D-C7CDF324B4C4}"/>
    <cellStyle name="Percent 5 2 2" xfId="390" xr:uid="{D3CBF501-AEDF-418D-AE55-3BF868303FD1}"/>
    <cellStyle name="Percent 5 3" xfId="345" xr:uid="{41E89D02-0A5B-4C55-B574-06FF5BB42745}"/>
    <cellStyle name="Percent 5 4" xfId="451" xr:uid="{DA0872D2-BD36-4739-875F-5422F1B38130}"/>
    <cellStyle name="Percent 6" xfId="449" xr:uid="{C472335B-EEE8-4736-AA86-B48FFB0AE6C9}"/>
    <cellStyle name="Percent 7" xfId="453" xr:uid="{4CCDBBC6-1BA4-4DA3-B42D-00644C20CB3A}"/>
    <cellStyle name="Percent 7 2" xfId="504" xr:uid="{F95002AC-845B-497C-BE84-BA5F95CB50AC}"/>
    <cellStyle name="Percent 8" xfId="506" xr:uid="{1A59C415-43C1-405E-9876-A26910E10E35}"/>
    <cellStyle name="Percent 9" xfId="509" xr:uid="{1E4638B8-28EF-487D-A48D-37B0A435D879}"/>
    <cellStyle name="Quantity" xfId="163" xr:uid="{00000000-0005-0000-0000-0000CD000000}"/>
    <cellStyle name="SA R CURRENCY" xfId="164" xr:uid="{00000000-0005-0000-0000-0000CE000000}"/>
    <cellStyle name="SA R CURRENCY 2" xfId="443" xr:uid="{FA03F117-287B-41FB-85E8-5F2FD1EC8990}"/>
    <cellStyle name="T.b.a." xfId="165" xr:uid="{00000000-0005-0000-0000-0000CF000000}"/>
    <cellStyle name="T.b.a. 2" xfId="260" xr:uid="{CFBCF4CB-D3B5-428C-922C-76F34EF76B38}"/>
    <cellStyle name="T.b.a. 2 2" xfId="387" xr:uid="{2B33E7AE-CCE3-4AE2-9F6B-593C6189ADB7}"/>
    <cellStyle name="T.b.a. 2 3" xfId="501" xr:uid="{3EE22EAB-DCF3-4077-9513-9C41542C7CD5}"/>
    <cellStyle name="T.b.a. 3" xfId="323" xr:uid="{E49C6D2D-8D6C-49B9-8377-E9576DAB6B93}"/>
    <cellStyle name="T.b.a. 4" xfId="444" xr:uid="{7143D5BF-F142-4672-AD82-A9D25F9FFDFB}"/>
    <cellStyle name="TEST" xfId="166" xr:uid="{00000000-0005-0000-0000-0000D0000000}"/>
    <cellStyle name="TEXT" xfId="167" xr:uid="{00000000-0005-0000-0000-0000D1000000}"/>
    <cellStyle name="TEXT BOLD _ UND" xfId="168" xr:uid="{00000000-0005-0000-0000-0000D2000000}"/>
    <cellStyle name="TEXT CENTERED" xfId="169" xr:uid="{00000000-0005-0000-0000-0000D3000000}"/>
    <cellStyle name="TEXT CENTERED 2" xfId="445" xr:uid="{38EBB45F-ECA1-4A72-BDB9-1A379A48998B}"/>
    <cellStyle name="TEXT HEADER" xfId="170" xr:uid="{00000000-0005-0000-0000-0000D4000000}"/>
    <cellStyle name="TEXT HEADER 2" xfId="342" xr:uid="{885E23E7-8D28-4100-8AFC-8DBD2DFB6D0F}"/>
    <cellStyle name="TEXT HEADER 3" xfId="446" xr:uid="{094B1558-447E-4CEC-AB74-959574DBEF6A}"/>
    <cellStyle name="TEXT RED" xfId="171" xr:uid="{00000000-0005-0000-0000-0000D5000000}"/>
    <cellStyle name="TEXT_Modicon97" xfId="172" xr:uid="{00000000-0005-0000-0000-0000D6000000}"/>
    <cellStyle name="Total 2" xfId="82" xr:uid="{00000000-0005-0000-0000-0000D7000000}"/>
    <cellStyle name="Update" xfId="173" xr:uid="{00000000-0005-0000-0000-0000D8000000}"/>
    <cellStyle name="US$ CURRENCY" xfId="174" xr:uid="{00000000-0005-0000-0000-0000D9000000}"/>
    <cellStyle name="US$ CURRENCY 2" xfId="447" xr:uid="{871F7A49-EFB7-451D-A94F-FF06CF18FA8A}"/>
  </cellStyles>
  <dxfs count="2">
    <dxf>
      <fill>
        <patternFill>
          <bgColor rgb="FFFF0000"/>
        </patternFill>
      </fill>
    </dxf>
    <dxf>
      <fill>
        <patternFill>
          <bgColor rgb="FFFFFF00"/>
        </patternFill>
      </fill>
    </dxf>
  </dxfs>
  <tableStyles count="1" defaultTableStyle="TableStyleMedium2" defaultPivotStyle="PivotStyleLight16">
    <tableStyle name="Invisible" pivot="0" table="0" count="0" xr9:uid="{F3F8EE4A-09B4-4AA3-97A2-96889756AB9A}"/>
  </tableStyles>
  <colors>
    <mruColors>
      <color rgb="FFCCFFCC"/>
      <color rgb="FFB1E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Contract amount spent per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numRef>
              <c:f>'CPA calc'!$C$35:$C$70</c:f>
              <c:numCache>
                <c:formatCode>mmm\-yy</c:formatCode>
                <c:ptCount val="36"/>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pt idx="17">
                  <c:v>46174</c:v>
                </c:pt>
                <c:pt idx="18">
                  <c:v>46204</c:v>
                </c:pt>
                <c:pt idx="19">
                  <c:v>46235</c:v>
                </c:pt>
                <c:pt idx="20">
                  <c:v>46266</c:v>
                </c:pt>
                <c:pt idx="21">
                  <c:v>46296</c:v>
                </c:pt>
                <c:pt idx="22">
                  <c:v>46327</c:v>
                </c:pt>
                <c:pt idx="23">
                  <c:v>46357</c:v>
                </c:pt>
                <c:pt idx="24">
                  <c:v>46388</c:v>
                </c:pt>
                <c:pt idx="25">
                  <c:v>46419</c:v>
                </c:pt>
                <c:pt idx="26">
                  <c:v>46447</c:v>
                </c:pt>
                <c:pt idx="27">
                  <c:v>46478</c:v>
                </c:pt>
                <c:pt idx="28">
                  <c:v>46508</c:v>
                </c:pt>
                <c:pt idx="29">
                  <c:v>46539</c:v>
                </c:pt>
                <c:pt idx="30">
                  <c:v>46569</c:v>
                </c:pt>
                <c:pt idx="31">
                  <c:v>46600</c:v>
                </c:pt>
                <c:pt idx="32">
                  <c:v>46631</c:v>
                </c:pt>
                <c:pt idx="33">
                  <c:v>46661</c:v>
                </c:pt>
                <c:pt idx="34">
                  <c:v>46692</c:v>
                </c:pt>
                <c:pt idx="35">
                  <c:v>46722</c:v>
                </c:pt>
              </c:numCache>
            </c:numRef>
          </c:cat>
          <c:val>
            <c:numRef>
              <c:f>'CPA calc'!$D$35:$D$70</c:f>
              <c:numCache>
                <c:formatCode>0.0%</c:formatCode>
                <c:ptCount val="36"/>
                <c:pt idx="0">
                  <c:v>0.01</c:v>
                </c:pt>
                <c:pt idx="1">
                  <c:v>0.01</c:v>
                </c:pt>
                <c:pt idx="2">
                  <c:v>0.03</c:v>
                </c:pt>
                <c:pt idx="3">
                  <c:v>0.03</c:v>
                </c:pt>
                <c:pt idx="4">
                  <c:v>0.03</c:v>
                </c:pt>
                <c:pt idx="5">
                  <c:v>0.04</c:v>
                </c:pt>
                <c:pt idx="6">
                  <c:v>0.04</c:v>
                </c:pt>
                <c:pt idx="7">
                  <c:v>0.04</c:v>
                </c:pt>
                <c:pt idx="8">
                  <c:v>0.04</c:v>
                </c:pt>
                <c:pt idx="9">
                  <c:v>0.04</c:v>
                </c:pt>
                <c:pt idx="10">
                  <c:v>0.03</c:v>
                </c:pt>
                <c:pt idx="11">
                  <c:v>0.03</c:v>
                </c:pt>
                <c:pt idx="12">
                  <c:v>0.03</c:v>
                </c:pt>
                <c:pt idx="13">
                  <c:v>0.02</c:v>
                </c:pt>
                <c:pt idx="14">
                  <c:v>0.03</c:v>
                </c:pt>
                <c:pt idx="15">
                  <c:v>0.03</c:v>
                </c:pt>
                <c:pt idx="16">
                  <c:v>0.03</c:v>
                </c:pt>
                <c:pt idx="17">
                  <c:v>0.04</c:v>
                </c:pt>
                <c:pt idx="18">
                  <c:v>0.04</c:v>
                </c:pt>
                <c:pt idx="19">
                  <c:v>0.04</c:v>
                </c:pt>
                <c:pt idx="20">
                  <c:v>0.04</c:v>
                </c:pt>
                <c:pt idx="21">
                  <c:v>0.04</c:v>
                </c:pt>
                <c:pt idx="22">
                  <c:v>0.04</c:v>
                </c:pt>
                <c:pt idx="23">
                  <c:v>0.03</c:v>
                </c:pt>
                <c:pt idx="24">
                  <c:v>0.03</c:v>
                </c:pt>
                <c:pt idx="25">
                  <c:v>0.01</c:v>
                </c:pt>
                <c:pt idx="26">
                  <c:v>0.02</c:v>
                </c:pt>
                <c:pt idx="27">
                  <c:v>0.02</c:v>
                </c:pt>
                <c:pt idx="28">
                  <c:v>0.02</c:v>
                </c:pt>
                <c:pt idx="29">
                  <c:v>0.02</c:v>
                </c:pt>
                <c:pt idx="30">
                  <c:v>0.02</c:v>
                </c:pt>
                <c:pt idx="31">
                  <c:v>0.02</c:v>
                </c:pt>
                <c:pt idx="32">
                  <c:v>0.02</c:v>
                </c:pt>
                <c:pt idx="33">
                  <c:v>0.02</c:v>
                </c:pt>
                <c:pt idx="34">
                  <c:v>0.01</c:v>
                </c:pt>
                <c:pt idx="35">
                  <c:v>0.01</c:v>
                </c:pt>
              </c:numCache>
            </c:numRef>
          </c:val>
          <c:extLst>
            <c:ext xmlns:c16="http://schemas.microsoft.com/office/drawing/2014/chart" uri="{C3380CC4-5D6E-409C-BE32-E72D297353CC}">
              <c16:uniqueId val="{00000000-EB69-43FB-B014-8DB7BAE9BBFF}"/>
            </c:ext>
          </c:extLst>
        </c:ser>
        <c:dLbls>
          <c:showLegendKey val="0"/>
          <c:showVal val="0"/>
          <c:showCatName val="0"/>
          <c:showSerName val="0"/>
          <c:showPercent val="0"/>
          <c:showBubbleSize val="0"/>
        </c:dLbls>
        <c:gapWidth val="219"/>
        <c:overlap val="-27"/>
        <c:axId val="503064272"/>
        <c:axId val="503061648"/>
      </c:barChart>
      <c:dateAx>
        <c:axId val="5030642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3061648"/>
        <c:crosses val="autoZero"/>
        <c:auto val="1"/>
        <c:lblOffset val="100"/>
        <c:baseTimeUnit val="months"/>
      </c:dateAx>
      <c:valAx>
        <c:axId val="5030616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3064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9.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1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jpeg"/><Relationship Id="rId1" Type="http://schemas.openxmlformats.org/officeDocument/2006/relationships/image" Target="../media/image6.png"/></Relationships>
</file>

<file path=xl/drawings/_rels/vmlDrawing25.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4</xdr:col>
      <xdr:colOff>342900</xdr:colOff>
      <xdr:row>6</xdr:row>
      <xdr:rowOff>97155</xdr:rowOff>
    </xdr:to>
    <xdr:pic>
      <xdr:nvPicPr>
        <xdr:cNvPr id="2" name="Picture 1">
          <a:extLst>
            <a:ext uri="{FF2B5EF4-FFF2-40B4-BE49-F238E27FC236}">
              <a16:creationId xmlns:a16="http://schemas.microsoft.com/office/drawing/2014/main" id="{E9CF4FE1-443A-4614-AB1A-8ADB4DB2F752}"/>
            </a:ext>
          </a:extLst>
        </xdr:cNvPr>
        <xdr:cNvPicPr/>
      </xdr:nvPicPr>
      <xdr:blipFill rotWithShape="1">
        <a:blip xmlns:r="http://schemas.openxmlformats.org/officeDocument/2006/relationships" r:embed="rId1"/>
        <a:srcRect l="35938" t="31941" r="42959" b="58716"/>
        <a:stretch/>
      </xdr:blipFill>
      <xdr:spPr bwMode="auto">
        <a:xfrm>
          <a:off x="609600" y="482600"/>
          <a:ext cx="2749550" cy="573405"/>
        </a:xfrm>
        <a:prstGeom prst="rect">
          <a:avLst/>
        </a:prstGeom>
        <a:ln>
          <a:noFill/>
        </a:ln>
        <a:extLst>
          <a:ext uri="{53640926-AAD7-44D8-BBD7-CCE9431645EC}">
            <a14:shadowObscured xmlns:a14="http://schemas.microsoft.com/office/drawing/2010/main"/>
          </a:ext>
        </a:extLst>
      </xdr:spPr>
    </xdr:pic>
    <xdr:clientData/>
  </xdr:twoCellAnchor>
  <xdr:twoCellAnchor>
    <xdr:from>
      <xdr:col>10</xdr:col>
      <xdr:colOff>445453</xdr:colOff>
      <xdr:row>1</xdr:row>
      <xdr:rowOff>8469</xdr:rowOff>
    </xdr:from>
    <xdr:to>
      <xdr:col>20</xdr:col>
      <xdr:colOff>608331</xdr:colOff>
      <xdr:row>26</xdr:row>
      <xdr:rowOff>151344</xdr:rowOff>
    </xdr:to>
    <xdr:graphicFrame macro="">
      <xdr:nvGraphicFramePr>
        <xdr:cNvPr id="3" name="Chart 2">
          <a:extLst>
            <a:ext uri="{FF2B5EF4-FFF2-40B4-BE49-F238E27FC236}">
              <a16:creationId xmlns:a16="http://schemas.microsoft.com/office/drawing/2014/main" id="{7D6D1ACD-2680-4ACD-9AC7-A3CFFBB8DC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hbnas\VKE-JHB\Documents%20and%20Settings\vanschalkwykg\Local%20Settings\Temporary%20Internet%20Files\OLK132\Intermodel%20proj%20JAN%202010%20CB2%20rev1%20s%20LIMCO%20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TS JAN 2010"/>
      <sheetName val="PITS FEB 2010"/>
      <sheetName val="CALCULATIONS"/>
      <sheetName val="Intermodel proj JAN 2010 CB2 re"/>
    </sheetNames>
    <sheetDataSet>
      <sheetData sheetId="0"/>
      <sheetData sheetId="1"/>
      <sheetData sheetId="2"/>
      <sheetData sheetId="3"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55ACA0D4-FA73-4581-8C4F-E0F40CBFC989}"/>
</namedSheetView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3E573-C03D-4762-9DEC-CD45F8AA717F}">
  <sheetPr codeName="Sheet1"/>
  <dimension ref="A2:O203"/>
  <sheetViews>
    <sheetView workbookViewId="0"/>
  </sheetViews>
  <sheetFormatPr defaultColWidth="8.88671875" defaultRowHeight="14.4"/>
  <cols>
    <col min="1" max="1" width="8.88671875" style="327"/>
    <col min="2" max="2" width="50.44140625" style="327" bestFit="1" customWidth="1"/>
    <col min="3" max="3" width="13.88671875" style="324" customWidth="1"/>
    <col min="4" max="5" width="8.88671875" style="327"/>
    <col min="6" max="6" width="34.88671875" style="327" bestFit="1" customWidth="1"/>
    <col min="7" max="7" width="15" style="327" customWidth="1"/>
    <col min="8" max="9" width="8.88671875" style="327"/>
    <col min="10" max="10" width="43" style="327" bestFit="1" customWidth="1"/>
    <col min="11" max="11" width="13.88671875" style="327" customWidth="1"/>
    <col min="12" max="13" width="8.88671875" style="327"/>
    <col min="14" max="14" width="38.109375" style="327" bestFit="1" customWidth="1"/>
    <col min="15" max="15" width="11" style="327" bestFit="1" customWidth="1"/>
    <col min="16" max="16384" width="8.88671875" style="327"/>
  </cols>
  <sheetData>
    <row r="2" spans="2:15" s="323" customFormat="1" ht="21">
      <c r="B2" s="587" t="s">
        <v>0</v>
      </c>
      <c r="C2" s="588"/>
      <c r="F2" s="587" t="s">
        <v>1</v>
      </c>
      <c r="G2" s="587"/>
      <c r="J2" s="3002" t="s">
        <v>0</v>
      </c>
      <c r="K2" s="3002"/>
      <c r="N2" s="3002" t="s">
        <v>1</v>
      </c>
      <c r="O2" s="3002"/>
    </row>
    <row r="3" spans="2:15">
      <c r="B3" s="461" t="s">
        <v>2</v>
      </c>
      <c r="C3" s="462">
        <v>5</v>
      </c>
      <c r="F3" s="461"/>
      <c r="G3" s="461"/>
      <c r="J3" s="3003"/>
      <c r="K3" s="3004"/>
      <c r="N3" s="1650"/>
      <c r="O3" s="1651"/>
    </row>
    <row r="4" spans="2:15" ht="16.2">
      <c r="B4" s="461" t="s">
        <v>3</v>
      </c>
      <c r="C4" s="462">
        <v>3000</v>
      </c>
      <c r="F4" s="461" t="s">
        <v>4</v>
      </c>
      <c r="G4" s="461">
        <v>1</v>
      </c>
      <c r="J4" s="589" t="s">
        <v>5</v>
      </c>
      <c r="K4" s="475">
        <v>3000</v>
      </c>
      <c r="N4" s="590" t="s">
        <v>4</v>
      </c>
      <c r="O4" s="591">
        <v>1</v>
      </c>
    </row>
    <row r="5" spans="2:15">
      <c r="B5" s="461" t="s">
        <v>6</v>
      </c>
      <c r="C5" s="462">
        <v>755</v>
      </c>
      <c r="F5" s="461" t="s">
        <v>7</v>
      </c>
      <c r="G5" s="461">
        <v>1</v>
      </c>
      <c r="J5" s="589" t="s">
        <v>8</v>
      </c>
      <c r="K5" s="475">
        <v>130</v>
      </c>
      <c r="N5" s="590" t="s">
        <v>7</v>
      </c>
      <c r="O5" s="591">
        <v>1</v>
      </c>
    </row>
    <row r="6" spans="2:15" ht="16.2">
      <c r="B6" s="461" t="s">
        <v>9</v>
      </c>
      <c r="C6" s="462">
        <v>1200</v>
      </c>
      <c r="F6" s="461" t="s">
        <v>10</v>
      </c>
      <c r="G6" s="461">
        <v>1.5</v>
      </c>
      <c r="H6" s="327" t="s">
        <v>11</v>
      </c>
      <c r="J6" s="589" t="s">
        <v>12</v>
      </c>
      <c r="K6" s="475">
        <v>755</v>
      </c>
      <c r="N6" s="590" t="s">
        <v>10</v>
      </c>
      <c r="O6" s="591">
        <v>1.5</v>
      </c>
    </row>
    <row r="7" spans="2:15" ht="16.2">
      <c r="B7" s="461" t="s">
        <v>13</v>
      </c>
      <c r="C7" s="462">
        <v>500</v>
      </c>
      <c r="F7" s="461" t="s">
        <v>14</v>
      </c>
      <c r="G7" s="461">
        <v>1.3</v>
      </c>
      <c r="J7" s="589" t="s">
        <v>15</v>
      </c>
      <c r="K7" s="475">
        <f>ROUND(6.46*1.06^6,-1)</f>
        <v>10</v>
      </c>
      <c r="N7" s="590" t="s">
        <v>14</v>
      </c>
      <c r="O7" s="591">
        <v>1.3</v>
      </c>
    </row>
    <row r="8" spans="2:15">
      <c r="B8" s="461" t="s">
        <v>16</v>
      </c>
      <c r="C8" s="462">
        <v>18000</v>
      </c>
      <c r="F8" s="461" t="s">
        <v>17</v>
      </c>
      <c r="G8" s="461">
        <v>1.1299999999999999</v>
      </c>
      <c r="J8" s="589" t="s">
        <v>18</v>
      </c>
      <c r="K8" s="475">
        <v>18000</v>
      </c>
      <c r="N8" s="590" t="s">
        <v>17</v>
      </c>
      <c r="O8" s="591">
        <v>1.1299999999999999</v>
      </c>
    </row>
    <row r="9" spans="2:15" ht="16.2">
      <c r="B9" s="461" t="s">
        <v>19</v>
      </c>
      <c r="C9" s="462">
        <v>50</v>
      </c>
      <c r="F9" s="461" t="s">
        <v>20</v>
      </c>
      <c r="G9" s="461">
        <v>1.25</v>
      </c>
      <c r="J9" s="589" t="s">
        <v>21</v>
      </c>
      <c r="K9" s="464"/>
      <c r="N9" s="590" t="s">
        <v>20</v>
      </c>
      <c r="O9" s="591">
        <v>1.25</v>
      </c>
    </row>
    <row r="10" spans="2:15">
      <c r="B10" s="461" t="s">
        <v>22</v>
      </c>
      <c r="C10" s="462">
        <v>90</v>
      </c>
      <c r="F10" s="461" t="s">
        <v>23</v>
      </c>
      <c r="G10" s="461">
        <v>1.3</v>
      </c>
      <c r="J10" s="592" t="s">
        <v>24</v>
      </c>
      <c r="K10" s="475">
        <v>120</v>
      </c>
      <c r="N10" s="590" t="s">
        <v>23</v>
      </c>
      <c r="O10" s="591">
        <v>1.3</v>
      </c>
    </row>
    <row r="11" spans="2:15">
      <c r="B11" s="461" t="s">
        <v>25</v>
      </c>
      <c r="C11" s="462">
        <v>18000</v>
      </c>
      <c r="F11" s="461" t="s">
        <v>26</v>
      </c>
      <c r="G11" s="461">
        <v>1.2</v>
      </c>
      <c r="J11" s="592" t="s">
        <v>27</v>
      </c>
      <c r="K11" s="475">
        <v>250</v>
      </c>
      <c r="N11" s="590" t="s">
        <v>26</v>
      </c>
      <c r="O11" s="591">
        <v>1.2</v>
      </c>
    </row>
    <row r="12" spans="2:15">
      <c r="B12" s="461"/>
      <c r="C12" s="462"/>
      <c r="F12" s="461" t="s">
        <v>28</v>
      </c>
      <c r="G12" s="461">
        <v>1</v>
      </c>
      <c r="J12" s="592" t="s">
        <v>29</v>
      </c>
      <c r="K12" s="475">
        <v>850</v>
      </c>
      <c r="N12" s="590" t="s">
        <v>28</v>
      </c>
      <c r="O12" s="591">
        <v>1</v>
      </c>
    </row>
    <row r="13" spans="2:15">
      <c r="B13" s="461" t="s">
        <v>30</v>
      </c>
      <c r="C13" s="462"/>
      <c r="F13" s="461" t="s">
        <v>31</v>
      </c>
      <c r="G13" s="461">
        <v>1.3</v>
      </c>
      <c r="J13" s="593" t="s">
        <v>32</v>
      </c>
      <c r="K13" s="475">
        <v>12</v>
      </c>
      <c r="N13" s="590" t="s">
        <v>31</v>
      </c>
      <c r="O13" s="591">
        <v>1.3</v>
      </c>
    </row>
    <row r="14" spans="2:15" ht="16.2">
      <c r="B14" s="461" t="s">
        <v>24</v>
      </c>
      <c r="C14" s="462">
        <v>140</v>
      </c>
      <c r="F14" s="461" t="s">
        <v>33</v>
      </c>
      <c r="G14" s="461">
        <v>1.37</v>
      </c>
      <c r="J14" s="589" t="s">
        <v>34</v>
      </c>
      <c r="K14" s="464"/>
      <c r="N14" s="590" t="s">
        <v>33</v>
      </c>
      <c r="O14" s="591">
        <v>1.37</v>
      </c>
    </row>
    <row r="15" spans="2:15">
      <c r="B15" s="461" t="s">
        <v>27</v>
      </c>
      <c r="C15" s="462">
        <v>190</v>
      </c>
      <c r="F15" s="461" t="s">
        <v>35</v>
      </c>
      <c r="G15" s="461">
        <v>1.37</v>
      </c>
      <c r="J15" s="592" t="s">
        <v>24</v>
      </c>
      <c r="K15" s="475">
        <v>210</v>
      </c>
      <c r="N15" s="590" t="s">
        <v>35</v>
      </c>
      <c r="O15" s="594">
        <v>1.37</v>
      </c>
    </row>
    <row r="16" spans="2:15">
      <c r="B16" s="461" t="s">
        <v>29</v>
      </c>
      <c r="C16" s="462">
        <v>500</v>
      </c>
      <c r="F16" s="461"/>
      <c r="G16" s="461"/>
      <c r="J16" s="592" t="s">
        <v>27</v>
      </c>
      <c r="K16" s="475">
        <f>K11*1.5</f>
        <v>375</v>
      </c>
      <c r="N16" s="325"/>
      <c r="O16" s="331"/>
    </row>
    <row r="17" spans="2:15">
      <c r="B17" s="461"/>
      <c r="C17" s="462"/>
      <c r="F17" s="461"/>
      <c r="G17" s="461"/>
      <c r="J17" s="592" t="s">
        <v>29</v>
      </c>
      <c r="K17" s="475">
        <v>1182</v>
      </c>
    </row>
    <row r="18" spans="2:15" ht="21">
      <c r="B18" s="461" t="s">
        <v>36</v>
      </c>
      <c r="C18" s="462"/>
      <c r="F18" s="461" t="s">
        <v>37</v>
      </c>
      <c r="G18" s="461"/>
      <c r="J18" s="589" t="s">
        <v>38</v>
      </c>
      <c r="K18" s="595">
        <v>0.05</v>
      </c>
      <c r="N18" s="3002" t="s">
        <v>37</v>
      </c>
      <c r="O18" s="3002"/>
    </row>
    <row r="19" spans="2:15">
      <c r="B19" s="461" t="s">
        <v>24</v>
      </c>
      <c r="C19" s="470">
        <v>210</v>
      </c>
      <c r="F19" s="461" t="s">
        <v>39</v>
      </c>
      <c r="G19" s="461" t="s">
        <v>40</v>
      </c>
      <c r="J19" s="589" t="s">
        <v>41</v>
      </c>
      <c r="K19" s="595">
        <v>0</v>
      </c>
      <c r="N19" s="1652" t="s">
        <v>39</v>
      </c>
      <c r="O19" s="1653" t="s">
        <v>40</v>
      </c>
    </row>
    <row r="20" spans="2:15">
      <c r="B20" s="461" t="s">
        <v>27</v>
      </c>
      <c r="C20" s="470">
        <v>375</v>
      </c>
      <c r="F20" s="461" t="s">
        <v>42</v>
      </c>
      <c r="G20" s="461"/>
      <c r="J20" s="589" t="s">
        <v>43</v>
      </c>
      <c r="K20" s="475">
        <v>6500</v>
      </c>
      <c r="N20" s="463" t="s">
        <v>42</v>
      </c>
      <c r="O20" s="589"/>
    </row>
    <row r="21" spans="2:15">
      <c r="B21" s="461" t="s">
        <v>29</v>
      </c>
      <c r="C21" s="470">
        <v>1182</v>
      </c>
      <c r="F21" s="461" t="s">
        <v>44</v>
      </c>
      <c r="G21" s="596">
        <v>1300</v>
      </c>
      <c r="J21" s="589" t="s">
        <v>45</v>
      </c>
      <c r="K21" s="475">
        <v>10000</v>
      </c>
      <c r="N21" s="590" t="s">
        <v>46</v>
      </c>
      <c r="O21" s="597">
        <f>ROUND(282*2*1.2,0)</f>
        <v>677</v>
      </c>
    </row>
    <row r="22" spans="2:15">
      <c r="B22" s="461" t="s">
        <v>38</v>
      </c>
      <c r="C22" s="462">
        <v>0.05</v>
      </c>
      <c r="F22" s="461" t="s">
        <v>47</v>
      </c>
      <c r="G22" s="596">
        <v>1900</v>
      </c>
      <c r="J22" s="598" t="s">
        <v>48</v>
      </c>
      <c r="K22" s="599">
        <f>SUM(K23:K25)</f>
        <v>1</v>
      </c>
      <c r="N22" s="590" t="s">
        <v>49</v>
      </c>
      <c r="O22" s="597">
        <f>ROUND(439.84*2*1.2,0)</f>
        <v>1056</v>
      </c>
    </row>
    <row r="23" spans="2:15">
      <c r="B23" s="461" t="s">
        <v>41</v>
      </c>
      <c r="C23" s="462">
        <v>0</v>
      </c>
      <c r="F23" s="461" t="s">
        <v>50</v>
      </c>
      <c r="G23" s="596">
        <v>2500</v>
      </c>
      <c r="J23" s="600" t="s">
        <v>24</v>
      </c>
      <c r="K23" s="595">
        <v>0.55000000000000004</v>
      </c>
      <c r="N23" s="590" t="s">
        <v>47</v>
      </c>
      <c r="O23" s="597">
        <v>1600</v>
      </c>
    </row>
    <row r="24" spans="2:15">
      <c r="B24" s="461" t="s">
        <v>51</v>
      </c>
      <c r="C24" s="462">
        <v>10000</v>
      </c>
      <c r="F24" s="461" t="s">
        <v>52</v>
      </c>
      <c r="G24" s="596">
        <v>3500</v>
      </c>
      <c r="J24" s="600" t="s">
        <v>27</v>
      </c>
      <c r="K24" s="595">
        <v>0.22500000000000001</v>
      </c>
      <c r="N24" s="590" t="s">
        <v>50</v>
      </c>
      <c r="O24" s="597">
        <v>2100</v>
      </c>
    </row>
    <row r="25" spans="2:15">
      <c r="B25" s="461" t="s">
        <v>45</v>
      </c>
      <c r="C25" s="462">
        <v>12000</v>
      </c>
      <c r="F25" s="461" t="s">
        <v>53</v>
      </c>
      <c r="G25" s="596">
        <v>4700</v>
      </c>
      <c r="J25" s="600" t="s">
        <v>54</v>
      </c>
      <c r="K25" s="595">
        <v>0.22500000000000001</v>
      </c>
      <c r="N25" s="590" t="s">
        <v>52</v>
      </c>
      <c r="O25" s="597">
        <v>3000</v>
      </c>
    </row>
    <row r="26" spans="2:15">
      <c r="B26" s="461" t="s">
        <v>48</v>
      </c>
      <c r="C26" s="462">
        <v>1</v>
      </c>
      <c r="F26" s="461" t="s">
        <v>55</v>
      </c>
      <c r="G26" s="596">
        <v>6660</v>
      </c>
      <c r="J26" s="598" t="s">
        <v>56</v>
      </c>
      <c r="K26" s="599">
        <f>SUM(K27:K29)</f>
        <v>1</v>
      </c>
      <c r="N26" s="590" t="s">
        <v>53</v>
      </c>
      <c r="O26" s="597">
        <v>4000</v>
      </c>
    </row>
    <row r="27" spans="2:15">
      <c r="B27" s="461" t="s">
        <v>24</v>
      </c>
      <c r="C27" s="601">
        <v>0.2</v>
      </c>
      <c r="F27" s="461" t="s">
        <v>57</v>
      </c>
      <c r="G27" s="596">
        <v>9300</v>
      </c>
      <c r="J27" s="600" t="s">
        <v>24</v>
      </c>
      <c r="K27" s="595">
        <v>0.9</v>
      </c>
      <c r="N27" s="590" t="s">
        <v>55</v>
      </c>
      <c r="O27" s="597">
        <v>5750</v>
      </c>
    </row>
    <row r="28" spans="2:15">
      <c r="B28" s="461" t="s">
        <v>27</v>
      </c>
      <c r="C28" s="601">
        <v>0.2</v>
      </c>
      <c r="F28" s="461"/>
      <c r="G28" s="461"/>
      <c r="J28" s="600" t="s">
        <v>27</v>
      </c>
      <c r="K28" s="595">
        <v>0.1</v>
      </c>
      <c r="N28" s="590" t="s">
        <v>57</v>
      </c>
      <c r="O28" s="597">
        <v>8000</v>
      </c>
    </row>
    <row r="29" spans="2:15">
      <c r="B29" s="461" t="s">
        <v>54</v>
      </c>
      <c r="C29" s="601">
        <v>0.6</v>
      </c>
      <c r="F29" s="461" t="s">
        <v>58</v>
      </c>
      <c r="G29" s="461"/>
      <c r="J29" s="600" t="s">
        <v>54</v>
      </c>
      <c r="K29" s="595">
        <v>0</v>
      </c>
      <c r="N29" s="3005"/>
      <c r="O29" s="3006"/>
    </row>
    <row r="30" spans="2:15" ht="16.2">
      <c r="B30" s="461" t="s">
        <v>56</v>
      </c>
      <c r="C30" s="601">
        <v>1</v>
      </c>
      <c r="F30" s="461" t="s">
        <v>59</v>
      </c>
      <c r="G30" s="596">
        <v>530</v>
      </c>
      <c r="J30" s="589" t="s">
        <v>60</v>
      </c>
      <c r="K30" s="475">
        <v>120</v>
      </c>
      <c r="N30" s="602" t="s">
        <v>58</v>
      </c>
      <c r="O30" s="603"/>
    </row>
    <row r="31" spans="2:15" ht="16.2">
      <c r="B31" s="461" t="s">
        <v>24</v>
      </c>
      <c r="C31" s="601">
        <v>0.2</v>
      </c>
      <c r="F31" s="461" t="s">
        <v>61</v>
      </c>
      <c r="G31" s="596">
        <v>1800</v>
      </c>
      <c r="J31" s="589" t="s">
        <v>62</v>
      </c>
      <c r="K31" s="475">
        <f>ROUND(138.12*1.06^6,-1)</f>
        <v>200</v>
      </c>
      <c r="N31" s="590" t="s">
        <v>59</v>
      </c>
      <c r="O31" s="597">
        <v>450</v>
      </c>
    </row>
    <row r="32" spans="2:15">
      <c r="B32" s="461" t="s">
        <v>27</v>
      </c>
      <c r="C32" s="601">
        <v>0.2</v>
      </c>
      <c r="F32" s="461"/>
      <c r="G32" s="461"/>
      <c r="J32" s="589" t="s">
        <v>63</v>
      </c>
      <c r="K32" s="595">
        <v>0.1</v>
      </c>
      <c r="N32" s="590" t="s">
        <v>61</v>
      </c>
      <c r="O32" s="597">
        <v>1500</v>
      </c>
    </row>
    <row r="33" spans="2:15">
      <c r="B33" s="461" t="s">
        <v>54</v>
      </c>
      <c r="C33" s="601">
        <v>0.6</v>
      </c>
      <c r="F33" s="461" t="s">
        <v>64</v>
      </c>
      <c r="G33" s="461"/>
      <c r="J33" s="589" t="s">
        <v>65</v>
      </c>
      <c r="K33" s="595">
        <v>0.9</v>
      </c>
      <c r="N33" s="3001"/>
      <c r="O33" s="3001"/>
    </row>
    <row r="34" spans="2:15">
      <c r="B34" s="461" t="s">
        <v>66</v>
      </c>
      <c r="C34" s="462">
        <v>140</v>
      </c>
      <c r="F34" s="461" t="s">
        <v>67</v>
      </c>
      <c r="G34" s="596">
        <v>1400</v>
      </c>
      <c r="J34" s="589" t="s">
        <v>68</v>
      </c>
      <c r="K34" s="475">
        <v>250</v>
      </c>
      <c r="N34" s="602" t="s">
        <v>64</v>
      </c>
      <c r="O34" s="603"/>
    </row>
    <row r="35" spans="2:15">
      <c r="B35" s="461" t="s">
        <v>63</v>
      </c>
      <c r="C35" s="601">
        <v>0.1</v>
      </c>
      <c r="F35" s="461" t="s">
        <v>69</v>
      </c>
      <c r="G35" s="596">
        <v>4650</v>
      </c>
      <c r="J35" s="589" t="s">
        <v>70</v>
      </c>
      <c r="K35" s="475">
        <v>260</v>
      </c>
      <c r="N35" s="590" t="s">
        <v>71</v>
      </c>
      <c r="O35" s="597">
        <v>1200</v>
      </c>
    </row>
    <row r="36" spans="2:15">
      <c r="B36" s="461" t="s">
        <v>65</v>
      </c>
      <c r="C36" s="601">
        <v>0.9</v>
      </c>
      <c r="F36" s="461" t="s">
        <v>72</v>
      </c>
      <c r="G36" s="596">
        <v>6220</v>
      </c>
      <c r="J36" s="589" t="s">
        <v>73</v>
      </c>
      <c r="K36" s="475">
        <v>200</v>
      </c>
      <c r="N36" s="590" t="s">
        <v>74</v>
      </c>
      <c r="O36" s="597">
        <v>6000</v>
      </c>
    </row>
    <row r="37" spans="2:15">
      <c r="B37" s="461" t="s">
        <v>68</v>
      </c>
      <c r="C37" s="462">
        <v>205</v>
      </c>
      <c r="F37" s="461" t="s">
        <v>74</v>
      </c>
      <c r="G37" s="596">
        <v>7000</v>
      </c>
      <c r="J37" s="589" t="s">
        <v>75</v>
      </c>
      <c r="K37" s="475">
        <v>150</v>
      </c>
      <c r="N37" s="590" t="s">
        <v>76</v>
      </c>
      <c r="O37" s="597">
        <v>10000</v>
      </c>
    </row>
    <row r="38" spans="2:15">
      <c r="B38" s="461" t="s">
        <v>77</v>
      </c>
      <c r="C38" s="462">
        <v>235</v>
      </c>
      <c r="F38" s="461" t="s">
        <v>78</v>
      </c>
      <c r="G38" s="596">
        <v>8000</v>
      </c>
      <c r="J38" s="589" t="s">
        <v>79</v>
      </c>
      <c r="K38" s="475">
        <v>250</v>
      </c>
      <c r="N38" s="590" t="s">
        <v>80</v>
      </c>
      <c r="O38" s="597">
        <v>12000</v>
      </c>
    </row>
    <row r="39" spans="2:15">
      <c r="B39" s="461" t="s">
        <v>75</v>
      </c>
      <c r="C39" s="462">
        <v>175</v>
      </c>
      <c r="F39" s="461" t="s">
        <v>81</v>
      </c>
      <c r="G39" s="596">
        <v>10000</v>
      </c>
      <c r="J39" s="589" t="s">
        <v>82</v>
      </c>
      <c r="K39" s="475">
        <v>120</v>
      </c>
      <c r="N39" s="2997"/>
      <c r="O39" s="2998"/>
    </row>
    <row r="40" spans="2:15">
      <c r="B40" s="461" t="s">
        <v>83</v>
      </c>
      <c r="C40" s="462">
        <v>290</v>
      </c>
      <c r="F40" s="461" t="s">
        <v>80</v>
      </c>
      <c r="G40" s="596">
        <v>14000</v>
      </c>
      <c r="J40" s="589" t="s">
        <v>84</v>
      </c>
      <c r="K40" s="475">
        <v>250</v>
      </c>
      <c r="N40" s="602" t="s">
        <v>85</v>
      </c>
      <c r="O40" s="603"/>
    </row>
    <row r="41" spans="2:15">
      <c r="B41" s="461" t="s">
        <v>86</v>
      </c>
      <c r="C41" s="462">
        <v>140</v>
      </c>
      <c r="F41" s="461" t="s">
        <v>87</v>
      </c>
      <c r="G41" s="596">
        <v>20000</v>
      </c>
      <c r="J41" s="589" t="s">
        <v>88</v>
      </c>
      <c r="K41" s="475">
        <f>ROUND(((893.45*2)+824.31+396.19)*2,0)</f>
        <v>6015</v>
      </c>
      <c r="N41" s="590" t="s">
        <v>89</v>
      </c>
      <c r="O41" s="597">
        <v>300</v>
      </c>
    </row>
    <row r="42" spans="2:15">
      <c r="B42" s="461" t="s">
        <v>84</v>
      </c>
      <c r="C42" s="462">
        <v>290</v>
      </c>
      <c r="F42" s="461"/>
      <c r="G42" s="461"/>
      <c r="J42" s="589" t="s">
        <v>90</v>
      </c>
      <c r="K42" s="475">
        <v>8000</v>
      </c>
      <c r="N42" s="590" t="s">
        <v>91</v>
      </c>
      <c r="O42" s="475">
        <f>ROUND(85.75*1.06^6,)</f>
        <v>122</v>
      </c>
    </row>
    <row r="43" spans="2:15">
      <c r="B43" s="461" t="s">
        <v>92</v>
      </c>
      <c r="C43" s="462">
        <v>7530</v>
      </c>
      <c r="F43" s="461" t="s">
        <v>85</v>
      </c>
      <c r="G43" s="461"/>
      <c r="J43" s="589" t="s">
        <v>93</v>
      </c>
      <c r="K43" s="475">
        <f>ROUND(((893.45*2)+824.31+2247)*2,0)</f>
        <v>9716</v>
      </c>
      <c r="N43" s="2997"/>
      <c r="O43" s="2998"/>
    </row>
    <row r="44" spans="2:15">
      <c r="B44" s="461" t="s">
        <v>90</v>
      </c>
      <c r="C44" s="462">
        <v>9300</v>
      </c>
      <c r="F44" s="461" t="s">
        <v>94</v>
      </c>
      <c r="G44" s="596">
        <v>150</v>
      </c>
      <c r="J44" s="589" t="s">
        <v>95</v>
      </c>
      <c r="K44" s="475">
        <v>6500</v>
      </c>
      <c r="N44" s="463" t="s">
        <v>96</v>
      </c>
      <c r="O44" s="589"/>
    </row>
    <row r="45" spans="2:15">
      <c r="B45" s="461" t="s">
        <v>97</v>
      </c>
      <c r="C45" s="462">
        <v>2320</v>
      </c>
      <c r="F45" s="461" t="s">
        <v>98</v>
      </c>
      <c r="G45" s="596">
        <v>180</v>
      </c>
      <c r="J45" s="589"/>
      <c r="K45" s="604"/>
      <c r="N45" s="605" t="s">
        <v>99</v>
      </c>
      <c r="O45" s="597">
        <f>1.6*805</f>
        <v>1288</v>
      </c>
    </row>
    <row r="46" spans="2:15">
      <c r="B46" s="461" t="s">
        <v>95</v>
      </c>
      <c r="C46" s="462">
        <v>7525</v>
      </c>
      <c r="F46" s="461" t="s">
        <v>100</v>
      </c>
      <c r="G46" s="596">
        <v>210</v>
      </c>
      <c r="J46" s="589" t="s">
        <v>101</v>
      </c>
      <c r="K46" s="475">
        <v>750</v>
      </c>
      <c r="N46" s="605" t="s">
        <v>102</v>
      </c>
      <c r="O46" s="597">
        <f>1.6*6650</f>
        <v>10640</v>
      </c>
    </row>
    <row r="47" spans="2:15">
      <c r="B47" s="461"/>
      <c r="C47" s="462"/>
      <c r="F47" s="461" t="s">
        <v>89</v>
      </c>
      <c r="G47" s="596">
        <v>350</v>
      </c>
      <c r="J47" s="589" t="s">
        <v>103</v>
      </c>
      <c r="K47" s="595">
        <v>0.2</v>
      </c>
      <c r="N47" s="605" t="s">
        <v>104</v>
      </c>
      <c r="O47" s="597">
        <f>1.6*9705</f>
        <v>15528</v>
      </c>
    </row>
    <row r="48" spans="2:15">
      <c r="B48" s="461" t="s">
        <v>105</v>
      </c>
      <c r="C48" s="462">
        <v>870</v>
      </c>
      <c r="F48" s="461"/>
      <c r="G48" s="461"/>
      <c r="J48" s="461"/>
      <c r="K48" s="606"/>
    </row>
    <row r="49" spans="2:15">
      <c r="B49" s="461" t="s">
        <v>103</v>
      </c>
      <c r="C49" s="462">
        <v>0.2</v>
      </c>
      <c r="F49" s="461" t="s">
        <v>96</v>
      </c>
      <c r="G49" s="461"/>
      <c r="J49" s="589" t="s">
        <v>106</v>
      </c>
      <c r="K49" s="475">
        <v>650</v>
      </c>
      <c r="N49" s="463" t="s">
        <v>107</v>
      </c>
      <c r="O49" s="461"/>
    </row>
    <row r="50" spans="2:15">
      <c r="B50" s="461"/>
      <c r="C50" s="462"/>
      <c r="F50" s="461" t="s">
        <v>99</v>
      </c>
      <c r="G50" s="596">
        <v>1500</v>
      </c>
      <c r="J50" s="589" t="s">
        <v>108</v>
      </c>
      <c r="K50" s="475">
        <f>ROUND(261.93*1.06^6,-1)</f>
        <v>370</v>
      </c>
      <c r="N50" s="605" t="s">
        <v>109</v>
      </c>
      <c r="O50" s="465">
        <f>ROUND(212.96*1.06^6,-1)</f>
        <v>300</v>
      </c>
    </row>
    <row r="51" spans="2:15">
      <c r="B51" s="461" t="s">
        <v>110</v>
      </c>
      <c r="C51" s="462">
        <v>1195</v>
      </c>
      <c r="F51" s="461" t="s">
        <v>102</v>
      </c>
      <c r="G51" s="596">
        <v>12320</v>
      </c>
      <c r="J51" s="589" t="s">
        <v>111</v>
      </c>
      <c r="K51" s="475">
        <v>3000</v>
      </c>
      <c r="N51" s="605" t="s">
        <v>112</v>
      </c>
      <c r="O51" s="465">
        <f>ROUND(283.94*1.06^6,-1)</f>
        <v>400</v>
      </c>
    </row>
    <row r="52" spans="2:15">
      <c r="B52" s="461" t="s">
        <v>111</v>
      </c>
      <c r="C52" s="462">
        <v>3000</v>
      </c>
      <c r="F52" s="461" t="s">
        <v>104</v>
      </c>
      <c r="G52" s="596">
        <v>18000</v>
      </c>
      <c r="J52" s="589" t="s">
        <v>113</v>
      </c>
      <c r="K52" s="475">
        <v>2500</v>
      </c>
      <c r="O52" s="333"/>
    </row>
    <row r="53" spans="2:15">
      <c r="B53" s="461" t="s">
        <v>113</v>
      </c>
      <c r="C53" s="462">
        <v>2500</v>
      </c>
      <c r="F53" s="461"/>
      <c r="G53" s="461"/>
      <c r="J53" s="589" t="s">
        <v>114</v>
      </c>
      <c r="K53" s="475">
        <v>850</v>
      </c>
      <c r="N53" s="463" t="s">
        <v>115</v>
      </c>
      <c r="O53" s="607"/>
    </row>
    <row r="54" spans="2:15">
      <c r="B54" s="461" t="s">
        <v>114</v>
      </c>
      <c r="C54" s="462">
        <v>850</v>
      </c>
      <c r="F54" s="461" t="s">
        <v>116</v>
      </c>
      <c r="G54" s="461"/>
      <c r="J54" s="589" t="s">
        <v>117</v>
      </c>
      <c r="K54" s="475">
        <v>500</v>
      </c>
      <c r="N54" s="461" t="s">
        <v>118</v>
      </c>
      <c r="O54" s="465">
        <f>ROUND(59.77*1.06^6,-1)</f>
        <v>80</v>
      </c>
    </row>
    <row r="55" spans="2:15">
      <c r="B55" s="461" t="s">
        <v>117</v>
      </c>
      <c r="C55" s="462">
        <v>500</v>
      </c>
      <c r="F55" s="461" t="s">
        <v>119</v>
      </c>
      <c r="G55" s="596">
        <v>170</v>
      </c>
      <c r="J55" s="608" t="s">
        <v>120</v>
      </c>
      <c r="K55" s="475">
        <v>2000</v>
      </c>
      <c r="N55" s="461" t="s">
        <v>121</v>
      </c>
      <c r="O55" s="465">
        <f>ROUND(131.48*1.06^6,-1)</f>
        <v>190</v>
      </c>
    </row>
    <row r="56" spans="2:15">
      <c r="B56" s="461" t="s">
        <v>120</v>
      </c>
      <c r="C56" s="462">
        <v>1500</v>
      </c>
      <c r="F56" s="461" t="s">
        <v>122</v>
      </c>
      <c r="G56" s="596">
        <v>200</v>
      </c>
      <c r="J56" s="1654" t="s">
        <v>123</v>
      </c>
      <c r="K56" s="475">
        <v>1500</v>
      </c>
      <c r="N56" s="461" t="s">
        <v>124</v>
      </c>
      <c r="O56" s="465">
        <f>ROUND(215.17*1.06^6,-1)</f>
        <v>310</v>
      </c>
    </row>
    <row r="57" spans="2:15">
      <c r="B57" s="461" t="s">
        <v>123</v>
      </c>
      <c r="C57" s="462">
        <v>1000</v>
      </c>
      <c r="F57" s="461" t="s">
        <v>125</v>
      </c>
      <c r="G57" s="596">
        <v>250</v>
      </c>
      <c r="J57" s="461"/>
      <c r="K57" s="464"/>
      <c r="O57" s="333"/>
    </row>
    <row r="58" spans="2:15">
      <c r="B58" s="461"/>
      <c r="C58" s="462"/>
      <c r="J58" s="1654" t="s">
        <v>126</v>
      </c>
      <c r="K58" s="475">
        <f>1800+350+220</f>
        <v>2370</v>
      </c>
      <c r="N58" s="609" t="s">
        <v>127</v>
      </c>
      <c r="O58" s="607"/>
    </row>
    <row r="59" spans="2:15">
      <c r="B59" s="461" t="s">
        <v>128</v>
      </c>
      <c r="C59" s="462">
        <v>2000</v>
      </c>
      <c r="J59" s="1654" t="s">
        <v>129</v>
      </c>
      <c r="K59" s="475">
        <v>20000</v>
      </c>
      <c r="N59" s="461" t="s">
        <v>130</v>
      </c>
      <c r="O59" s="465">
        <f>ROUND(86.08*1.06^6,-1)</f>
        <v>120</v>
      </c>
    </row>
    <row r="60" spans="2:15">
      <c r="B60" s="461" t="s">
        <v>129</v>
      </c>
      <c r="C60" s="462">
        <v>17500</v>
      </c>
      <c r="K60" s="332"/>
      <c r="N60" s="461" t="s">
        <v>131</v>
      </c>
      <c r="O60" s="465">
        <f>ROUND(225.32*1.06^6,-1)</f>
        <v>320</v>
      </c>
    </row>
    <row r="61" spans="2:15">
      <c r="B61" s="461" t="s">
        <v>132</v>
      </c>
      <c r="C61" s="462">
        <v>830</v>
      </c>
      <c r="J61" s="463" t="s">
        <v>133</v>
      </c>
      <c r="K61" s="606"/>
      <c r="N61" s="461" t="s">
        <v>134</v>
      </c>
      <c r="O61" s="610">
        <v>380</v>
      </c>
    </row>
    <row r="62" spans="2:15">
      <c r="B62" s="461" t="s">
        <v>135</v>
      </c>
      <c r="C62" s="462">
        <v>130</v>
      </c>
      <c r="J62" s="611" t="s">
        <v>136</v>
      </c>
      <c r="K62" s="475">
        <f>ROUND(5096.65*1.06^6,-1)</f>
        <v>7230</v>
      </c>
    </row>
    <row r="63" spans="2:15">
      <c r="B63" s="461" t="s">
        <v>137</v>
      </c>
      <c r="C63" s="462">
        <v>120</v>
      </c>
      <c r="J63" s="461" t="s">
        <v>138</v>
      </c>
      <c r="K63" s="475">
        <f>ROUND(5.1*(1.06^6),-1)</f>
        <v>10</v>
      </c>
      <c r="N63" s="609" t="s">
        <v>139</v>
      </c>
      <c r="O63" s="607"/>
    </row>
    <row r="64" spans="2:15">
      <c r="B64" s="461" t="s">
        <v>140</v>
      </c>
      <c r="C64" s="462">
        <v>23</v>
      </c>
      <c r="K64" s="322"/>
      <c r="N64" s="609" t="s">
        <v>141</v>
      </c>
      <c r="O64" s="607"/>
    </row>
    <row r="65" spans="2:15">
      <c r="B65" s="461"/>
      <c r="C65" s="462"/>
      <c r="J65" s="463" t="s">
        <v>142</v>
      </c>
      <c r="K65" s="464"/>
      <c r="N65" s="461" t="s">
        <v>143</v>
      </c>
      <c r="O65" s="465">
        <f>ROUND(50*1.1^3,-1)</f>
        <v>70</v>
      </c>
    </row>
    <row r="66" spans="2:15">
      <c r="B66" s="461" t="s">
        <v>144</v>
      </c>
      <c r="C66" s="462">
        <v>5000</v>
      </c>
      <c r="J66" s="461" t="s">
        <v>145</v>
      </c>
      <c r="K66" s="475">
        <f>ROUND(44.26*(1.06^6),-1)</f>
        <v>60</v>
      </c>
      <c r="N66" s="461" t="s">
        <v>146</v>
      </c>
      <c r="O66" s="465">
        <f>ROUND(150*1.1^3,-1)</f>
        <v>200</v>
      </c>
    </row>
    <row r="67" spans="2:15">
      <c r="B67" s="461" t="s">
        <v>147</v>
      </c>
      <c r="C67" s="462">
        <v>4500</v>
      </c>
      <c r="J67" s="461" t="s">
        <v>148</v>
      </c>
      <c r="K67" s="475">
        <f>ROUND(265.56*(1.06^6),-1)</f>
        <v>380</v>
      </c>
      <c r="N67" s="609" t="s">
        <v>149</v>
      </c>
      <c r="O67" s="607"/>
    </row>
    <row r="68" spans="2:15">
      <c r="B68" s="461" t="s">
        <v>150</v>
      </c>
      <c r="C68" s="462">
        <v>3500</v>
      </c>
      <c r="K68" s="322"/>
      <c r="N68" s="461" t="s">
        <v>143</v>
      </c>
      <c r="O68" s="465">
        <f>ROUND(50*1.1^3,-1)</f>
        <v>70</v>
      </c>
    </row>
    <row r="69" spans="2:15">
      <c r="B69" s="461" t="s">
        <v>151</v>
      </c>
      <c r="C69" s="462">
        <v>2000</v>
      </c>
      <c r="J69" s="463" t="s">
        <v>152</v>
      </c>
      <c r="K69" s="464"/>
      <c r="N69" s="461" t="s">
        <v>146</v>
      </c>
      <c r="O69" s="465">
        <f>ROUND(150*1.1^3,-1)</f>
        <v>200</v>
      </c>
    </row>
    <row r="70" spans="2:15">
      <c r="B70" s="461"/>
      <c r="C70" s="462"/>
      <c r="J70" s="463"/>
      <c r="K70" s="464"/>
      <c r="N70" s="461" t="s">
        <v>153</v>
      </c>
      <c r="O70" s="465">
        <v>60</v>
      </c>
    </row>
    <row r="71" spans="2:15">
      <c r="B71" s="461" t="s">
        <v>154</v>
      </c>
      <c r="C71" s="462">
        <v>10000</v>
      </c>
      <c r="J71" s="461" t="s">
        <v>155</v>
      </c>
      <c r="K71" s="475">
        <f>ROUND((878)/(2.4*6),-1)</f>
        <v>60</v>
      </c>
      <c r="N71" s="327" t="s">
        <v>156</v>
      </c>
      <c r="O71" s="1655">
        <f>_xlfn.CEILING.MATH(64.95*(1.1^3),5)</f>
        <v>90</v>
      </c>
    </row>
    <row r="72" spans="2:15">
      <c r="B72" s="461" t="s">
        <v>157</v>
      </c>
      <c r="C72" s="462">
        <v>200</v>
      </c>
      <c r="J72" s="461" t="s">
        <v>158</v>
      </c>
      <c r="K72" s="475">
        <f>ROUND((468)/(2.4*6),)</f>
        <v>33</v>
      </c>
    </row>
    <row r="73" spans="2:15" ht="28.8">
      <c r="B73" s="461"/>
      <c r="C73" s="462"/>
      <c r="J73" s="1656" t="s">
        <v>159</v>
      </c>
      <c r="K73" s="468">
        <v>74</v>
      </c>
      <c r="N73" s="469" t="s">
        <v>160</v>
      </c>
      <c r="O73" s="1657">
        <f>_xlfn.CEILING.MATH(260.81*(1.1^3),5)</f>
        <v>350</v>
      </c>
    </row>
    <row r="74" spans="2:15">
      <c r="B74" s="461"/>
      <c r="C74" s="462"/>
      <c r="K74" s="332"/>
    </row>
    <row r="75" spans="2:15">
      <c r="B75" s="461" t="s">
        <v>161</v>
      </c>
      <c r="C75" s="462"/>
      <c r="J75" s="463" t="s">
        <v>139</v>
      </c>
      <c r="K75" s="475">
        <f>ROUND(70.25*1.06^6,-1)</f>
        <v>100</v>
      </c>
      <c r="N75" s="609" t="s">
        <v>162</v>
      </c>
      <c r="O75" s="461"/>
    </row>
    <row r="76" spans="2:15">
      <c r="B76" s="461" t="s">
        <v>163</v>
      </c>
      <c r="C76" s="462">
        <v>1000</v>
      </c>
      <c r="K76" s="322"/>
      <c r="N76" s="461" t="s">
        <v>164</v>
      </c>
      <c r="O76" s="465">
        <f>ROUND(265.58*1.06^2,-1)</f>
        <v>300</v>
      </c>
    </row>
    <row r="77" spans="2:15">
      <c r="B77" s="461" t="s">
        <v>165</v>
      </c>
      <c r="C77" s="462">
        <v>1375</v>
      </c>
      <c r="J77" s="463" t="s">
        <v>166</v>
      </c>
      <c r="K77" s="475">
        <f>ROUND(9.13*1.06^6,)</f>
        <v>13</v>
      </c>
    </row>
    <row r="78" spans="2:15" ht="28.8">
      <c r="B78" s="461" t="s">
        <v>167</v>
      </c>
      <c r="C78" s="462">
        <v>120</v>
      </c>
      <c r="K78" s="333"/>
      <c r="N78" s="1658" t="s">
        <v>168</v>
      </c>
      <c r="O78" s="475">
        <f>ROUND(893.45*2,)</f>
        <v>1787</v>
      </c>
    </row>
    <row r="79" spans="2:15">
      <c r="B79" s="461" t="s">
        <v>169</v>
      </c>
      <c r="C79" s="462">
        <v>150</v>
      </c>
      <c r="J79" s="463" t="s">
        <v>170</v>
      </c>
      <c r="K79" s="464"/>
      <c r="N79" s="327" t="s">
        <v>171</v>
      </c>
      <c r="O79" s="475">
        <v>825</v>
      </c>
    </row>
    <row r="80" spans="2:15">
      <c r="B80" s="461" t="s">
        <v>172</v>
      </c>
      <c r="C80" s="462">
        <v>450</v>
      </c>
      <c r="J80" s="461" t="s">
        <v>173</v>
      </c>
      <c r="K80" s="475">
        <f>ROUND(23.14*1.06^6,)</f>
        <v>33</v>
      </c>
      <c r="N80" s="327" t="s">
        <v>174</v>
      </c>
      <c r="O80" s="475">
        <v>397</v>
      </c>
    </row>
    <row r="81" spans="2:15">
      <c r="B81" s="461" t="s">
        <v>175</v>
      </c>
      <c r="C81" s="462">
        <v>1200</v>
      </c>
      <c r="J81" s="461" t="s">
        <v>176</v>
      </c>
      <c r="K81" s="475">
        <f>ROUND(24*1.06^6,)</f>
        <v>34</v>
      </c>
      <c r="N81" s="1659" t="s">
        <v>177</v>
      </c>
      <c r="O81" s="475">
        <f>ROUND((2600+2300)*1.06^2,)</f>
        <v>5506</v>
      </c>
    </row>
    <row r="82" spans="2:15">
      <c r="B82" s="461" t="s">
        <v>178</v>
      </c>
      <c r="C82" s="462">
        <v>1200</v>
      </c>
      <c r="J82" s="461" t="s">
        <v>179</v>
      </c>
      <c r="K82" s="475">
        <f>ROUND(1355*1.06^6,)</f>
        <v>1922</v>
      </c>
      <c r="N82" s="327" t="s">
        <v>180</v>
      </c>
      <c r="O82" s="475">
        <f>ROUND(11756*1.06^6,)</f>
        <v>16676</v>
      </c>
    </row>
    <row r="83" spans="2:15">
      <c r="B83" s="1660" t="s">
        <v>181</v>
      </c>
      <c r="C83" s="462">
        <f>C77/2</f>
        <v>687.5</v>
      </c>
      <c r="J83" s="461" t="s">
        <v>182</v>
      </c>
      <c r="K83" s="475">
        <f>ROUND(135*2,)</f>
        <v>270</v>
      </c>
    </row>
    <row r="84" spans="2:15">
      <c r="B84" s="1660"/>
      <c r="C84" s="462"/>
      <c r="J84" s="1660" t="s">
        <v>183</v>
      </c>
      <c r="K84" s="475">
        <f>165*2</f>
        <v>330</v>
      </c>
    </row>
    <row r="85" spans="2:15">
      <c r="B85" s="461"/>
      <c r="C85" s="462"/>
      <c r="J85" s="461" t="s">
        <v>184</v>
      </c>
      <c r="K85" s="475">
        <f>ROUND(66.81*1.06^6,)</f>
        <v>95</v>
      </c>
      <c r="N85" s="323" t="s">
        <v>185</v>
      </c>
    </row>
    <row r="86" spans="2:15">
      <c r="B86" s="461" t="s">
        <v>186</v>
      </c>
      <c r="C86" s="462">
        <v>15000</v>
      </c>
      <c r="J86" s="461" t="s">
        <v>187</v>
      </c>
      <c r="K86" s="475">
        <f>ROUND(7.66*1.06^6,)</f>
        <v>11</v>
      </c>
      <c r="N86" s="461" t="s">
        <v>188</v>
      </c>
      <c r="O86" s="612">
        <v>238</v>
      </c>
    </row>
    <row r="87" spans="2:15">
      <c r="B87" s="461" t="s">
        <v>189</v>
      </c>
      <c r="C87" s="462">
        <v>9500</v>
      </c>
      <c r="N87" s="461" t="s">
        <v>190</v>
      </c>
      <c r="O87" s="612">
        <v>251</v>
      </c>
    </row>
    <row r="88" spans="2:15">
      <c r="B88" s="461"/>
      <c r="C88" s="462"/>
      <c r="J88" s="461" t="s">
        <v>191</v>
      </c>
      <c r="K88" s="475">
        <v>125</v>
      </c>
      <c r="N88" s="461" t="s">
        <v>192</v>
      </c>
      <c r="O88" s="612">
        <v>940</v>
      </c>
    </row>
    <row r="89" spans="2:15">
      <c r="B89" s="461" t="s">
        <v>193</v>
      </c>
      <c r="C89" s="462">
        <v>600</v>
      </c>
      <c r="J89" s="461" t="s">
        <v>194</v>
      </c>
      <c r="K89" s="475">
        <v>125</v>
      </c>
      <c r="N89" s="461" t="s">
        <v>195</v>
      </c>
      <c r="O89" s="612">
        <v>534</v>
      </c>
    </row>
    <row r="90" spans="2:15">
      <c r="B90" s="461" t="s">
        <v>196</v>
      </c>
      <c r="C90" s="462">
        <v>900</v>
      </c>
    </row>
    <row r="91" spans="2:15">
      <c r="B91" s="461" t="s">
        <v>197</v>
      </c>
      <c r="C91" s="462">
        <v>2300</v>
      </c>
    </row>
    <row r="92" spans="2:15">
      <c r="B92" s="461" t="s">
        <v>198</v>
      </c>
      <c r="C92" s="462">
        <v>120</v>
      </c>
    </row>
    <row r="93" spans="2:15">
      <c r="B93" s="461" t="s">
        <v>199</v>
      </c>
      <c r="C93" s="462">
        <v>1550</v>
      </c>
    </row>
    <row r="94" spans="2:15">
      <c r="B94" s="461" t="s">
        <v>200</v>
      </c>
      <c r="C94" s="462">
        <v>35</v>
      </c>
    </row>
    <row r="95" spans="2:15">
      <c r="B95" s="461" t="s">
        <v>201</v>
      </c>
      <c r="C95" s="462">
        <v>45</v>
      </c>
    </row>
    <row r="96" spans="2:15">
      <c r="B96" s="461" t="s">
        <v>202</v>
      </c>
      <c r="C96" s="462">
        <v>25</v>
      </c>
    </row>
    <row r="97" spans="2:3">
      <c r="B97" s="461" t="s">
        <v>203</v>
      </c>
      <c r="C97" s="462">
        <v>40</v>
      </c>
    </row>
    <row r="98" spans="2:3">
      <c r="B98" s="461" t="s">
        <v>204</v>
      </c>
      <c r="C98" s="462">
        <v>4200</v>
      </c>
    </row>
    <row r="99" spans="2:3">
      <c r="B99" s="461"/>
      <c r="C99" s="462"/>
    </row>
    <row r="100" spans="2:3">
      <c r="B100" s="461" t="s">
        <v>205</v>
      </c>
      <c r="C100" s="462"/>
    </row>
    <row r="101" spans="2:3">
      <c r="B101" s="461" t="s">
        <v>206</v>
      </c>
      <c r="C101" s="462">
        <v>80</v>
      </c>
    </row>
    <row r="102" spans="2:3">
      <c r="B102" s="613" t="s">
        <v>207</v>
      </c>
      <c r="C102" s="462">
        <v>100</v>
      </c>
    </row>
    <row r="103" spans="2:3">
      <c r="B103" s="614" t="s">
        <v>208</v>
      </c>
      <c r="C103" s="462">
        <v>130</v>
      </c>
    </row>
    <row r="104" spans="2:3">
      <c r="B104" s="461" t="s">
        <v>209</v>
      </c>
      <c r="C104" s="462"/>
    </row>
    <row r="105" spans="2:3">
      <c r="B105" s="461" t="s">
        <v>27</v>
      </c>
      <c r="C105" s="462">
        <v>25</v>
      </c>
    </row>
    <row r="106" spans="2:3">
      <c r="B106" s="461" t="s">
        <v>210</v>
      </c>
      <c r="C106" s="462">
        <v>200</v>
      </c>
    </row>
    <row r="107" spans="2:3">
      <c r="B107" s="461"/>
      <c r="C107" s="462"/>
    </row>
    <row r="108" spans="2:3">
      <c r="B108" s="461" t="s">
        <v>211</v>
      </c>
      <c r="C108" s="462">
        <v>320</v>
      </c>
    </row>
    <row r="109" spans="2:3">
      <c r="B109" s="461"/>
      <c r="C109" s="462"/>
    </row>
    <row r="110" spans="2:3">
      <c r="B110" s="1660" t="s">
        <v>212</v>
      </c>
      <c r="C110" s="462">
        <f>C53*2</f>
        <v>5000</v>
      </c>
    </row>
    <row r="111" spans="2:3">
      <c r="B111" s="1660"/>
      <c r="C111" s="462"/>
    </row>
    <row r="112" spans="2:3">
      <c r="B112" s="1660" t="s">
        <v>213</v>
      </c>
      <c r="C112" s="462">
        <v>2000</v>
      </c>
    </row>
    <row r="113" spans="1:15">
      <c r="B113" s="1660"/>
      <c r="C113" s="462"/>
    </row>
    <row r="115" spans="1:15">
      <c r="A115"/>
      <c r="B115"/>
      <c r="C115" s="348"/>
      <c r="D115"/>
      <c r="E115"/>
      <c r="F115"/>
      <c r="G115"/>
      <c r="H115"/>
      <c r="I115"/>
      <c r="J115"/>
      <c r="K115"/>
      <c r="L115"/>
      <c r="M115"/>
      <c r="N115"/>
      <c r="O115"/>
    </row>
    <row r="116" spans="1:15" ht="21">
      <c r="A116" s="349"/>
      <c r="B116" s="615" t="s">
        <v>0</v>
      </c>
      <c r="C116" s="616"/>
      <c r="D116" s="349"/>
      <c r="E116" s="349"/>
      <c r="F116" s="615" t="s">
        <v>1</v>
      </c>
      <c r="G116" s="615"/>
      <c r="H116" s="349"/>
      <c r="I116" s="349"/>
      <c r="J116" s="2991" t="s">
        <v>0</v>
      </c>
      <c r="K116" s="2991"/>
      <c r="L116" s="349"/>
      <c r="M116" s="349"/>
      <c r="N116" s="2991" t="s">
        <v>1</v>
      </c>
      <c r="O116" s="2991"/>
    </row>
    <row r="117" spans="1:15">
      <c r="A117"/>
      <c r="B117" s="617" t="s">
        <v>2</v>
      </c>
      <c r="C117" s="470">
        <v>5</v>
      </c>
      <c r="D117"/>
      <c r="E117"/>
      <c r="F117" s="617"/>
      <c r="G117" s="617"/>
      <c r="H117"/>
      <c r="I117"/>
      <c r="J117" s="2992"/>
      <c r="K117" s="2993"/>
      <c r="L117"/>
      <c r="M117"/>
      <c r="N117" s="1661"/>
      <c r="O117" s="1662"/>
    </row>
    <row r="118" spans="1:15" ht="16.2">
      <c r="A118"/>
      <c r="B118" s="617" t="s">
        <v>3</v>
      </c>
      <c r="C118" s="470">
        <v>3000</v>
      </c>
      <c r="D118"/>
      <c r="E118"/>
      <c r="F118" s="617" t="s">
        <v>4</v>
      </c>
      <c r="G118" s="617">
        <v>1</v>
      </c>
      <c r="H118"/>
      <c r="I118"/>
      <c r="J118" s="618" t="s">
        <v>5</v>
      </c>
      <c r="K118" s="619">
        <v>3000</v>
      </c>
      <c r="L118"/>
      <c r="M118"/>
      <c r="N118" s="620" t="s">
        <v>4</v>
      </c>
      <c r="O118" s="621">
        <v>1</v>
      </c>
    </row>
    <row r="119" spans="1:15">
      <c r="A119"/>
      <c r="B119" s="617" t="s">
        <v>6</v>
      </c>
      <c r="C119" s="470">
        <v>755</v>
      </c>
      <c r="D119"/>
      <c r="E119"/>
      <c r="F119" s="617" t="s">
        <v>7</v>
      </c>
      <c r="G119" s="617">
        <v>1</v>
      </c>
      <c r="H119"/>
      <c r="I119"/>
      <c r="J119" s="618" t="s">
        <v>8</v>
      </c>
      <c r="K119" s="619">
        <v>130</v>
      </c>
      <c r="L119"/>
      <c r="M119"/>
      <c r="N119" s="620" t="s">
        <v>7</v>
      </c>
      <c r="O119" s="621">
        <v>1</v>
      </c>
    </row>
    <row r="120" spans="1:15" ht="16.2">
      <c r="A120"/>
      <c r="B120" s="617" t="s">
        <v>9</v>
      </c>
      <c r="C120" s="470">
        <v>1200</v>
      </c>
      <c r="D120"/>
      <c r="E120"/>
      <c r="F120" s="617" t="s">
        <v>10</v>
      </c>
      <c r="G120" s="617">
        <v>1.5</v>
      </c>
      <c r="H120" t="s">
        <v>11</v>
      </c>
      <c r="I120"/>
      <c r="J120" s="618" t="s">
        <v>12</v>
      </c>
      <c r="K120" s="619">
        <v>755</v>
      </c>
      <c r="L120"/>
      <c r="M120"/>
      <c r="N120" s="620" t="s">
        <v>10</v>
      </c>
      <c r="O120" s="621">
        <v>1.5</v>
      </c>
    </row>
    <row r="121" spans="1:15" ht="16.2">
      <c r="A121"/>
      <c r="B121" s="617" t="s">
        <v>13</v>
      </c>
      <c r="C121" s="470">
        <v>500</v>
      </c>
      <c r="D121"/>
      <c r="E121"/>
      <c r="F121" s="617" t="s">
        <v>14</v>
      </c>
      <c r="G121" s="617">
        <v>1.3</v>
      </c>
      <c r="H121"/>
      <c r="I121"/>
      <c r="J121" s="618" t="s">
        <v>15</v>
      </c>
      <c r="K121" s="619">
        <f>ROUND(6.46*1.06^6,-1)</f>
        <v>10</v>
      </c>
      <c r="L121"/>
      <c r="M121"/>
      <c r="N121" s="620" t="s">
        <v>14</v>
      </c>
      <c r="O121" s="621">
        <v>1.3</v>
      </c>
    </row>
    <row r="122" spans="1:15">
      <c r="A122"/>
      <c r="B122" s="617" t="s">
        <v>16</v>
      </c>
      <c r="C122" s="470">
        <v>18000</v>
      </c>
      <c r="D122"/>
      <c r="E122"/>
      <c r="F122" s="617" t="s">
        <v>17</v>
      </c>
      <c r="G122" s="617">
        <v>1.1299999999999999</v>
      </c>
      <c r="H122"/>
      <c r="I122"/>
      <c r="J122" s="618" t="s">
        <v>18</v>
      </c>
      <c r="K122" s="619">
        <v>18000</v>
      </c>
      <c r="L122"/>
      <c r="M122"/>
      <c r="N122" s="620" t="s">
        <v>17</v>
      </c>
      <c r="O122" s="621">
        <v>1.1299999999999999</v>
      </c>
    </row>
    <row r="123" spans="1:15" ht="16.2">
      <c r="A123"/>
      <c r="B123" s="617" t="s">
        <v>19</v>
      </c>
      <c r="C123" s="470">
        <v>50</v>
      </c>
      <c r="D123"/>
      <c r="E123"/>
      <c r="F123" s="617" t="s">
        <v>20</v>
      </c>
      <c r="G123" s="617">
        <v>1.25</v>
      </c>
      <c r="H123"/>
      <c r="I123"/>
      <c r="J123" s="618" t="s">
        <v>21</v>
      </c>
      <c r="K123" s="622"/>
      <c r="L123"/>
      <c r="M123"/>
      <c r="N123" s="620" t="s">
        <v>20</v>
      </c>
      <c r="O123" s="621">
        <v>1.25</v>
      </c>
    </row>
    <row r="124" spans="1:15">
      <c r="A124"/>
      <c r="B124" s="617" t="s">
        <v>22</v>
      </c>
      <c r="C124" s="470">
        <v>90</v>
      </c>
      <c r="D124"/>
      <c r="E124"/>
      <c r="F124" s="617" t="s">
        <v>23</v>
      </c>
      <c r="G124" s="617">
        <v>1.3</v>
      </c>
      <c r="H124"/>
      <c r="I124"/>
      <c r="J124" s="623" t="s">
        <v>24</v>
      </c>
      <c r="K124" s="619">
        <v>120</v>
      </c>
      <c r="L124"/>
      <c r="M124"/>
      <c r="N124" s="620" t="s">
        <v>23</v>
      </c>
      <c r="O124" s="621">
        <v>1.3</v>
      </c>
    </row>
    <row r="125" spans="1:15">
      <c r="A125"/>
      <c r="B125" s="617" t="s">
        <v>25</v>
      </c>
      <c r="C125" s="470">
        <v>18000</v>
      </c>
      <c r="D125"/>
      <c r="E125"/>
      <c r="F125" s="617" t="s">
        <v>26</v>
      </c>
      <c r="G125" s="617">
        <v>1.2</v>
      </c>
      <c r="H125"/>
      <c r="I125"/>
      <c r="J125" s="623" t="s">
        <v>27</v>
      </c>
      <c r="K125" s="619">
        <v>250</v>
      </c>
      <c r="L125"/>
      <c r="M125"/>
      <c r="N125" s="620" t="s">
        <v>26</v>
      </c>
      <c r="O125" s="621">
        <v>1.2</v>
      </c>
    </row>
    <row r="126" spans="1:15">
      <c r="A126"/>
      <c r="B126" s="617"/>
      <c r="C126" s="470"/>
      <c r="D126"/>
      <c r="E126"/>
      <c r="F126" s="617" t="s">
        <v>28</v>
      </c>
      <c r="G126" s="617">
        <v>1</v>
      </c>
      <c r="H126"/>
      <c r="I126"/>
      <c r="J126" s="623" t="s">
        <v>29</v>
      </c>
      <c r="K126" s="619">
        <v>850</v>
      </c>
      <c r="L126"/>
      <c r="M126"/>
      <c r="N126" s="620" t="s">
        <v>28</v>
      </c>
      <c r="O126" s="621">
        <v>1</v>
      </c>
    </row>
    <row r="127" spans="1:15">
      <c r="A127"/>
      <c r="B127" s="617" t="s">
        <v>30</v>
      </c>
      <c r="C127" s="470"/>
      <c r="D127"/>
      <c r="E127"/>
      <c r="F127" s="617" t="s">
        <v>31</v>
      </c>
      <c r="G127" s="617">
        <v>1.3</v>
      </c>
      <c r="H127"/>
      <c r="I127"/>
      <c r="J127" s="624" t="s">
        <v>32</v>
      </c>
      <c r="K127" s="619">
        <v>12</v>
      </c>
      <c r="L127"/>
      <c r="M127"/>
      <c r="N127" s="620" t="s">
        <v>31</v>
      </c>
      <c r="O127" s="621">
        <v>1.3</v>
      </c>
    </row>
    <row r="128" spans="1:15" ht="16.2">
      <c r="A128"/>
      <c r="B128" s="617" t="s">
        <v>24</v>
      </c>
      <c r="C128" s="470">
        <v>140</v>
      </c>
      <c r="D128"/>
      <c r="E128"/>
      <c r="F128" s="617" t="s">
        <v>33</v>
      </c>
      <c r="G128" s="617">
        <v>1.37</v>
      </c>
      <c r="H128"/>
      <c r="I128"/>
      <c r="J128" s="618" t="s">
        <v>34</v>
      </c>
      <c r="K128" s="622"/>
      <c r="L128"/>
      <c r="M128"/>
      <c r="N128" s="620" t="s">
        <v>33</v>
      </c>
      <c r="O128" s="621">
        <v>1.37</v>
      </c>
    </row>
    <row r="129" spans="1:15">
      <c r="A129"/>
      <c r="B129" s="617" t="s">
        <v>27</v>
      </c>
      <c r="C129" s="470">
        <v>190</v>
      </c>
      <c r="D129"/>
      <c r="E129"/>
      <c r="F129" s="617" t="s">
        <v>35</v>
      </c>
      <c r="G129" s="617">
        <v>1.37</v>
      </c>
      <c r="H129"/>
      <c r="I129"/>
      <c r="J129" s="623" t="s">
        <v>24</v>
      </c>
      <c r="K129" s="619">
        <v>210</v>
      </c>
      <c r="L129"/>
      <c r="M129"/>
      <c r="N129" s="620" t="s">
        <v>35</v>
      </c>
      <c r="O129" s="625">
        <v>1.37</v>
      </c>
    </row>
    <row r="130" spans="1:15">
      <c r="A130"/>
      <c r="B130" s="617" t="s">
        <v>29</v>
      </c>
      <c r="C130" s="470">
        <v>985</v>
      </c>
      <c r="D130"/>
      <c r="E130"/>
      <c r="F130" s="617"/>
      <c r="G130" s="617"/>
      <c r="H130"/>
      <c r="I130"/>
      <c r="J130" s="623" t="s">
        <v>27</v>
      </c>
      <c r="K130" s="619">
        <f>K125*1.5</f>
        <v>375</v>
      </c>
      <c r="L130"/>
      <c r="M130"/>
      <c r="N130" s="12"/>
      <c r="O130" s="350"/>
    </row>
    <row r="131" spans="1:15">
      <c r="A131"/>
      <c r="B131" s="617"/>
      <c r="C131" s="470"/>
      <c r="D131"/>
      <c r="E131"/>
      <c r="F131" s="617"/>
      <c r="G131" s="617"/>
      <c r="H131"/>
      <c r="I131"/>
      <c r="J131" s="623" t="s">
        <v>29</v>
      </c>
      <c r="K131" s="619">
        <v>1182</v>
      </c>
      <c r="L131"/>
      <c r="M131"/>
      <c r="N131"/>
      <c r="O131"/>
    </row>
    <row r="132" spans="1:15" ht="21">
      <c r="A132"/>
      <c r="B132" s="617" t="s">
        <v>36</v>
      </c>
      <c r="C132" s="470"/>
      <c r="D132"/>
      <c r="E132"/>
      <c r="F132" s="617" t="s">
        <v>37</v>
      </c>
      <c r="G132" s="617"/>
      <c r="H132"/>
      <c r="I132"/>
      <c r="J132" s="618" t="s">
        <v>38</v>
      </c>
      <c r="K132" s="626">
        <v>0.05</v>
      </c>
      <c r="L132"/>
      <c r="M132"/>
      <c r="N132" s="2991" t="s">
        <v>37</v>
      </c>
      <c r="O132" s="2991"/>
    </row>
    <row r="133" spans="1:15">
      <c r="A133"/>
      <c r="B133" s="617" t="s">
        <v>24</v>
      </c>
      <c r="C133" s="470">
        <v>210</v>
      </c>
      <c r="D133"/>
      <c r="E133"/>
      <c r="F133" s="617" t="s">
        <v>39</v>
      </c>
      <c r="G133" s="617" t="s">
        <v>40</v>
      </c>
      <c r="H133"/>
      <c r="I133"/>
      <c r="J133" s="618" t="s">
        <v>41</v>
      </c>
      <c r="K133" s="626">
        <v>0</v>
      </c>
      <c r="L133"/>
      <c r="M133"/>
      <c r="N133" s="1663" t="s">
        <v>39</v>
      </c>
      <c r="O133" s="1664" t="s">
        <v>40</v>
      </c>
    </row>
    <row r="134" spans="1:15">
      <c r="A134"/>
      <c r="B134" s="617" t="s">
        <v>27</v>
      </c>
      <c r="C134" s="470">
        <v>375</v>
      </c>
      <c r="D134"/>
      <c r="E134"/>
      <c r="F134" s="617" t="s">
        <v>42</v>
      </c>
      <c r="G134" s="617"/>
      <c r="H134"/>
      <c r="I134"/>
      <c r="J134" s="618" t="s">
        <v>43</v>
      </c>
      <c r="K134" s="619">
        <v>6500</v>
      </c>
      <c r="L134"/>
      <c r="M134"/>
      <c r="N134" s="627" t="s">
        <v>42</v>
      </c>
      <c r="O134" s="618"/>
    </row>
    <row r="135" spans="1:15">
      <c r="A135"/>
      <c r="B135" s="617" t="s">
        <v>29</v>
      </c>
      <c r="C135" s="470">
        <v>1182</v>
      </c>
      <c r="D135"/>
      <c r="E135"/>
      <c r="F135" s="617" t="s">
        <v>44</v>
      </c>
      <c r="G135" s="628">
        <v>1300</v>
      </c>
      <c r="H135"/>
      <c r="I135"/>
      <c r="J135" s="618" t="s">
        <v>45</v>
      </c>
      <c r="K135" s="619">
        <v>10000</v>
      </c>
      <c r="L135"/>
      <c r="M135"/>
      <c r="N135" s="620" t="s">
        <v>46</v>
      </c>
      <c r="O135" s="629">
        <f>ROUND(282*2*1.2,0)</f>
        <v>677</v>
      </c>
    </row>
    <row r="136" spans="1:15">
      <c r="A136"/>
      <c r="B136" s="617" t="s">
        <v>38</v>
      </c>
      <c r="C136" s="470">
        <v>0.05</v>
      </c>
      <c r="D136"/>
      <c r="E136"/>
      <c r="F136" s="617" t="s">
        <v>47</v>
      </c>
      <c r="G136" s="628">
        <v>1900</v>
      </c>
      <c r="H136"/>
      <c r="I136"/>
      <c r="J136" s="630" t="s">
        <v>48</v>
      </c>
      <c r="K136" s="631">
        <f>SUM(K137:K139)</f>
        <v>1</v>
      </c>
      <c r="L136"/>
      <c r="M136"/>
      <c r="N136" s="620" t="s">
        <v>49</v>
      </c>
      <c r="O136" s="629">
        <f>ROUND(439.84*2*1.2,0)</f>
        <v>1056</v>
      </c>
    </row>
    <row r="137" spans="1:15">
      <c r="A137"/>
      <c r="B137" s="617" t="s">
        <v>41</v>
      </c>
      <c r="C137" s="470">
        <v>0</v>
      </c>
      <c r="D137"/>
      <c r="E137"/>
      <c r="F137" s="617" t="s">
        <v>50</v>
      </c>
      <c r="G137" s="628">
        <v>2500</v>
      </c>
      <c r="H137"/>
      <c r="I137"/>
      <c r="J137" s="632" t="s">
        <v>24</v>
      </c>
      <c r="K137" s="626">
        <v>0.55000000000000004</v>
      </c>
      <c r="L137"/>
      <c r="M137"/>
      <c r="N137" s="620" t="s">
        <v>47</v>
      </c>
      <c r="O137" s="629">
        <v>1600</v>
      </c>
    </row>
    <row r="138" spans="1:15">
      <c r="A138"/>
      <c r="B138" s="617" t="s">
        <v>51</v>
      </c>
      <c r="C138" s="470">
        <v>10000</v>
      </c>
      <c r="D138"/>
      <c r="E138"/>
      <c r="F138" s="617" t="s">
        <v>52</v>
      </c>
      <c r="G138" s="628">
        <v>3500</v>
      </c>
      <c r="H138"/>
      <c r="I138"/>
      <c r="J138" s="632" t="s">
        <v>27</v>
      </c>
      <c r="K138" s="626">
        <v>0.22500000000000001</v>
      </c>
      <c r="L138"/>
      <c r="M138"/>
      <c r="N138" s="620" t="s">
        <v>50</v>
      </c>
      <c r="O138" s="629">
        <v>2100</v>
      </c>
    </row>
    <row r="139" spans="1:15">
      <c r="A139"/>
      <c r="B139" s="617" t="s">
        <v>45</v>
      </c>
      <c r="C139" s="470">
        <v>12000</v>
      </c>
      <c r="D139"/>
      <c r="E139"/>
      <c r="F139" s="617" t="s">
        <v>53</v>
      </c>
      <c r="G139" s="628">
        <v>4700</v>
      </c>
      <c r="H139"/>
      <c r="I139"/>
      <c r="J139" s="632" t="s">
        <v>54</v>
      </c>
      <c r="K139" s="626">
        <v>0.22500000000000001</v>
      </c>
      <c r="L139"/>
      <c r="M139"/>
      <c r="N139" s="620" t="s">
        <v>52</v>
      </c>
      <c r="O139" s="629">
        <v>3000</v>
      </c>
    </row>
    <row r="140" spans="1:15">
      <c r="A140"/>
      <c r="B140" s="617" t="s">
        <v>48</v>
      </c>
      <c r="C140" s="470">
        <v>1</v>
      </c>
      <c r="D140"/>
      <c r="E140"/>
      <c r="F140" s="617" t="s">
        <v>55</v>
      </c>
      <c r="G140" s="628">
        <v>6660</v>
      </c>
      <c r="H140"/>
      <c r="I140"/>
      <c r="J140" s="630" t="s">
        <v>56</v>
      </c>
      <c r="K140" s="631">
        <f>SUM(K141:K143)</f>
        <v>1</v>
      </c>
      <c r="L140"/>
      <c r="M140"/>
      <c r="N140" s="620" t="s">
        <v>53</v>
      </c>
      <c r="O140" s="629">
        <v>4000</v>
      </c>
    </row>
    <row r="141" spans="1:15">
      <c r="A141"/>
      <c r="B141" s="617" t="s">
        <v>24</v>
      </c>
      <c r="C141" s="633">
        <v>0.2</v>
      </c>
      <c r="D141"/>
      <c r="E141"/>
      <c r="F141" s="617" t="s">
        <v>57</v>
      </c>
      <c r="G141" s="628">
        <v>9300</v>
      </c>
      <c r="H141"/>
      <c r="I141"/>
      <c r="J141" s="632" t="s">
        <v>24</v>
      </c>
      <c r="K141" s="626">
        <v>0.9</v>
      </c>
      <c r="L141"/>
      <c r="M141"/>
      <c r="N141" s="620" t="s">
        <v>55</v>
      </c>
      <c r="O141" s="629">
        <v>5750</v>
      </c>
    </row>
    <row r="142" spans="1:15">
      <c r="A142"/>
      <c r="B142" s="617" t="s">
        <v>27</v>
      </c>
      <c r="C142" s="633">
        <v>0.2</v>
      </c>
      <c r="D142"/>
      <c r="E142"/>
      <c r="F142" s="617"/>
      <c r="G142" s="617"/>
      <c r="H142"/>
      <c r="I142"/>
      <c r="J142" s="632" t="s">
        <v>27</v>
      </c>
      <c r="K142" s="626">
        <v>0.1</v>
      </c>
      <c r="L142"/>
      <c r="M142"/>
      <c r="N142" s="620" t="s">
        <v>57</v>
      </c>
      <c r="O142" s="629">
        <v>8000</v>
      </c>
    </row>
    <row r="143" spans="1:15">
      <c r="A143"/>
      <c r="B143" s="617" t="s">
        <v>54</v>
      </c>
      <c r="C143" s="633">
        <v>0.6</v>
      </c>
      <c r="D143"/>
      <c r="E143"/>
      <c r="F143" s="617" t="s">
        <v>58</v>
      </c>
      <c r="G143" s="617"/>
      <c r="H143"/>
      <c r="I143"/>
      <c r="J143" s="632" t="s">
        <v>54</v>
      </c>
      <c r="K143" s="626">
        <v>0</v>
      </c>
      <c r="L143"/>
      <c r="M143"/>
      <c r="N143" s="2999"/>
      <c r="O143" s="3000"/>
    </row>
    <row r="144" spans="1:15" ht="16.2">
      <c r="A144"/>
      <c r="B144" s="617" t="s">
        <v>56</v>
      </c>
      <c r="C144" s="633">
        <v>1</v>
      </c>
      <c r="D144"/>
      <c r="E144"/>
      <c r="F144" s="617" t="s">
        <v>59</v>
      </c>
      <c r="G144" s="628">
        <v>530</v>
      </c>
      <c r="H144"/>
      <c r="I144"/>
      <c r="J144" s="618" t="s">
        <v>60</v>
      </c>
      <c r="K144" s="619">
        <v>120</v>
      </c>
      <c r="L144"/>
      <c r="M144"/>
      <c r="N144" s="634" t="s">
        <v>58</v>
      </c>
      <c r="O144" s="635"/>
    </row>
    <row r="145" spans="1:15" ht="16.2">
      <c r="A145"/>
      <c r="B145" s="617" t="s">
        <v>24</v>
      </c>
      <c r="C145" s="633">
        <v>0.2</v>
      </c>
      <c r="D145"/>
      <c r="E145"/>
      <c r="F145" s="617" t="s">
        <v>61</v>
      </c>
      <c r="G145" s="628">
        <v>1800</v>
      </c>
      <c r="H145"/>
      <c r="I145"/>
      <c r="J145" s="618" t="s">
        <v>62</v>
      </c>
      <c r="K145" s="619">
        <f>ROUND(138.12*1.06^6,-1)</f>
        <v>200</v>
      </c>
      <c r="L145"/>
      <c r="M145"/>
      <c r="N145" s="620" t="s">
        <v>59</v>
      </c>
      <c r="O145" s="629">
        <v>450</v>
      </c>
    </row>
    <row r="146" spans="1:15">
      <c r="A146"/>
      <c r="B146" s="617" t="s">
        <v>27</v>
      </c>
      <c r="C146" s="633">
        <v>0.2</v>
      </c>
      <c r="D146"/>
      <c r="E146"/>
      <c r="F146" s="617"/>
      <c r="G146" s="617"/>
      <c r="H146"/>
      <c r="I146"/>
      <c r="J146" s="618" t="s">
        <v>63</v>
      </c>
      <c r="K146" s="626">
        <v>0.1</v>
      </c>
      <c r="L146"/>
      <c r="M146"/>
      <c r="N146" s="620" t="s">
        <v>61</v>
      </c>
      <c r="O146" s="629">
        <v>1500</v>
      </c>
    </row>
    <row r="147" spans="1:15">
      <c r="A147"/>
      <c r="B147" s="617" t="s">
        <v>54</v>
      </c>
      <c r="C147" s="633">
        <v>0.6</v>
      </c>
      <c r="D147"/>
      <c r="E147"/>
      <c r="F147" s="617" t="s">
        <v>64</v>
      </c>
      <c r="G147" s="617"/>
      <c r="H147"/>
      <c r="I147"/>
      <c r="J147" s="618" t="s">
        <v>65</v>
      </c>
      <c r="K147" s="626">
        <v>0.9</v>
      </c>
      <c r="L147"/>
      <c r="M147"/>
      <c r="N147" s="2994"/>
      <c r="O147" s="2994"/>
    </row>
    <row r="148" spans="1:15">
      <c r="A148"/>
      <c r="B148" s="617" t="s">
        <v>66</v>
      </c>
      <c r="C148" s="470">
        <v>140</v>
      </c>
      <c r="D148"/>
      <c r="E148"/>
      <c r="F148" s="617" t="s">
        <v>67</v>
      </c>
      <c r="G148" s="628">
        <v>1400</v>
      </c>
      <c r="H148"/>
      <c r="I148"/>
      <c r="J148" s="618" t="s">
        <v>68</v>
      </c>
      <c r="K148" s="619">
        <v>250</v>
      </c>
      <c r="L148"/>
      <c r="M148"/>
      <c r="N148" s="634" t="s">
        <v>64</v>
      </c>
      <c r="O148" s="635"/>
    </row>
    <row r="149" spans="1:15">
      <c r="A149"/>
      <c r="B149" s="617" t="s">
        <v>63</v>
      </c>
      <c r="C149" s="633">
        <v>0.1</v>
      </c>
      <c r="D149"/>
      <c r="E149"/>
      <c r="F149" s="617" t="s">
        <v>69</v>
      </c>
      <c r="G149" s="628">
        <v>4650</v>
      </c>
      <c r="H149"/>
      <c r="I149"/>
      <c r="J149" s="618" t="s">
        <v>70</v>
      </c>
      <c r="K149" s="619">
        <v>260</v>
      </c>
      <c r="L149"/>
      <c r="M149"/>
      <c r="N149" s="620" t="s">
        <v>71</v>
      </c>
      <c r="O149" s="629">
        <v>1200</v>
      </c>
    </row>
    <row r="150" spans="1:15">
      <c r="A150"/>
      <c r="B150" s="617" t="s">
        <v>65</v>
      </c>
      <c r="C150" s="633">
        <v>0.9</v>
      </c>
      <c r="D150"/>
      <c r="E150"/>
      <c r="F150" s="617" t="s">
        <v>72</v>
      </c>
      <c r="G150" s="628">
        <v>6220</v>
      </c>
      <c r="H150"/>
      <c r="I150"/>
      <c r="J150" s="618" t="s">
        <v>73</v>
      </c>
      <c r="K150" s="619">
        <v>200</v>
      </c>
      <c r="L150"/>
      <c r="M150"/>
      <c r="N150" s="620" t="s">
        <v>74</v>
      </c>
      <c r="O150" s="629">
        <v>6000</v>
      </c>
    </row>
    <row r="151" spans="1:15">
      <c r="A151"/>
      <c r="B151" s="617" t="s">
        <v>68</v>
      </c>
      <c r="C151" s="470">
        <v>205</v>
      </c>
      <c r="D151"/>
      <c r="E151"/>
      <c r="F151" s="617" t="s">
        <v>74</v>
      </c>
      <c r="G151" s="628">
        <v>7000</v>
      </c>
      <c r="H151"/>
      <c r="I151"/>
      <c r="J151" s="618" t="s">
        <v>75</v>
      </c>
      <c r="K151" s="619">
        <v>150</v>
      </c>
      <c r="L151"/>
      <c r="M151"/>
      <c r="N151" s="620" t="s">
        <v>76</v>
      </c>
      <c r="O151" s="629">
        <v>10000</v>
      </c>
    </row>
    <row r="152" spans="1:15">
      <c r="A152"/>
      <c r="B152" s="617" t="s">
        <v>77</v>
      </c>
      <c r="C152" s="470">
        <v>235</v>
      </c>
      <c r="D152"/>
      <c r="E152"/>
      <c r="F152" s="617" t="s">
        <v>78</v>
      </c>
      <c r="G152" s="628">
        <v>8000</v>
      </c>
      <c r="H152"/>
      <c r="I152"/>
      <c r="J152" s="618" t="s">
        <v>79</v>
      </c>
      <c r="K152" s="619">
        <v>250</v>
      </c>
      <c r="L152"/>
      <c r="M152"/>
      <c r="N152" s="620" t="s">
        <v>80</v>
      </c>
      <c r="O152" s="629">
        <v>12000</v>
      </c>
    </row>
    <row r="153" spans="1:15">
      <c r="A153"/>
      <c r="B153" s="617" t="s">
        <v>75</v>
      </c>
      <c r="C153" s="470">
        <v>175</v>
      </c>
      <c r="D153"/>
      <c r="E153"/>
      <c r="F153" s="617" t="s">
        <v>81</v>
      </c>
      <c r="G153" s="628">
        <v>10000</v>
      </c>
      <c r="H153"/>
      <c r="I153"/>
      <c r="J153" s="618" t="s">
        <v>82</v>
      </c>
      <c r="K153" s="619">
        <v>120</v>
      </c>
      <c r="L153"/>
      <c r="M153"/>
      <c r="N153" s="2995"/>
      <c r="O153" s="2996"/>
    </row>
    <row r="154" spans="1:15">
      <c r="A154"/>
      <c r="B154" s="617" t="s">
        <v>83</v>
      </c>
      <c r="C154" s="470">
        <v>290</v>
      </c>
      <c r="D154"/>
      <c r="E154"/>
      <c r="F154" s="617" t="s">
        <v>80</v>
      </c>
      <c r="G154" s="628">
        <v>14000</v>
      </c>
      <c r="H154"/>
      <c r="I154"/>
      <c r="J154" s="618" t="s">
        <v>84</v>
      </c>
      <c r="K154" s="619">
        <v>250</v>
      </c>
      <c r="L154"/>
      <c r="M154"/>
      <c r="N154" s="634" t="s">
        <v>85</v>
      </c>
      <c r="O154" s="635"/>
    </row>
    <row r="155" spans="1:15">
      <c r="A155"/>
      <c r="B155" s="617" t="s">
        <v>86</v>
      </c>
      <c r="C155" s="470">
        <v>140</v>
      </c>
      <c r="D155"/>
      <c r="E155"/>
      <c r="F155" s="617" t="s">
        <v>87</v>
      </c>
      <c r="G155" s="628">
        <v>20000</v>
      </c>
      <c r="H155"/>
      <c r="I155"/>
      <c r="J155" s="618" t="s">
        <v>88</v>
      </c>
      <c r="K155" s="619">
        <f>ROUND(((893.45*2)+824.31+396.19)*2,0)</f>
        <v>6015</v>
      </c>
      <c r="L155"/>
      <c r="M155"/>
      <c r="N155" s="620" t="s">
        <v>89</v>
      </c>
      <c r="O155" s="629">
        <v>300</v>
      </c>
    </row>
    <row r="156" spans="1:15">
      <c r="A156"/>
      <c r="B156" s="617" t="s">
        <v>84</v>
      </c>
      <c r="C156" s="470">
        <v>290</v>
      </c>
      <c r="D156"/>
      <c r="E156"/>
      <c r="F156" s="617"/>
      <c r="G156" s="617"/>
      <c r="H156"/>
      <c r="I156"/>
      <c r="J156" s="618" t="s">
        <v>90</v>
      </c>
      <c r="K156" s="619">
        <v>8000</v>
      </c>
      <c r="L156"/>
      <c r="M156"/>
      <c r="N156" s="620" t="s">
        <v>91</v>
      </c>
      <c r="O156" s="619">
        <f>ROUND(85.75*1.06^6,)</f>
        <v>122</v>
      </c>
    </row>
    <row r="157" spans="1:15">
      <c r="A157"/>
      <c r="B157" s="617" t="s">
        <v>92</v>
      </c>
      <c r="C157" s="470">
        <v>7530</v>
      </c>
      <c r="D157"/>
      <c r="E157"/>
      <c r="F157" s="617" t="s">
        <v>85</v>
      </c>
      <c r="G157" s="617"/>
      <c r="H157"/>
      <c r="I157"/>
      <c r="J157" s="618" t="s">
        <v>93</v>
      </c>
      <c r="K157" s="619">
        <f>ROUND(((893.45*2)+824.31+2247)*2,0)</f>
        <v>9716</v>
      </c>
      <c r="L157"/>
      <c r="M157"/>
      <c r="N157" s="2995"/>
      <c r="O157" s="2996"/>
    </row>
    <row r="158" spans="1:15">
      <c r="A158"/>
      <c r="B158" s="617" t="s">
        <v>90</v>
      </c>
      <c r="C158" s="470">
        <v>9300</v>
      </c>
      <c r="D158"/>
      <c r="E158"/>
      <c r="F158" s="617" t="s">
        <v>94</v>
      </c>
      <c r="G158" s="628">
        <v>150</v>
      </c>
      <c r="H158"/>
      <c r="I158"/>
      <c r="J158" s="618" t="s">
        <v>95</v>
      </c>
      <c r="K158" s="619">
        <v>6500</v>
      </c>
      <c r="L158"/>
      <c r="M158"/>
      <c r="N158" s="627" t="s">
        <v>96</v>
      </c>
      <c r="O158" s="618"/>
    </row>
    <row r="159" spans="1:15">
      <c r="A159"/>
      <c r="B159" s="617" t="s">
        <v>97</v>
      </c>
      <c r="C159" s="470">
        <v>2320</v>
      </c>
      <c r="D159"/>
      <c r="E159"/>
      <c r="F159" s="617" t="s">
        <v>98</v>
      </c>
      <c r="G159" s="628">
        <v>180</v>
      </c>
      <c r="H159"/>
      <c r="I159"/>
      <c r="J159" s="618"/>
      <c r="K159" s="636"/>
      <c r="L159"/>
      <c r="M159"/>
      <c r="N159" s="637" t="s">
        <v>99</v>
      </c>
      <c r="O159" s="629">
        <f>1.6*805</f>
        <v>1288</v>
      </c>
    </row>
    <row r="160" spans="1:15">
      <c r="A160"/>
      <c r="B160" s="617" t="s">
        <v>95</v>
      </c>
      <c r="C160" s="470">
        <v>7525</v>
      </c>
      <c r="D160"/>
      <c r="E160"/>
      <c r="F160" s="617" t="s">
        <v>100</v>
      </c>
      <c r="G160" s="628">
        <v>210</v>
      </c>
      <c r="H160"/>
      <c r="I160"/>
      <c r="J160" s="618" t="s">
        <v>101</v>
      </c>
      <c r="K160" s="619">
        <v>750</v>
      </c>
      <c r="L160"/>
      <c r="M160"/>
      <c r="N160" s="637" t="s">
        <v>102</v>
      </c>
      <c r="O160" s="629">
        <f>1.6*6650</f>
        <v>10640</v>
      </c>
    </row>
    <row r="161" spans="1:15">
      <c r="A161"/>
      <c r="B161" s="617"/>
      <c r="C161" s="470"/>
      <c r="D161"/>
      <c r="E161"/>
      <c r="F161" s="617" t="s">
        <v>89</v>
      </c>
      <c r="G161" s="628">
        <v>350</v>
      </c>
      <c r="H161"/>
      <c r="I161"/>
      <c r="J161" s="618" t="s">
        <v>103</v>
      </c>
      <c r="K161" s="626">
        <v>0.2</v>
      </c>
      <c r="L161"/>
      <c r="M161"/>
      <c r="N161" s="637" t="s">
        <v>104</v>
      </c>
      <c r="O161" s="629">
        <f>1.6*9705</f>
        <v>15528</v>
      </c>
    </row>
    <row r="162" spans="1:15">
      <c r="A162"/>
      <c r="B162" s="617" t="s">
        <v>105</v>
      </c>
      <c r="C162" s="470">
        <v>870</v>
      </c>
      <c r="D162"/>
      <c r="E162"/>
      <c r="F162" s="617"/>
      <c r="G162" s="617"/>
      <c r="H162"/>
      <c r="I162"/>
      <c r="J162" s="617"/>
      <c r="K162" s="638"/>
      <c r="L162"/>
      <c r="M162"/>
      <c r="N162"/>
      <c r="O162"/>
    </row>
    <row r="163" spans="1:15">
      <c r="A163"/>
      <c r="B163" s="617" t="s">
        <v>103</v>
      </c>
      <c r="C163" s="470">
        <v>0.2</v>
      </c>
      <c r="D163"/>
      <c r="E163"/>
      <c r="F163" s="617" t="s">
        <v>96</v>
      </c>
      <c r="G163" s="617"/>
      <c r="H163"/>
      <c r="I163"/>
      <c r="J163" s="618" t="s">
        <v>106</v>
      </c>
      <c r="K163" s="619">
        <v>650</v>
      </c>
      <c r="L163"/>
      <c r="M163"/>
      <c r="N163" s="627" t="s">
        <v>107</v>
      </c>
      <c r="O163" s="617"/>
    </row>
    <row r="164" spans="1:15">
      <c r="A164"/>
      <c r="B164" s="617"/>
      <c r="C164" s="470"/>
      <c r="D164"/>
      <c r="E164"/>
      <c r="F164" s="617" t="s">
        <v>99</v>
      </c>
      <c r="G164" s="628">
        <v>1500</v>
      </c>
      <c r="H164"/>
      <c r="I164"/>
      <c r="J164" s="618" t="s">
        <v>108</v>
      </c>
      <c r="K164" s="619">
        <f>ROUND(261.93*1.06^6,-1)</f>
        <v>370</v>
      </c>
      <c r="L164"/>
      <c r="M164"/>
      <c r="N164" s="637" t="s">
        <v>109</v>
      </c>
      <c r="O164" s="639">
        <f>ROUND(212.96*1.06^6,-1)</f>
        <v>300</v>
      </c>
    </row>
    <row r="165" spans="1:15">
      <c r="A165"/>
      <c r="B165" s="617" t="s">
        <v>110</v>
      </c>
      <c r="C165" s="470">
        <v>1195</v>
      </c>
      <c r="D165"/>
      <c r="E165"/>
      <c r="F165" s="617" t="s">
        <v>102</v>
      </c>
      <c r="G165" s="628">
        <v>12320</v>
      </c>
      <c r="H165"/>
      <c r="I165"/>
      <c r="J165" s="618" t="s">
        <v>111</v>
      </c>
      <c r="K165" s="619">
        <v>3000</v>
      </c>
      <c r="L165"/>
      <c r="M165"/>
      <c r="N165" s="637" t="s">
        <v>112</v>
      </c>
      <c r="O165" s="639">
        <f>ROUND(283.94*1.06^6,-1)</f>
        <v>400</v>
      </c>
    </row>
    <row r="166" spans="1:15">
      <c r="A166"/>
      <c r="B166" s="617" t="s">
        <v>111</v>
      </c>
      <c r="C166" s="470">
        <v>3000</v>
      </c>
      <c r="D166"/>
      <c r="E166"/>
      <c r="F166" s="617" t="s">
        <v>104</v>
      </c>
      <c r="G166" s="628">
        <v>18000</v>
      </c>
      <c r="H166"/>
      <c r="I166"/>
      <c r="J166" s="618" t="s">
        <v>113</v>
      </c>
      <c r="K166" s="619">
        <v>2500</v>
      </c>
      <c r="L166"/>
      <c r="M166"/>
      <c r="N166"/>
      <c r="O166" s="351"/>
    </row>
    <row r="167" spans="1:15">
      <c r="A167"/>
      <c r="B167" s="617" t="s">
        <v>113</v>
      </c>
      <c r="C167" s="470">
        <v>2500</v>
      </c>
      <c r="D167"/>
      <c r="E167"/>
      <c r="F167" s="617"/>
      <c r="G167" s="617"/>
      <c r="H167"/>
      <c r="I167"/>
      <c r="J167" s="618" t="s">
        <v>114</v>
      </c>
      <c r="K167" s="619">
        <v>850</v>
      </c>
      <c r="L167"/>
      <c r="M167"/>
      <c r="N167" s="627" t="s">
        <v>115</v>
      </c>
      <c r="O167" s="640"/>
    </row>
    <row r="168" spans="1:15">
      <c r="A168"/>
      <c r="B168" s="617" t="s">
        <v>114</v>
      </c>
      <c r="C168" s="470">
        <v>850</v>
      </c>
      <c r="D168"/>
      <c r="E168"/>
      <c r="F168" s="617" t="s">
        <v>116</v>
      </c>
      <c r="G168" s="617"/>
      <c r="H168"/>
      <c r="I168"/>
      <c r="J168" s="618" t="s">
        <v>117</v>
      </c>
      <c r="K168" s="619">
        <v>500</v>
      </c>
      <c r="L168"/>
      <c r="M168"/>
      <c r="N168" s="617" t="s">
        <v>118</v>
      </c>
      <c r="O168" s="639">
        <f>ROUND(59.77*1.06^6,-1)</f>
        <v>80</v>
      </c>
    </row>
    <row r="169" spans="1:15">
      <c r="A169"/>
      <c r="B169" s="617" t="s">
        <v>117</v>
      </c>
      <c r="C169" s="470">
        <v>500</v>
      </c>
      <c r="D169"/>
      <c r="E169"/>
      <c r="F169" s="617" t="s">
        <v>119</v>
      </c>
      <c r="G169" s="628">
        <v>170</v>
      </c>
      <c r="H169"/>
      <c r="I169"/>
      <c r="J169" s="466" t="s">
        <v>120</v>
      </c>
      <c r="K169" s="619">
        <v>2000</v>
      </c>
      <c r="L169"/>
      <c r="M169"/>
      <c r="N169" s="617" t="s">
        <v>121</v>
      </c>
      <c r="O169" s="639">
        <f>ROUND(131.48*1.06^6,-1)</f>
        <v>190</v>
      </c>
    </row>
    <row r="170" spans="1:15">
      <c r="A170"/>
      <c r="B170" s="617" t="s">
        <v>120</v>
      </c>
      <c r="C170" s="470">
        <v>1500</v>
      </c>
      <c r="D170"/>
      <c r="E170"/>
      <c r="F170" s="617" t="s">
        <v>122</v>
      </c>
      <c r="G170" s="628">
        <v>200</v>
      </c>
      <c r="H170"/>
      <c r="I170"/>
      <c r="J170" s="1665" t="s">
        <v>123</v>
      </c>
      <c r="K170" s="619">
        <v>1500</v>
      </c>
      <c r="L170"/>
      <c r="M170"/>
      <c r="N170" s="617" t="s">
        <v>124</v>
      </c>
      <c r="O170" s="639">
        <f>ROUND(215.17*1.06^6,-1)</f>
        <v>310</v>
      </c>
    </row>
    <row r="171" spans="1:15">
      <c r="A171"/>
      <c r="B171" s="617" t="s">
        <v>123</v>
      </c>
      <c r="C171" s="470">
        <v>1000</v>
      </c>
      <c r="D171"/>
      <c r="E171"/>
      <c r="F171" s="617" t="s">
        <v>125</v>
      </c>
      <c r="G171" s="628">
        <v>250</v>
      </c>
      <c r="H171"/>
      <c r="I171"/>
      <c r="J171" s="617"/>
      <c r="K171" s="622"/>
      <c r="L171"/>
      <c r="M171"/>
      <c r="N171"/>
      <c r="O171" s="351"/>
    </row>
    <row r="172" spans="1:15">
      <c r="A172"/>
      <c r="B172" s="617"/>
      <c r="C172" s="470"/>
      <c r="D172"/>
      <c r="E172"/>
      <c r="F172"/>
      <c r="G172"/>
      <c r="H172"/>
      <c r="I172"/>
      <c r="J172" s="1665" t="s">
        <v>126</v>
      </c>
      <c r="K172" s="619">
        <f>1800+350+220</f>
        <v>2370</v>
      </c>
      <c r="L172"/>
      <c r="M172"/>
      <c r="N172" s="641" t="s">
        <v>127</v>
      </c>
      <c r="O172" s="640"/>
    </row>
    <row r="173" spans="1:15">
      <c r="A173"/>
      <c r="B173" s="617" t="s">
        <v>128</v>
      </c>
      <c r="C173" s="470">
        <v>2000</v>
      </c>
      <c r="D173"/>
      <c r="E173"/>
      <c r="F173"/>
      <c r="G173"/>
      <c r="H173"/>
      <c r="I173"/>
      <c r="J173" s="1665" t="s">
        <v>129</v>
      </c>
      <c r="K173" s="619">
        <v>20000</v>
      </c>
      <c r="L173"/>
      <c r="M173"/>
      <c r="N173" s="617" t="s">
        <v>130</v>
      </c>
      <c r="O173" s="639">
        <f>ROUND(86.08*1.06^6,-1)</f>
        <v>120</v>
      </c>
    </row>
    <row r="174" spans="1:15">
      <c r="A174"/>
      <c r="B174" s="617" t="s">
        <v>129</v>
      </c>
      <c r="C174" s="470">
        <v>17500</v>
      </c>
      <c r="D174"/>
      <c r="E174"/>
      <c r="F174"/>
      <c r="G174"/>
      <c r="H174"/>
      <c r="I174"/>
      <c r="J174"/>
      <c r="K174" s="352"/>
      <c r="L174"/>
      <c r="M174"/>
      <c r="N174" s="617" t="s">
        <v>131</v>
      </c>
      <c r="O174" s="639">
        <f>ROUND(225.32*1.06^6,-1)</f>
        <v>320</v>
      </c>
    </row>
    <row r="175" spans="1:15">
      <c r="A175"/>
      <c r="B175" s="617" t="s">
        <v>132</v>
      </c>
      <c r="C175" s="470">
        <v>830</v>
      </c>
      <c r="D175"/>
      <c r="E175"/>
      <c r="F175"/>
      <c r="G175"/>
      <c r="H175"/>
      <c r="I175"/>
      <c r="J175" s="627" t="s">
        <v>133</v>
      </c>
      <c r="K175" s="638"/>
      <c r="L175"/>
      <c r="M175"/>
      <c r="N175" s="617" t="s">
        <v>134</v>
      </c>
      <c r="O175" s="642">
        <v>380</v>
      </c>
    </row>
    <row r="176" spans="1:15">
      <c r="A176"/>
      <c r="B176" s="617" t="s">
        <v>135</v>
      </c>
      <c r="C176" s="470">
        <v>130</v>
      </c>
      <c r="D176"/>
      <c r="E176"/>
      <c r="F176"/>
      <c r="G176"/>
      <c r="H176"/>
      <c r="I176"/>
      <c r="J176" s="611" t="s">
        <v>136</v>
      </c>
      <c r="K176" s="619">
        <f>ROUND(5096.65*1.06^6,-1)</f>
        <v>7230</v>
      </c>
      <c r="L176"/>
      <c r="M176"/>
      <c r="N176"/>
      <c r="O176"/>
    </row>
    <row r="177" spans="1:15">
      <c r="A177"/>
      <c r="B177" s="617" t="s">
        <v>137</v>
      </c>
      <c r="C177" s="470">
        <v>120</v>
      </c>
      <c r="D177"/>
      <c r="E177"/>
      <c r="F177"/>
      <c r="G177"/>
      <c r="H177"/>
      <c r="I177"/>
      <c r="J177" s="617" t="s">
        <v>138</v>
      </c>
      <c r="K177" s="619">
        <f>ROUND(5.1*(1.06^6),-1)</f>
        <v>10</v>
      </c>
      <c r="L177"/>
      <c r="M177"/>
      <c r="N177" s="641" t="s">
        <v>139</v>
      </c>
      <c r="O177" s="640"/>
    </row>
    <row r="178" spans="1:15">
      <c r="A178"/>
      <c r="B178" s="617" t="s">
        <v>140</v>
      </c>
      <c r="C178" s="470">
        <v>23</v>
      </c>
      <c r="D178"/>
      <c r="E178"/>
      <c r="F178"/>
      <c r="G178"/>
      <c r="H178"/>
      <c r="I178"/>
      <c r="J178"/>
      <c r="K178" s="353"/>
      <c r="L178"/>
      <c r="M178"/>
      <c r="N178" s="641" t="s">
        <v>141</v>
      </c>
      <c r="O178" s="640"/>
    </row>
    <row r="179" spans="1:15">
      <c r="A179"/>
      <c r="B179" s="617"/>
      <c r="C179" s="470"/>
      <c r="D179"/>
      <c r="E179"/>
      <c r="F179"/>
      <c r="G179"/>
      <c r="H179"/>
      <c r="I179"/>
      <c r="J179" s="627" t="s">
        <v>142</v>
      </c>
      <c r="K179" s="622"/>
      <c r="L179"/>
      <c r="M179"/>
      <c r="N179" s="617" t="s">
        <v>143</v>
      </c>
      <c r="O179" s="639">
        <f>ROUND(50*1.06^2,-1)</f>
        <v>60</v>
      </c>
    </row>
    <row r="180" spans="1:15">
      <c r="A180"/>
      <c r="B180" s="617" t="s">
        <v>144</v>
      </c>
      <c r="C180" s="470">
        <v>5000</v>
      </c>
      <c r="D180"/>
      <c r="E180"/>
      <c r="F180"/>
      <c r="G180"/>
      <c r="H180"/>
      <c r="I180"/>
      <c r="J180" s="617" t="s">
        <v>145</v>
      </c>
      <c r="K180" s="619">
        <f>ROUND(44.26*(1.06^6),-1)</f>
        <v>60</v>
      </c>
      <c r="L180"/>
      <c r="M180"/>
      <c r="N180" s="617" t="s">
        <v>146</v>
      </c>
      <c r="O180" s="639">
        <f>ROUND(150*1.06^2,-1)</f>
        <v>170</v>
      </c>
    </row>
    <row r="181" spans="1:15">
      <c r="A181"/>
      <c r="B181" s="617" t="s">
        <v>147</v>
      </c>
      <c r="C181" s="470">
        <v>4500</v>
      </c>
      <c r="D181"/>
      <c r="E181"/>
      <c r="F181"/>
      <c r="G181"/>
      <c r="H181"/>
      <c r="I181"/>
      <c r="J181" s="617" t="s">
        <v>148</v>
      </c>
      <c r="K181" s="619">
        <f>ROUND(265.56*(1.06^6),-1)</f>
        <v>380</v>
      </c>
      <c r="L181"/>
      <c r="M181"/>
      <c r="N181" s="641" t="s">
        <v>149</v>
      </c>
      <c r="O181" s="640"/>
    </row>
    <row r="182" spans="1:15">
      <c r="A182"/>
      <c r="B182" s="617" t="s">
        <v>150</v>
      </c>
      <c r="C182" s="470">
        <v>3500</v>
      </c>
      <c r="D182"/>
      <c r="E182"/>
      <c r="F182"/>
      <c r="G182"/>
      <c r="H182"/>
      <c r="I182"/>
      <c r="J182"/>
      <c r="K182" s="353"/>
      <c r="L182"/>
      <c r="M182"/>
      <c r="N182" s="617" t="s">
        <v>143</v>
      </c>
      <c r="O182" s="639">
        <f>ROUND(50*1.06^2,-1)</f>
        <v>60</v>
      </c>
    </row>
    <row r="183" spans="1:15">
      <c r="A183"/>
      <c r="B183" s="617" t="s">
        <v>151</v>
      </c>
      <c r="C183" s="470">
        <v>2000</v>
      </c>
      <c r="D183"/>
      <c r="E183"/>
      <c r="F183"/>
      <c r="G183"/>
      <c r="H183"/>
      <c r="I183"/>
      <c r="J183" s="627" t="s">
        <v>152</v>
      </c>
      <c r="K183" s="622"/>
      <c r="L183"/>
      <c r="M183"/>
      <c r="N183" s="617" t="s">
        <v>146</v>
      </c>
      <c r="O183" s="639">
        <f>ROUND(150*1.06^2,-1)</f>
        <v>170</v>
      </c>
    </row>
    <row r="184" spans="1:15">
      <c r="A184"/>
      <c r="B184" s="617" t="s">
        <v>154</v>
      </c>
      <c r="C184" s="470">
        <v>10000</v>
      </c>
      <c r="D184"/>
      <c r="E184"/>
      <c r="F184"/>
      <c r="G184"/>
      <c r="H184"/>
      <c r="I184"/>
      <c r="J184" s="617" t="s">
        <v>155</v>
      </c>
      <c r="K184" s="619">
        <f>ROUND((878)/(2.4*6),-1)</f>
        <v>60</v>
      </c>
      <c r="L184"/>
      <c r="M184"/>
      <c r="N184"/>
      <c r="O184"/>
    </row>
    <row r="185" spans="1:15">
      <c r="A185"/>
      <c r="B185" s="617" t="s">
        <v>157</v>
      </c>
      <c r="C185" s="470">
        <v>200</v>
      </c>
      <c r="D185"/>
      <c r="E185"/>
      <c r="F185"/>
      <c r="G185"/>
      <c r="H185"/>
      <c r="I185"/>
      <c r="J185" s="617" t="s">
        <v>158</v>
      </c>
      <c r="K185" s="619">
        <f>ROUND((468)/(2.4*6),)</f>
        <v>33</v>
      </c>
      <c r="L185"/>
      <c r="M185"/>
      <c r="N185" s="641" t="s">
        <v>162</v>
      </c>
      <c r="O185" s="617"/>
    </row>
    <row r="186" spans="1:15">
      <c r="A186"/>
      <c r="B186" s="617"/>
      <c r="C186" s="470"/>
      <c r="D186"/>
      <c r="E186"/>
      <c r="F186"/>
      <c r="G186"/>
      <c r="H186"/>
      <c r="I186"/>
      <c r="J186"/>
      <c r="K186" s="352"/>
      <c r="L186"/>
      <c r="M186"/>
      <c r="N186" s="617" t="s">
        <v>164</v>
      </c>
      <c r="O186" s="639">
        <f>ROUND(265.58*1.06^2,-1)</f>
        <v>300</v>
      </c>
    </row>
    <row r="187" spans="1:15">
      <c r="A187"/>
      <c r="B187" s="617" t="s">
        <v>161</v>
      </c>
      <c r="C187" s="470"/>
      <c r="D187"/>
      <c r="E187"/>
      <c r="F187"/>
      <c r="G187"/>
      <c r="H187"/>
      <c r="I187"/>
      <c r="J187" s="627" t="s">
        <v>139</v>
      </c>
      <c r="K187" s="619">
        <f>ROUND(70.25*1.06^6,-1)</f>
        <v>100</v>
      </c>
      <c r="L187"/>
      <c r="M187"/>
      <c r="N187"/>
      <c r="O187"/>
    </row>
    <row r="188" spans="1:15" ht="27">
      <c r="A188"/>
      <c r="B188" s="617" t="s">
        <v>163</v>
      </c>
      <c r="C188" s="470">
        <v>1000</v>
      </c>
      <c r="D188"/>
      <c r="E188"/>
      <c r="F188"/>
      <c r="G188"/>
      <c r="H188"/>
      <c r="I188"/>
      <c r="J188"/>
      <c r="K188" s="353"/>
      <c r="L188"/>
      <c r="M188"/>
      <c r="N188" s="1666" t="s">
        <v>168</v>
      </c>
      <c r="O188" s="619">
        <f>ROUND(893.45*2,)</f>
        <v>1787</v>
      </c>
    </row>
    <row r="189" spans="1:15">
      <c r="A189"/>
      <c r="B189" s="617" t="s">
        <v>165</v>
      </c>
      <c r="C189" s="470">
        <v>1375</v>
      </c>
      <c r="D189"/>
      <c r="E189"/>
      <c r="F189"/>
      <c r="G189"/>
      <c r="H189"/>
      <c r="I189"/>
      <c r="J189" s="627" t="s">
        <v>166</v>
      </c>
      <c r="K189" s="619">
        <f>ROUND(9.13*1.06^6,)</f>
        <v>13</v>
      </c>
      <c r="L189"/>
      <c r="M189"/>
      <c r="N189" t="s">
        <v>171</v>
      </c>
      <c r="O189" s="619">
        <v>825</v>
      </c>
    </row>
    <row r="190" spans="1:15">
      <c r="A190"/>
      <c r="B190" s="617" t="s">
        <v>167</v>
      </c>
      <c r="C190" s="470">
        <v>120</v>
      </c>
      <c r="D190"/>
      <c r="E190"/>
      <c r="F190"/>
      <c r="G190"/>
      <c r="H190"/>
      <c r="I190"/>
      <c r="J190"/>
      <c r="K190" s="351"/>
      <c r="L190"/>
      <c r="M190"/>
      <c r="N190" t="s">
        <v>174</v>
      </c>
      <c r="O190" s="619">
        <v>397</v>
      </c>
    </row>
    <row r="191" spans="1:15">
      <c r="A191"/>
      <c r="B191" s="617" t="s">
        <v>169</v>
      </c>
      <c r="C191" s="470">
        <v>250</v>
      </c>
      <c r="D191"/>
      <c r="E191"/>
      <c r="F191"/>
      <c r="G191"/>
      <c r="H191"/>
      <c r="I191"/>
      <c r="J191" s="627" t="s">
        <v>170</v>
      </c>
      <c r="K191" s="622"/>
      <c r="L191"/>
      <c r="M191"/>
      <c r="N191" s="1659" t="s">
        <v>177</v>
      </c>
      <c r="O191" s="619">
        <f>ROUND((2600+2300)*1.06^2,)</f>
        <v>5506</v>
      </c>
    </row>
    <row r="192" spans="1:15">
      <c r="A192"/>
      <c r="B192" s="617" t="s">
        <v>172</v>
      </c>
      <c r="C192" s="470">
        <v>450</v>
      </c>
      <c r="D192"/>
      <c r="E192"/>
      <c r="F192"/>
      <c r="G192"/>
      <c r="H192"/>
      <c r="I192"/>
      <c r="J192" s="617" t="s">
        <v>173</v>
      </c>
      <c r="K192" s="619">
        <f>ROUND(23.14*1.06^6,)</f>
        <v>33</v>
      </c>
      <c r="L192"/>
      <c r="M192"/>
      <c r="N192" t="s">
        <v>180</v>
      </c>
      <c r="O192" s="619">
        <f>ROUND(11756*1.06^6,)</f>
        <v>16676</v>
      </c>
    </row>
    <row r="193" spans="1:15">
      <c r="A193"/>
      <c r="B193" s="617" t="s">
        <v>175</v>
      </c>
      <c r="C193" s="470">
        <v>1200</v>
      </c>
      <c r="D193"/>
      <c r="E193"/>
      <c r="F193"/>
      <c r="G193"/>
      <c r="H193"/>
      <c r="I193"/>
      <c r="J193" s="617" t="s">
        <v>176</v>
      </c>
      <c r="K193" s="619">
        <f>ROUND(24*1.06^6,)</f>
        <v>34</v>
      </c>
      <c r="L193"/>
      <c r="M193"/>
      <c r="N193"/>
      <c r="O193"/>
    </row>
    <row r="194" spans="1:15">
      <c r="A194"/>
      <c r="B194" s="617" t="s">
        <v>178</v>
      </c>
      <c r="C194" s="470">
        <v>1200</v>
      </c>
      <c r="D194"/>
      <c r="E194"/>
      <c r="F194"/>
      <c r="G194"/>
      <c r="H194"/>
      <c r="I194"/>
      <c r="J194" s="617" t="s">
        <v>179</v>
      </c>
      <c r="K194" s="619">
        <f>ROUND(1355*1.06^6,)</f>
        <v>1922</v>
      </c>
      <c r="L194"/>
      <c r="M194"/>
      <c r="N194" s="349" t="s">
        <v>185</v>
      </c>
      <c r="O194"/>
    </row>
    <row r="195" spans="1:15">
      <c r="A195"/>
      <c r="B195" s="617"/>
      <c r="C195" s="470"/>
      <c r="D195"/>
      <c r="E195"/>
      <c r="F195"/>
      <c r="G195"/>
      <c r="H195"/>
      <c r="I195"/>
      <c r="J195" s="617" t="s">
        <v>182</v>
      </c>
      <c r="K195" s="619">
        <f>ROUND(126.32*1.06^6,)</f>
        <v>179</v>
      </c>
      <c r="L195"/>
      <c r="M195"/>
      <c r="N195" s="617" t="s">
        <v>188</v>
      </c>
      <c r="O195" s="612">
        <v>238</v>
      </c>
    </row>
    <row r="196" spans="1:15">
      <c r="A196"/>
      <c r="B196" s="617"/>
      <c r="C196" s="470"/>
      <c r="D196"/>
      <c r="E196"/>
      <c r="F196"/>
      <c r="G196"/>
      <c r="H196"/>
      <c r="I196"/>
      <c r="J196" s="617" t="s">
        <v>184</v>
      </c>
      <c r="K196" s="619">
        <f>ROUND(66.81*1.06^6,)</f>
        <v>95</v>
      </c>
      <c r="L196"/>
      <c r="M196"/>
      <c r="N196" s="617" t="s">
        <v>190</v>
      </c>
      <c r="O196" s="612">
        <v>251</v>
      </c>
    </row>
    <row r="197" spans="1:15">
      <c r="A197"/>
      <c r="B197" s="617" t="s">
        <v>186</v>
      </c>
      <c r="C197" s="470">
        <v>15000</v>
      </c>
      <c r="D197"/>
      <c r="E197"/>
      <c r="F197"/>
      <c r="G197"/>
      <c r="H197"/>
      <c r="I197"/>
      <c r="J197" s="617" t="s">
        <v>187</v>
      </c>
      <c r="K197" s="619">
        <f>ROUND(7.66*1.06^6,)</f>
        <v>11</v>
      </c>
      <c r="L197"/>
      <c r="M197"/>
      <c r="N197" s="617" t="s">
        <v>192</v>
      </c>
      <c r="O197" s="612">
        <v>940</v>
      </c>
    </row>
    <row r="198" spans="1:15">
      <c r="A198"/>
      <c r="B198" s="617" t="s">
        <v>189</v>
      </c>
      <c r="C198" s="470">
        <v>9500</v>
      </c>
      <c r="D198"/>
      <c r="E198"/>
      <c r="F198"/>
      <c r="G198"/>
      <c r="H198"/>
      <c r="I198"/>
      <c r="J198"/>
      <c r="K198"/>
      <c r="L198"/>
      <c r="M198"/>
      <c r="N198" s="617" t="s">
        <v>195</v>
      </c>
      <c r="O198" s="612">
        <v>534</v>
      </c>
    </row>
    <row r="199" spans="1:15">
      <c r="A199"/>
      <c r="B199" s="617"/>
      <c r="C199" s="470"/>
      <c r="D199"/>
      <c r="E199"/>
      <c r="F199"/>
      <c r="G199"/>
      <c r="H199"/>
      <c r="I199"/>
      <c r="J199" s="617" t="s">
        <v>191</v>
      </c>
      <c r="K199" s="619">
        <v>125</v>
      </c>
      <c r="L199"/>
      <c r="M199"/>
      <c r="N199"/>
      <c r="O199"/>
    </row>
    <row r="200" spans="1:15">
      <c r="A200"/>
      <c r="B200" s="617" t="s">
        <v>193</v>
      </c>
      <c r="C200" s="470">
        <v>600</v>
      </c>
      <c r="D200"/>
      <c r="E200"/>
      <c r="F200"/>
      <c r="G200"/>
      <c r="H200"/>
      <c r="I200"/>
      <c r="J200" s="617" t="s">
        <v>194</v>
      </c>
      <c r="K200" s="619">
        <v>125</v>
      </c>
      <c r="L200"/>
      <c r="M200"/>
      <c r="N200"/>
      <c r="O200"/>
    </row>
    <row r="202" spans="1:15">
      <c r="J202" s="323" t="s">
        <v>214</v>
      </c>
    </row>
    <row r="203" spans="1:15">
      <c r="J203" s="1656" t="s">
        <v>215</v>
      </c>
      <c r="K203" s="1655">
        <f>_xlfn.CEILING.MATH(2695.065,5)</f>
        <v>2700</v>
      </c>
    </row>
  </sheetData>
  <mergeCells count="16">
    <mergeCell ref="N33:O33"/>
    <mergeCell ref="J2:K2"/>
    <mergeCell ref="N2:O2"/>
    <mergeCell ref="J3:K3"/>
    <mergeCell ref="N18:O18"/>
    <mergeCell ref="N29:O29"/>
    <mergeCell ref="N39:O39"/>
    <mergeCell ref="N43:O43"/>
    <mergeCell ref="N143:O143"/>
    <mergeCell ref="N132:O132"/>
    <mergeCell ref="N116:O116"/>
    <mergeCell ref="J116:K116"/>
    <mergeCell ref="J117:K117"/>
    <mergeCell ref="N147:O147"/>
    <mergeCell ref="N153:O153"/>
    <mergeCell ref="N157:O157"/>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G129"/>
  <sheetViews>
    <sheetView workbookViewId="0">
      <selection sqref="A1:G1"/>
    </sheetView>
  </sheetViews>
  <sheetFormatPr defaultColWidth="6.109375" defaultRowHeight="13.2"/>
  <cols>
    <col min="1" max="1" width="6.5546875" style="147" bestFit="1" customWidth="1"/>
    <col min="2" max="2" width="10" style="147" customWidth="1"/>
    <col min="3" max="3" width="56.88671875" style="10" customWidth="1"/>
    <col min="4" max="4" width="5.44140625" style="10" customWidth="1"/>
    <col min="5" max="5" width="8.88671875" style="27" customWidth="1"/>
    <col min="6" max="6" width="12.88671875" style="10" customWidth="1"/>
    <col min="7" max="7" width="19.88671875" style="10" customWidth="1"/>
    <col min="8" max="16384" width="6.109375" style="10"/>
  </cols>
  <sheetData>
    <row r="1" spans="1:7">
      <c r="A1" s="3013" t="s">
        <v>1027</v>
      </c>
      <c r="B1" s="3013"/>
      <c r="C1" s="3013"/>
      <c r="D1" s="3013"/>
      <c r="E1" s="3013"/>
      <c r="F1" s="3013"/>
      <c r="G1" s="3013"/>
    </row>
    <row r="2" spans="1:7" s="29" customFormat="1">
      <c r="A2" s="2230" t="s">
        <v>1028</v>
      </c>
      <c r="B2" s="2014" t="s">
        <v>1029</v>
      </c>
      <c r="C2" s="1756" t="s">
        <v>219</v>
      </c>
      <c r="D2" s="1756" t="s">
        <v>220</v>
      </c>
      <c r="E2" s="2231" t="s">
        <v>221</v>
      </c>
      <c r="F2" s="2232" t="s">
        <v>222</v>
      </c>
      <c r="G2" s="2233" t="s">
        <v>223</v>
      </c>
    </row>
    <row r="3" spans="1:7" s="29" customFormat="1">
      <c r="A3" s="2234" t="s">
        <v>1030</v>
      </c>
      <c r="B3" s="2235" t="s">
        <v>1031</v>
      </c>
      <c r="C3" s="19"/>
      <c r="D3" s="20"/>
      <c r="E3" s="28"/>
      <c r="F3" s="21"/>
      <c r="G3" s="22"/>
    </row>
    <row r="4" spans="1:7">
      <c r="A4" s="1687"/>
      <c r="B4" s="1687"/>
      <c r="C4" s="1668"/>
      <c r="D4" s="2236"/>
      <c r="E4" s="2237"/>
      <c r="F4" s="2238"/>
      <c r="G4" s="2239"/>
    </row>
    <row r="5" spans="1:7">
      <c r="A5" s="1271"/>
      <c r="B5" s="1575" t="s">
        <v>1032</v>
      </c>
      <c r="C5" s="2240" t="s">
        <v>1033</v>
      </c>
      <c r="D5" s="882"/>
      <c r="E5" s="1577"/>
      <c r="F5" s="2238"/>
      <c r="G5" s="2239"/>
    </row>
    <row r="6" spans="1:7">
      <c r="A6" s="1271"/>
      <c r="B6" s="1575"/>
      <c r="C6" s="2240"/>
      <c r="D6" s="882"/>
      <c r="E6" s="1577"/>
      <c r="F6" s="2238"/>
      <c r="G6" s="2239"/>
    </row>
    <row r="7" spans="1:7" ht="26.4">
      <c r="A7" s="1271"/>
      <c r="B7" s="1575"/>
      <c r="C7" s="2241" t="s">
        <v>1034</v>
      </c>
      <c r="D7" s="882"/>
      <c r="E7" s="1577"/>
      <c r="F7" s="2238"/>
      <c r="G7" s="2239"/>
    </row>
    <row r="8" spans="1:7">
      <c r="A8" s="1271"/>
      <c r="B8" s="1575"/>
      <c r="C8" s="2240"/>
      <c r="D8" s="882"/>
      <c r="E8" s="1577"/>
      <c r="F8" s="2238"/>
      <c r="G8" s="2239"/>
    </row>
    <row r="9" spans="1:7">
      <c r="A9" s="1271"/>
      <c r="B9" s="1575"/>
      <c r="C9" s="1580" t="s">
        <v>1035</v>
      </c>
      <c r="D9" s="882" t="s">
        <v>273</v>
      </c>
      <c r="E9" s="1577">
        <v>2</v>
      </c>
      <c r="F9" s="2238"/>
      <c r="G9" s="2239"/>
    </row>
    <row r="10" spans="1:7">
      <c r="A10" s="1271"/>
      <c r="B10" s="1575"/>
      <c r="C10" s="1580"/>
      <c r="D10" s="882"/>
      <c r="E10" s="1577"/>
      <c r="F10" s="2238"/>
      <c r="G10" s="2239"/>
    </row>
    <row r="11" spans="1:7">
      <c r="A11" s="1271"/>
      <c r="B11" s="1575"/>
      <c r="C11" s="1580" t="s">
        <v>1036</v>
      </c>
      <c r="D11" s="882" t="s">
        <v>954</v>
      </c>
      <c r="E11" s="1577">
        <v>4</v>
      </c>
      <c r="F11" s="2238"/>
      <c r="G11" s="2239"/>
    </row>
    <row r="12" spans="1:7">
      <c r="A12" s="1271"/>
      <c r="B12" s="1575"/>
      <c r="C12" s="1580"/>
      <c r="D12" s="882"/>
      <c r="E12" s="1577"/>
      <c r="F12" s="2238"/>
      <c r="G12" s="2239"/>
    </row>
    <row r="13" spans="1:7">
      <c r="A13" s="1271"/>
      <c r="B13" s="1575"/>
      <c r="C13" s="1580" t="s">
        <v>1037</v>
      </c>
      <c r="D13" s="882" t="s">
        <v>954</v>
      </c>
      <c r="E13" s="1577"/>
      <c r="F13" s="2238"/>
      <c r="G13" s="2239"/>
    </row>
    <row r="14" spans="1:7">
      <c r="A14" s="1271"/>
      <c r="B14" s="1575"/>
      <c r="C14" s="1580"/>
      <c r="D14" s="882"/>
      <c r="E14" s="1577"/>
      <c r="F14" s="2238"/>
      <c r="G14" s="2239"/>
    </row>
    <row r="15" spans="1:7">
      <c r="A15" s="1271"/>
      <c r="B15" s="1575"/>
      <c r="C15" s="1580" t="s">
        <v>1038</v>
      </c>
      <c r="D15" s="882" t="s">
        <v>954</v>
      </c>
      <c r="E15" s="1577"/>
      <c r="F15" s="2238"/>
      <c r="G15" s="2239"/>
    </row>
    <row r="16" spans="1:7">
      <c r="A16" s="1271"/>
      <c r="B16" s="1575"/>
      <c r="C16" s="1580"/>
      <c r="D16" s="882"/>
      <c r="E16" s="1577"/>
      <c r="F16" s="2238"/>
      <c r="G16" s="2239"/>
    </row>
    <row r="17" spans="1:7">
      <c r="A17" s="1271"/>
      <c r="B17" s="1575"/>
      <c r="C17" s="2241" t="s">
        <v>1039</v>
      </c>
      <c r="D17" s="882"/>
      <c r="E17" s="1577"/>
      <c r="F17" s="2238"/>
      <c r="G17" s="2239"/>
    </row>
    <row r="18" spans="1:7">
      <c r="A18" s="1271"/>
      <c r="B18" s="1575"/>
      <c r="C18" s="1580"/>
      <c r="D18" s="882"/>
      <c r="E18" s="1577"/>
      <c r="F18" s="2238"/>
      <c r="G18" s="2239"/>
    </row>
    <row r="19" spans="1:7">
      <c r="A19" s="1271"/>
      <c r="B19" s="1575"/>
      <c r="C19" s="1580" t="s">
        <v>1035</v>
      </c>
      <c r="D19" s="882" t="s">
        <v>273</v>
      </c>
      <c r="E19" s="1577">
        <v>2</v>
      </c>
      <c r="F19" s="2238"/>
      <c r="G19" s="2239"/>
    </row>
    <row r="20" spans="1:7">
      <c r="A20" s="1271"/>
      <c r="B20" s="1575"/>
      <c r="C20" s="1580"/>
      <c r="D20" s="882"/>
      <c r="E20" s="1577"/>
      <c r="F20" s="2238"/>
      <c r="G20" s="2239"/>
    </row>
    <row r="21" spans="1:7">
      <c r="A21" s="1271"/>
      <c r="B21" s="1575"/>
      <c r="C21" s="1580" t="s">
        <v>1036</v>
      </c>
      <c r="D21" s="882" t="s">
        <v>954</v>
      </c>
      <c r="E21" s="1577">
        <v>4</v>
      </c>
      <c r="F21" s="2238"/>
      <c r="G21" s="2239"/>
    </row>
    <row r="22" spans="1:7">
      <c r="A22" s="1271"/>
      <c r="B22" s="1575"/>
      <c r="C22" s="1580"/>
      <c r="D22" s="882"/>
      <c r="E22" s="1577"/>
      <c r="F22" s="2238"/>
      <c r="G22" s="2239"/>
    </row>
    <row r="23" spans="1:7">
      <c r="A23" s="1271"/>
      <c r="B23" s="1575"/>
      <c r="C23" s="1580" t="s">
        <v>1037</v>
      </c>
      <c r="D23" s="882" t="s">
        <v>954</v>
      </c>
      <c r="E23" s="1577"/>
      <c r="F23" s="2238"/>
      <c r="G23" s="2239"/>
    </row>
    <row r="24" spans="1:7">
      <c r="A24" s="1271"/>
      <c r="B24" s="1575"/>
      <c r="C24" s="1580"/>
      <c r="D24" s="882"/>
      <c r="E24" s="1577"/>
      <c r="F24" s="2238"/>
      <c r="G24" s="2239"/>
    </row>
    <row r="25" spans="1:7">
      <c r="A25" s="1271"/>
      <c r="B25" s="1575"/>
      <c r="C25" s="1580" t="s">
        <v>1038</v>
      </c>
      <c r="D25" s="882" t="s">
        <v>954</v>
      </c>
      <c r="E25" s="1577"/>
      <c r="F25" s="2238"/>
      <c r="G25" s="2239"/>
    </row>
    <row r="26" spans="1:7">
      <c r="A26" s="1271"/>
      <c r="B26" s="1575"/>
      <c r="C26" s="1580"/>
      <c r="D26" s="882"/>
      <c r="E26" s="1577"/>
      <c r="F26" s="2238"/>
      <c r="G26" s="2239"/>
    </row>
    <row r="27" spans="1:7" ht="26.4">
      <c r="A27" s="1271"/>
      <c r="B27" s="1575"/>
      <c r="C27" s="2241" t="s">
        <v>1040</v>
      </c>
      <c r="D27" s="882"/>
      <c r="E27" s="1577"/>
      <c r="F27" s="2238"/>
      <c r="G27" s="2239"/>
    </row>
    <row r="28" spans="1:7">
      <c r="A28" s="1271"/>
      <c r="B28" s="1575"/>
      <c r="C28" s="1580"/>
      <c r="D28" s="882"/>
      <c r="E28" s="1577"/>
      <c r="F28" s="2238"/>
      <c r="G28" s="2239"/>
    </row>
    <row r="29" spans="1:7">
      <c r="A29" s="1271"/>
      <c r="B29" s="1575"/>
      <c r="C29" s="1580" t="s">
        <v>1035</v>
      </c>
      <c r="D29" s="882" t="s">
        <v>273</v>
      </c>
      <c r="E29" s="1577">
        <v>2</v>
      </c>
      <c r="F29" s="2238"/>
      <c r="G29" s="2239"/>
    </row>
    <row r="30" spans="1:7">
      <c r="A30" s="1271"/>
      <c r="B30" s="1575"/>
      <c r="C30" s="1580"/>
      <c r="D30" s="882"/>
      <c r="E30" s="1577"/>
      <c r="F30" s="2238"/>
      <c r="G30" s="2239"/>
    </row>
    <row r="31" spans="1:7">
      <c r="A31" s="1271"/>
      <c r="B31" s="1575"/>
      <c r="C31" s="1580" t="s">
        <v>1036</v>
      </c>
      <c r="D31" s="882" t="s">
        <v>954</v>
      </c>
      <c r="E31" s="1577">
        <v>4</v>
      </c>
      <c r="F31" s="2238"/>
      <c r="G31" s="2239"/>
    </row>
    <row r="32" spans="1:7">
      <c r="A32" s="1271"/>
      <c r="B32" s="1575"/>
      <c r="C32" s="1580"/>
      <c r="D32" s="882"/>
      <c r="E32" s="1577"/>
      <c r="F32" s="2238"/>
      <c r="G32" s="2239"/>
    </row>
    <row r="33" spans="1:7">
      <c r="A33" s="1271"/>
      <c r="B33" s="1575"/>
      <c r="C33" s="1580" t="s">
        <v>1037</v>
      </c>
      <c r="D33" s="882" t="s">
        <v>954</v>
      </c>
      <c r="E33" s="1577"/>
      <c r="F33" s="2238"/>
      <c r="G33" s="2239"/>
    </row>
    <row r="34" spans="1:7">
      <c r="A34" s="1271"/>
      <c r="B34" s="1575"/>
      <c r="C34" s="1580"/>
      <c r="D34" s="882"/>
      <c r="E34" s="1577"/>
      <c r="F34" s="2238"/>
      <c r="G34" s="2239"/>
    </row>
    <row r="35" spans="1:7">
      <c r="A35" s="1271"/>
      <c r="B35" s="1575"/>
      <c r="C35" s="1580" t="s">
        <v>1038</v>
      </c>
      <c r="D35" s="882" t="s">
        <v>954</v>
      </c>
      <c r="E35" s="1577"/>
      <c r="F35" s="2238"/>
      <c r="G35" s="2239"/>
    </row>
    <row r="36" spans="1:7">
      <c r="A36" s="1271"/>
      <c r="B36" s="1575"/>
      <c r="C36" s="1580"/>
      <c r="D36" s="882"/>
      <c r="E36" s="1577"/>
      <c r="F36" s="2238"/>
      <c r="G36" s="2239"/>
    </row>
    <row r="37" spans="1:7">
      <c r="A37" s="1271"/>
      <c r="B37" s="1575"/>
      <c r="C37" s="2241" t="s">
        <v>1041</v>
      </c>
      <c r="D37" s="882"/>
      <c r="E37" s="1577"/>
      <c r="F37" s="2238"/>
      <c r="G37" s="2239"/>
    </row>
    <row r="38" spans="1:7">
      <c r="A38" s="1271"/>
      <c r="B38" s="1575"/>
      <c r="C38" s="1580"/>
      <c r="D38" s="882"/>
      <c r="E38" s="1577"/>
      <c r="F38" s="2238"/>
      <c r="G38" s="2239"/>
    </row>
    <row r="39" spans="1:7">
      <c r="A39" s="1271"/>
      <c r="B39" s="1575"/>
      <c r="C39" s="1580" t="s">
        <v>1035</v>
      </c>
      <c r="D39" s="882" t="s">
        <v>273</v>
      </c>
      <c r="E39" s="1577">
        <v>2</v>
      </c>
      <c r="F39" s="2238"/>
      <c r="G39" s="2239"/>
    </row>
    <row r="40" spans="1:7">
      <c r="A40" s="1271"/>
      <c r="B40" s="1575"/>
      <c r="C40" s="1580"/>
      <c r="D40" s="882"/>
      <c r="E40" s="1577"/>
      <c r="F40" s="2238"/>
      <c r="G40" s="2239"/>
    </row>
    <row r="41" spans="1:7">
      <c r="A41" s="1271"/>
      <c r="B41" s="1575"/>
      <c r="C41" s="1580" t="s">
        <v>1036</v>
      </c>
      <c r="D41" s="882" t="s">
        <v>954</v>
      </c>
      <c r="E41" s="1577">
        <v>4</v>
      </c>
      <c r="F41" s="2238"/>
      <c r="G41" s="2239"/>
    </row>
    <row r="42" spans="1:7">
      <c r="A42" s="1271"/>
      <c r="B42" s="1575"/>
      <c r="C42" s="1580"/>
      <c r="D42" s="882"/>
      <c r="E42" s="1577"/>
      <c r="F42" s="2238"/>
      <c r="G42" s="2239"/>
    </row>
    <row r="43" spans="1:7">
      <c r="A43" s="1271"/>
      <c r="B43" s="1575"/>
      <c r="C43" s="1580" t="s">
        <v>1037</v>
      </c>
      <c r="D43" s="882" t="s">
        <v>954</v>
      </c>
      <c r="E43" s="1577"/>
      <c r="F43" s="2238"/>
      <c r="G43" s="2239"/>
    </row>
    <row r="44" spans="1:7">
      <c r="A44" s="1271"/>
      <c r="B44" s="1575"/>
      <c r="C44" s="1580"/>
      <c r="D44" s="882"/>
      <c r="E44" s="1577"/>
      <c r="F44" s="2238"/>
      <c r="G44" s="2239"/>
    </row>
    <row r="45" spans="1:7">
      <c r="A45" s="1271"/>
      <c r="B45" s="1575"/>
      <c r="C45" s="1580" t="s">
        <v>1038</v>
      </c>
      <c r="D45" s="882" t="s">
        <v>954</v>
      </c>
      <c r="E45" s="1577"/>
      <c r="F45" s="2238"/>
      <c r="G45" s="2239"/>
    </row>
    <row r="46" spans="1:7">
      <c r="A46" s="1271"/>
      <c r="B46" s="1575"/>
      <c r="C46" s="1580"/>
      <c r="D46" s="882"/>
      <c r="E46" s="1577"/>
      <c r="F46" s="2238"/>
      <c r="G46" s="2239"/>
    </row>
    <row r="47" spans="1:7" ht="26.4">
      <c r="A47" s="1271"/>
      <c r="B47" s="1575"/>
      <c r="C47" s="2241" t="s">
        <v>1042</v>
      </c>
      <c r="D47" s="882"/>
      <c r="E47" s="1577"/>
      <c r="F47" s="2238"/>
      <c r="G47" s="2239"/>
    </row>
    <row r="48" spans="1:7">
      <c r="A48" s="1271"/>
      <c r="B48" s="1575"/>
      <c r="C48" s="2240"/>
      <c r="D48" s="882"/>
      <c r="E48" s="1577"/>
      <c r="F48" s="2238"/>
      <c r="G48" s="2239"/>
    </row>
    <row r="49" spans="1:7" ht="26.4">
      <c r="A49" s="1271"/>
      <c r="B49" s="1575"/>
      <c r="C49" s="1580" t="s">
        <v>1043</v>
      </c>
      <c r="D49" s="882" t="s">
        <v>954</v>
      </c>
      <c r="E49" s="1577"/>
      <c r="F49" s="2238"/>
      <c r="G49" s="2239"/>
    </row>
    <row r="50" spans="1:7">
      <c r="A50" s="1271"/>
      <c r="B50" s="1575"/>
      <c r="C50" s="1580"/>
      <c r="D50" s="882"/>
      <c r="E50" s="1577"/>
      <c r="F50" s="2238"/>
      <c r="G50" s="2239"/>
    </row>
    <row r="51" spans="1:7" ht="26.4">
      <c r="A51" s="1271"/>
      <c r="B51" s="1575"/>
      <c r="C51" s="1580" t="s">
        <v>1044</v>
      </c>
      <c r="D51" s="882" t="s">
        <v>273</v>
      </c>
      <c r="E51" s="1577"/>
      <c r="F51" s="2238"/>
      <c r="G51" s="2239"/>
    </row>
    <row r="52" spans="1:7">
      <c r="A52" s="1271"/>
      <c r="B52" s="1575"/>
      <c r="C52" s="1580"/>
      <c r="D52" s="882"/>
      <c r="E52" s="1577"/>
      <c r="F52" s="2238"/>
      <c r="G52" s="2239"/>
    </row>
    <row r="53" spans="1:7">
      <c r="A53" s="1271"/>
      <c r="B53" s="1575"/>
      <c r="C53" s="1580" t="s">
        <v>1045</v>
      </c>
      <c r="D53" s="882"/>
      <c r="E53" s="1577"/>
      <c r="F53" s="2238"/>
      <c r="G53" s="2239"/>
    </row>
    <row r="54" spans="1:7">
      <c r="A54" s="1271"/>
      <c r="B54" s="1575"/>
      <c r="C54" s="1580"/>
      <c r="D54" s="882"/>
      <c r="E54" s="1577"/>
      <c r="F54" s="2238"/>
      <c r="G54" s="2239"/>
    </row>
    <row r="55" spans="1:7" ht="26.4">
      <c r="A55" s="1271"/>
      <c r="B55" s="1575"/>
      <c r="C55" s="2241" t="s">
        <v>1046</v>
      </c>
      <c r="D55" s="882"/>
      <c r="E55" s="1577"/>
      <c r="F55" s="2238"/>
      <c r="G55" s="2239"/>
    </row>
    <row r="56" spans="1:7">
      <c r="A56" s="1271"/>
      <c r="B56" s="1575"/>
      <c r="C56" s="1580"/>
      <c r="D56" s="882"/>
      <c r="E56" s="1577"/>
      <c r="F56" s="2238"/>
      <c r="G56" s="2239"/>
    </row>
    <row r="57" spans="1:7" ht="26.4">
      <c r="A57" s="1271"/>
      <c r="B57" s="1575"/>
      <c r="C57" s="1580" t="s">
        <v>1047</v>
      </c>
      <c r="D57" s="882"/>
      <c r="E57" s="1577"/>
      <c r="F57" s="2238"/>
      <c r="G57" s="2239"/>
    </row>
    <row r="58" spans="1:7">
      <c r="A58" s="1271"/>
      <c r="B58" s="1575"/>
      <c r="C58" s="1580"/>
      <c r="D58" s="882"/>
      <c r="E58" s="1577"/>
      <c r="F58" s="2238"/>
      <c r="G58" s="2239"/>
    </row>
    <row r="59" spans="1:7">
      <c r="A59" s="1271"/>
      <c r="B59" s="1575"/>
      <c r="C59" s="1580" t="s">
        <v>1048</v>
      </c>
      <c r="D59" s="882"/>
      <c r="E59" s="1577"/>
      <c r="F59" s="2238"/>
      <c r="G59" s="2239"/>
    </row>
    <row r="60" spans="1:7">
      <c r="A60" s="1271"/>
      <c r="B60" s="1575"/>
      <c r="C60" s="1580"/>
      <c r="D60" s="882"/>
      <c r="E60" s="1577"/>
      <c r="F60" s="2238"/>
      <c r="G60" s="2239"/>
    </row>
    <row r="61" spans="1:7">
      <c r="A61" s="1271"/>
      <c r="B61" s="1575"/>
      <c r="C61" s="1580"/>
      <c r="D61" s="882"/>
      <c r="E61" s="1577"/>
      <c r="F61" s="2238"/>
      <c r="G61" s="2239"/>
    </row>
    <row r="62" spans="1:7">
      <c r="A62" s="1271"/>
      <c r="B62" s="1575"/>
      <c r="C62" s="1580"/>
      <c r="D62" s="882"/>
      <c r="E62" s="1577"/>
      <c r="F62" s="2238"/>
      <c r="G62" s="2239"/>
    </row>
    <row r="63" spans="1:7">
      <c r="A63" s="1271"/>
      <c r="B63" s="1575"/>
      <c r="C63" s="1580"/>
      <c r="D63" s="882"/>
      <c r="E63" s="1577"/>
      <c r="F63" s="2238"/>
      <c r="G63" s="2239"/>
    </row>
    <row r="64" spans="1:7">
      <c r="A64" s="1786"/>
      <c r="B64" s="872"/>
      <c r="C64" s="872"/>
      <c r="D64" s="801"/>
      <c r="E64" s="873"/>
      <c r="F64" s="2242"/>
      <c r="G64" s="2158"/>
    </row>
    <row r="65" spans="1:7">
      <c r="A65" s="802"/>
      <c r="B65" s="423"/>
      <c r="C65" s="413" t="s">
        <v>289</v>
      </c>
      <c r="D65" s="426"/>
      <c r="E65" s="24"/>
      <c r="F65" s="3"/>
      <c r="G65" s="2243"/>
    </row>
    <row r="66" spans="1:7">
      <c r="A66" s="1271"/>
      <c r="B66" s="1575"/>
      <c r="C66" s="1552" t="s">
        <v>290</v>
      </c>
      <c r="D66" s="882"/>
      <c r="E66" s="1577"/>
      <c r="F66" s="2238"/>
      <c r="G66" s="2239"/>
    </row>
    <row r="67" spans="1:7">
      <c r="A67" s="1271"/>
      <c r="B67" s="1575"/>
      <c r="C67" s="1580"/>
      <c r="D67" s="882"/>
      <c r="E67" s="1577"/>
      <c r="F67" s="2238"/>
      <c r="G67" s="2239"/>
    </row>
    <row r="68" spans="1:7" ht="26.4">
      <c r="A68" s="1271"/>
      <c r="B68" s="1575"/>
      <c r="C68" s="1580" t="s">
        <v>1049</v>
      </c>
      <c r="D68" s="882"/>
      <c r="E68" s="1577"/>
      <c r="F68" s="2238"/>
      <c r="G68" s="2239"/>
    </row>
    <row r="69" spans="1:7">
      <c r="A69" s="1271"/>
      <c r="B69" s="1575"/>
      <c r="C69" s="2240"/>
      <c r="D69" s="882"/>
      <c r="E69" s="1577"/>
      <c r="F69" s="2238"/>
      <c r="G69" s="2239"/>
    </row>
    <row r="70" spans="1:7" ht="39.6">
      <c r="A70" s="1271">
        <v>9.1</v>
      </c>
      <c r="B70" s="1575">
        <v>2.11</v>
      </c>
      <c r="C70" s="1887" t="s">
        <v>1050</v>
      </c>
      <c r="D70" s="946"/>
      <c r="E70" s="2223"/>
      <c r="F70" s="2238"/>
      <c r="G70" s="2239"/>
    </row>
    <row r="71" spans="1:7">
      <c r="A71" s="1271"/>
      <c r="B71" s="1575"/>
      <c r="C71" s="2244"/>
      <c r="E71" s="1577"/>
      <c r="F71" s="2238"/>
      <c r="G71" s="2239"/>
    </row>
    <row r="72" spans="1:7" ht="26.4">
      <c r="A72" s="1271" t="s">
        <v>1051</v>
      </c>
      <c r="B72" s="1575"/>
      <c r="C72" s="2245" t="s">
        <v>1052</v>
      </c>
      <c r="D72" s="946" t="s">
        <v>691</v>
      </c>
      <c r="E72" s="2246">
        <v>2</v>
      </c>
      <c r="F72" s="2238"/>
      <c r="G72" s="2239"/>
    </row>
    <row r="73" spans="1:7">
      <c r="A73" s="1271"/>
      <c r="B73" s="1575"/>
      <c r="C73" s="1778"/>
      <c r="D73" s="882"/>
      <c r="E73" s="1577"/>
      <c r="F73" s="2238"/>
      <c r="G73" s="2239"/>
    </row>
    <row r="74" spans="1:7">
      <c r="A74" s="1271" t="s">
        <v>1053</v>
      </c>
      <c r="B74" s="1575"/>
      <c r="C74" s="1840" t="s">
        <v>1054</v>
      </c>
      <c r="D74" s="1575" t="s">
        <v>230</v>
      </c>
      <c r="E74" s="893">
        <v>1</v>
      </c>
      <c r="F74" s="2238"/>
      <c r="G74" s="2239"/>
    </row>
    <row r="75" spans="1:7">
      <c r="A75" s="1271"/>
      <c r="B75" s="1575"/>
      <c r="C75" s="2245"/>
      <c r="D75" s="946"/>
      <c r="E75" s="893"/>
      <c r="F75" s="2238"/>
      <c r="G75" s="2239"/>
    </row>
    <row r="76" spans="1:7">
      <c r="A76" s="1271" t="s">
        <v>1055</v>
      </c>
      <c r="B76" s="1575"/>
      <c r="C76" s="1778" t="s">
        <v>1056</v>
      </c>
      <c r="D76" s="946" t="s">
        <v>691</v>
      </c>
      <c r="E76" s="893">
        <v>1</v>
      </c>
      <c r="F76" s="2238"/>
      <c r="G76" s="2239"/>
    </row>
    <row r="77" spans="1:7">
      <c r="A77" s="1271"/>
      <c r="B77" s="1575"/>
      <c r="C77" s="1576"/>
      <c r="D77" s="147"/>
      <c r="E77" s="1577"/>
      <c r="F77" s="2238"/>
      <c r="G77" s="2239"/>
    </row>
    <row r="78" spans="1:7" ht="26.4">
      <c r="A78" s="1271"/>
      <c r="B78" s="1575"/>
      <c r="C78" s="1887" t="s">
        <v>1057</v>
      </c>
      <c r="D78" s="147"/>
      <c r="E78" s="1577"/>
      <c r="F78" s="2238"/>
      <c r="G78" s="2239"/>
    </row>
    <row r="79" spans="1:7">
      <c r="A79" s="1271"/>
      <c r="B79" s="1575"/>
      <c r="C79" s="1887"/>
      <c r="D79" s="147"/>
      <c r="E79" s="1577"/>
      <c r="F79" s="2238"/>
      <c r="G79" s="2239"/>
    </row>
    <row r="80" spans="1:7" ht="39.6">
      <c r="A80" s="1271" t="s">
        <v>1058</v>
      </c>
      <c r="B80" s="1575"/>
      <c r="C80" s="1576" t="s">
        <v>1059</v>
      </c>
      <c r="D80" s="147" t="s">
        <v>691</v>
      </c>
      <c r="E80" s="1577">
        <v>2</v>
      </c>
      <c r="F80" s="2238"/>
      <c r="G80" s="2239"/>
    </row>
    <row r="81" spans="1:7">
      <c r="A81" s="1271"/>
      <c r="B81" s="1575"/>
      <c r="C81" s="2240"/>
      <c r="D81" s="882"/>
      <c r="E81" s="1577"/>
      <c r="F81" s="2238"/>
      <c r="G81" s="2239"/>
    </row>
    <row r="82" spans="1:7" ht="39.6">
      <c r="A82" s="1996" t="s">
        <v>1060</v>
      </c>
      <c r="B82" s="1575" t="s">
        <v>1032</v>
      </c>
      <c r="C82" s="1887" t="s">
        <v>1061</v>
      </c>
      <c r="D82" s="946"/>
      <c r="E82" s="2223"/>
      <c r="F82" s="2238"/>
      <c r="G82" s="2239"/>
    </row>
    <row r="83" spans="1:7">
      <c r="A83" s="1271"/>
      <c r="B83" s="1575"/>
      <c r="C83" s="2244"/>
      <c r="E83" s="1577"/>
      <c r="F83" s="2238"/>
      <c r="G83" s="2239"/>
    </row>
    <row r="84" spans="1:7" ht="26.4">
      <c r="A84" s="1271" t="s">
        <v>1062</v>
      </c>
      <c r="B84" s="1575"/>
      <c r="C84" s="2245" t="s">
        <v>1063</v>
      </c>
      <c r="D84" s="946" t="s">
        <v>691</v>
      </c>
      <c r="E84" s="2246">
        <v>2</v>
      </c>
      <c r="F84" s="2238"/>
      <c r="G84" s="2239"/>
    </row>
    <row r="85" spans="1:7">
      <c r="A85" s="1271"/>
      <c r="B85" s="1575"/>
      <c r="C85" s="1778"/>
      <c r="D85" s="882"/>
      <c r="E85" s="1577"/>
      <c r="F85" s="2238"/>
      <c r="G85" s="2239"/>
    </row>
    <row r="86" spans="1:7">
      <c r="A86" s="1271" t="s">
        <v>1064</v>
      </c>
      <c r="B86" s="1575"/>
      <c r="C86" s="2245" t="s">
        <v>1054</v>
      </c>
      <c r="D86" s="1575" t="s">
        <v>230</v>
      </c>
      <c r="E86" s="893">
        <v>1</v>
      </c>
      <c r="F86" s="2238"/>
      <c r="G86" s="2239"/>
    </row>
    <row r="87" spans="1:7">
      <c r="A87" s="1271"/>
      <c r="B87" s="1575"/>
      <c r="C87" s="2245"/>
      <c r="D87" s="946"/>
      <c r="E87" s="893"/>
      <c r="F87" s="2238"/>
      <c r="G87" s="2239"/>
    </row>
    <row r="88" spans="1:7">
      <c r="A88" s="1271" t="s">
        <v>1065</v>
      </c>
      <c r="B88" s="1575"/>
      <c r="C88" s="1778" t="s">
        <v>1056</v>
      </c>
      <c r="D88" s="946" t="s">
        <v>691</v>
      </c>
      <c r="E88" s="893">
        <v>1</v>
      </c>
      <c r="F88" s="2238"/>
      <c r="G88" s="2239"/>
    </row>
    <row r="89" spans="1:7">
      <c r="A89" s="1271"/>
      <c r="B89" s="1575"/>
      <c r="C89" s="1778"/>
      <c r="D89" s="946"/>
      <c r="E89" s="893"/>
      <c r="F89" s="2238"/>
      <c r="G89" s="2239"/>
    </row>
    <row r="90" spans="1:7">
      <c r="A90" s="1271" t="s">
        <v>1066</v>
      </c>
      <c r="B90" s="1575"/>
      <c r="C90" s="1778" t="s">
        <v>1067</v>
      </c>
      <c r="D90" s="946" t="s">
        <v>691</v>
      </c>
      <c r="E90" s="893">
        <v>2</v>
      </c>
      <c r="F90" s="2238"/>
      <c r="G90" s="2239"/>
    </row>
    <row r="91" spans="1:7">
      <c r="A91" s="1271"/>
      <c r="B91" s="1575"/>
      <c r="C91" s="1778"/>
      <c r="D91" s="946"/>
      <c r="E91" s="893"/>
      <c r="F91" s="2238"/>
      <c r="G91" s="2239"/>
    </row>
    <row r="92" spans="1:7">
      <c r="A92" s="1271"/>
      <c r="B92" s="1575"/>
      <c r="C92" s="2247" t="s">
        <v>1068</v>
      </c>
      <c r="D92" s="946"/>
      <c r="E92" s="893"/>
      <c r="F92" s="2238"/>
      <c r="G92" s="2239"/>
    </row>
    <row r="93" spans="1:7">
      <c r="A93" s="1271"/>
      <c r="B93" s="1575"/>
      <c r="C93" s="1778"/>
      <c r="D93" s="946"/>
      <c r="E93" s="893"/>
      <c r="F93" s="2238"/>
      <c r="G93" s="2239"/>
    </row>
    <row r="94" spans="1:7">
      <c r="A94" s="1271"/>
      <c r="B94" s="1575"/>
      <c r="C94" s="2247" t="s">
        <v>1069</v>
      </c>
      <c r="D94" s="946"/>
      <c r="E94" s="893"/>
      <c r="F94" s="2238"/>
      <c r="G94" s="2239"/>
    </row>
    <row r="95" spans="1:7">
      <c r="A95" s="1271"/>
      <c r="B95" s="1575"/>
      <c r="C95" s="2240"/>
      <c r="D95" s="882"/>
      <c r="E95" s="1577"/>
      <c r="F95" s="2238"/>
      <c r="G95" s="2239"/>
    </row>
    <row r="96" spans="1:7" ht="39.6">
      <c r="A96" s="1996" t="s">
        <v>1070</v>
      </c>
      <c r="B96" s="1575" t="s">
        <v>1032</v>
      </c>
      <c r="C96" s="1887" t="s">
        <v>1071</v>
      </c>
      <c r="D96" s="946"/>
      <c r="E96" s="2223"/>
      <c r="F96" s="2238"/>
      <c r="G96" s="2239"/>
    </row>
    <row r="97" spans="1:7">
      <c r="A97" s="1271"/>
      <c r="B97" s="1575"/>
      <c r="C97" s="2244"/>
      <c r="E97" s="1577"/>
      <c r="F97" s="2238"/>
      <c r="G97" s="2239"/>
    </row>
    <row r="98" spans="1:7">
      <c r="A98" s="1271" t="s">
        <v>1072</v>
      </c>
      <c r="B98" s="1575"/>
      <c r="C98" s="2245" t="s">
        <v>1073</v>
      </c>
      <c r="D98" s="946" t="s">
        <v>691</v>
      </c>
      <c r="E98" s="2246">
        <v>4</v>
      </c>
      <c r="F98" s="2238"/>
      <c r="G98" s="2239"/>
    </row>
    <row r="99" spans="1:7">
      <c r="A99" s="1271"/>
      <c r="B99" s="1575"/>
      <c r="C99" s="2245"/>
      <c r="D99" s="946"/>
      <c r="E99" s="2246"/>
      <c r="F99" s="2238"/>
      <c r="G99" s="2239"/>
    </row>
    <row r="100" spans="1:7">
      <c r="A100" s="1271" t="s">
        <v>1074</v>
      </c>
      <c r="B100" s="1575"/>
      <c r="C100" s="2245" t="s">
        <v>1075</v>
      </c>
      <c r="D100" s="1575" t="s">
        <v>230</v>
      </c>
      <c r="E100" s="893">
        <v>1</v>
      </c>
      <c r="F100" s="2238"/>
      <c r="G100" s="2239"/>
    </row>
    <row r="101" spans="1:7">
      <c r="A101" s="1271"/>
      <c r="B101" s="1575"/>
      <c r="C101" s="1778"/>
      <c r="D101" s="882"/>
      <c r="E101" s="1577"/>
      <c r="F101" s="2238"/>
      <c r="G101" s="2239"/>
    </row>
    <row r="102" spans="1:7" ht="26.4">
      <c r="A102" s="1271"/>
      <c r="B102" s="1575" t="s">
        <v>1032</v>
      </c>
      <c r="C102" s="2248" t="s">
        <v>1076</v>
      </c>
      <c r="D102" s="882"/>
      <c r="E102" s="1577"/>
      <c r="F102" s="2238"/>
      <c r="G102" s="2239"/>
    </row>
    <row r="103" spans="1:7">
      <c r="A103" s="1271"/>
      <c r="B103" s="1575">
        <v>2.11</v>
      </c>
      <c r="C103" s="2244"/>
      <c r="E103" s="1577"/>
      <c r="F103" s="2238"/>
      <c r="G103" s="2239"/>
    </row>
    <row r="104" spans="1:7" ht="41.25" customHeight="1">
      <c r="A104" s="1271">
        <v>9.4</v>
      </c>
      <c r="B104" s="1575"/>
      <c r="C104" s="1887" t="s">
        <v>1077</v>
      </c>
      <c r="D104" s="946"/>
      <c r="E104" s="2223"/>
      <c r="F104" s="2238"/>
      <c r="G104" s="2239"/>
    </row>
    <row r="105" spans="1:7">
      <c r="A105" s="1271"/>
      <c r="B105" s="1575"/>
      <c r="C105" s="2244"/>
      <c r="E105" s="1577"/>
      <c r="F105" s="2238"/>
      <c r="G105" s="2239"/>
    </row>
    <row r="106" spans="1:7">
      <c r="A106" s="1271" t="s">
        <v>1078</v>
      </c>
      <c r="B106" s="1575"/>
      <c r="C106" s="1576" t="s">
        <v>1079</v>
      </c>
      <c r="D106" s="1575" t="s">
        <v>230</v>
      </c>
      <c r="E106" s="1577">
        <v>1</v>
      </c>
      <c r="F106" s="2238"/>
      <c r="G106" s="2239"/>
    </row>
    <row r="107" spans="1:7">
      <c r="A107" s="1271"/>
      <c r="B107" s="1575"/>
      <c r="C107" s="1576"/>
      <c r="D107" s="882"/>
      <c r="E107" s="1577"/>
      <c r="F107" s="2238"/>
      <c r="G107" s="2239"/>
    </row>
    <row r="108" spans="1:7">
      <c r="A108" s="1271" t="s">
        <v>1080</v>
      </c>
      <c r="B108" s="1575"/>
      <c r="C108" s="1576" t="s">
        <v>1081</v>
      </c>
      <c r="D108" s="1575" t="s">
        <v>230</v>
      </c>
      <c r="E108" s="1577">
        <v>1</v>
      </c>
      <c r="F108" s="2238"/>
      <c r="G108" s="2239"/>
    </row>
    <row r="109" spans="1:7">
      <c r="A109" s="1271"/>
      <c r="B109" s="1575"/>
      <c r="C109" s="1778"/>
      <c r="D109" s="882"/>
      <c r="E109" s="1577"/>
      <c r="F109" s="2238"/>
      <c r="G109" s="2239"/>
    </row>
    <row r="110" spans="1:7">
      <c r="A110" s="1271" t="s">
        <v>1082</v>
      </c>
      <c r="B110" s="1575"/>
      <c r="C110" s="1576" t="s">
        <v>1083</v>
      </c>
      <c r="D110" s="1575" t="s">
        <v>230</v>
      </c>
      <c r="E110" s="2223">
        <v>1</v>
      </c>
      <c r="F110" s="2238"/>
      <c r="G110" s="2239"/>
    </row>
    <row r="111" spans="1:7">
      <c r="A111" s="1271"/>
      <c r="B111" s="1575"/>
      <c r="C111" s="1576"/>
      <c r="D111" s="147"/>
      <c r="E111" s="2223"/>
      <c r="F111" s="2238"/>
      <c r="G111" s="2239"/>
    </row>
    <row r="112" spans="1:7">
      <c r="A112" s="1271" t="s">
        <v>1084</v>
      </c>
      <c r="B112" s="1575"/>
      <c r="C112" s="1576" t="s">
        <v>1085</v>
      </c>
      <c r="D112" s="1575" t="s">
        <v>230</v>
      </c>
      <c r="E112" s="2223">
        <v>1</v>
      </c>
      <c r="F112" s="2238"/>
      <c r="G112" s="2239"/>
    </row>
    <row r="113" spans="1:7">
      <c r="A113" s="1271"/>
      <c r="B113" s="1575"/>
      <c r="C113" s="1576"/>
      <c r="D113" s="147"/>
      <c r="E113" s="2223"/>
      <c r="F113" s="2238"/>
      <c r="G113" s="2239"/>
    </row>
    <row r="114" spans="1:7">
      <c r="A114" s="1271" t="s">
        <v>1084</v>
      </c>
      <c r="B114" s="1575"/>
      <c r="C114" s="1576" t="s">
        <v>1086</v>
      </c>
      <c r="D114" s="1575" t="s">
        <v>230</v>
      </c>
      <c r="E114" s="2223">
        <v>1</v>
      </c>
      <c r="F114" s="2238"/>
      <c r="G114" s="2239"/>
    </row>
    <row r="115" spans="1:7">
      <c r="A115" s="1271"/>
      <c r="B115" s="1575"/>
      <c r="C115" s="2244"/>
      <c r="E115" s="1577"/>
      <c r="F115" s="2238"/>
      <c r="G115" s="2239"/>
    </row>
    <row r="116" spans="1:7">
      <c r="A116" s="1271" t="s">
        <v>1087</v>
      </c>
      <c r="B116" s="1575"/>
      <c r="C116" s="1576" t="s">
        <v>1088</v>
      </c>
      <c r="D116" s="1575" t="s">
        <v>230</v>
      </c>
      <c r="E116" s="1577">
        <v>1</v>
      </c>
      <c r="F116" s="2238"/>
      <c r="G116" s="2239"/>
    </row>
    <row r="117" spans="1:7">
      <c r="A117" s="1271"/>
      <c r="C117" s="1576"/>
      <c r="D117" s="1575"/>
      <c r="E117" s="893"/>
      <c r="F117" s="2238"/>
      <c r="G117" s="2239"/>
    </row>
    <row r="118" spans="1:7">
      <c r="A118" s="1271"/>
      <c r="C118" s="1576"/>
      <c r="D118" s="1575"/>
      <c r="E118" s="893"/>
      <c r="F118" s="2238"/>
      <c r="G118" s="2239"/>
    </row>
    <row r="119" spans="1:7">
      <c r="A119" s="1271"/>
      <c r="C119" s="1576"/>
      <c r="D119" s="1575"/>
      <c r="E119" s="893"/>
      <c r="F119" s="2238"/>
      <c r="G119" s="2239"/>
    </row>
    <row r="120" spans="1:7">
      <c r="A120" s="1271"/>
      <c r="C120" s="1576"/>
      <c r="D120" s="1575"/>
      <c r="E120" s="893"/>
      <c r="F120" s="2238"/>
      <c r="G120" s="2239"/>
    </row>
    <row r="121" spans="1:7">
      <c r="A121" s="1271"/>
      <c r="C121" s="1576"/>
      <c r="D121" s="1575"/>
      <c r="E121" s="893"/>
      <c r="F121" s="2238"/>
      <c r="G121" s="2239"/>
    </row>
    <row r="122" spans="1:7">
      <c r="A122" s="1271"/>
      <c r="C122" s="1576"/>
      <c r="D122" s="1575"/>
      <c r="E122" s="893"/>
      <c r="F122" s="2238"/>
      <c r="G122" s="2239"/>
    </row>
    <row r="123" spans="1:7">
      <c r="A123" s="1271"/>
      <c r="C123" s="1576"/>
      <c r="D123" s="1575"/>
      <c r="E123" s="893"/>
      <c r="F123" s="2238"/>
      <c r="G123" s="2239"/>
    </row>
    <row r="124" spans="1:7">
      <c r="A124" s="1271"/>
      <c r="C124" s="1576"/>
      <c r="D124" s="1575"/>
      <c r="E124" s="893"/>
      <c r="F124" s="2238"/>
      <c r="G124" s="2239"/>
    </row>
    <row r="125" spans="1:7">
      <c r="A125" s="1271"/>
      <c r="C125" s="1576"/>
      <c r="D125" s="1575"/>
      <c r="E125" s="893"/>
      <c r="F125" s="2238"/>
      <c r="G125" s="2239"/>
    </row>
    <row r="126" spans="1:7">
      <c r="A126" s="1271"/>
      <c r="B126" s="1575"/>
      <c r="C126" s="2245"/>
      <c r="D126" s="1575"/>
      <c r="E126" s="2246"/>
      <c r="F126" s="2238"/>
      <c r="G126" s="2239"/>
    </row>
    <row r="127" spans="1:7">
      <c r="A127" s="1271"/>
      <c r="B127" s="1575"/>
      <c r="C127" s="2245"/>
      <c r="D127" s="147"/>
      <c r="E127" s="2223"/>
      <c r="F127" s="2238"/>
      <c r="G127" s="2239"/>
    </row>
    <row r="128" spans="1:7" s="2" customFormat="1">
      <c r="A128" s="1754"/>
      <c r="B128" s="428"/>
      <c r="C128" s="429"/>
      <c r="D128" s="428"/>
      <c r="E128" s="432"/>
      <c r="F128" s="430"/>
      <c r="G128" s="2086"/>
    </row>
    <row r="129" spans="1:7" s="2" customFormat="1">
      <c r="A129" s="424"/>
      <c r="B129" s="148"/>
      <c r="C129" s="26" t="s">
        <v>1089</v>
      </c>
      <c r="D129" s="427"/>
      <c r="E129" s="334"/>
      <c r="F129" s="4"/>
      <c r="G129" s="2249"/>
    </row>
  </sheetData>
  <mergeCells count="1">
    <mergeCell ref="A1:G1"/>
  </mergeCells>
  <pageMargins left="0.74803149606299213" right="0.51181102362204722" top="1.3779527559055118" bottom="0.94488188976377963" header="0.51181102362204722" footer="0.74803149606299213"/>
  <pageSetup paperSize="9" scale="75" firstPageNumber="44" fitToHeight="0" orientation="portrait" useFirstPageNumber="1" copies="2" r:id="rId1"/>
  <headerFooter alignWithMargins="0">
    <oddHeader>&amp;L&amp;G&amp;CContract JW XXXX
Bushkoppie Wastewater Treatment Works:
Infrastructure Renewal Plan
Volume 1 
C 2.2 Bill of Quantities&amp;R&amp;G</oddHeader>
    <oddFooter>&amp;C&amp;12PD.&amp;P&amp;R&amp;12Bill of Quantities</oddFooter>
  </headerFooter>
  <legacyDrawingHF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P641"/>
  <sheetViews>
    <sheetView workbookViewId="0">
      <selection sqref="A1:C1"/>
    </sheetView>
  </sheetViews>
  <sheetFormatPr defaultColWidth="6.109375" defaultRowHeight="13.2"/>
  <cols>
    <col min="1" max="1" width="10" style="12" customWidth="1"/>
    <col min="2" max="2" width="13" style="12" bestFit="1" customWidth="1"/>
    <col min="3" max="3" width="83.109375" style="2" customWidth="1"/>
    <col min="4" max="4" width="14.44140625" style="10" bestFit="1" customWidth="1"/>
    <col min="5" max="5" width="7.88671875" style="12" customWidth="1"/>
    <col min="6" max="6" width="12.88671875" style="213" customWidth="1"/>
    <col min="7" max="7" width="19.88671875" style="12" customWidth="1"/>
    <col min="8" max="8" width="7" style="12" customWidth="1"/>
    <col min="9" max="9" width="17.88671875" style="10" bestFit="1" customWidth="1"/>
    <col min="10" max="10" width="7.88671875" style="12" customWidth="1"/>
    <col min="11" max="11" width="12.88671875" style="12" bestFit="1" customWidth="1"/>
    <col min="12" max="12" width="17.88671875" style="2" bestFit="1" customWidth="1"/>
    <col min="13" max="13" width="6.109375" style="2"/>
    <col min="14" max="14" width="14.44140625" style="12" hidden="1" customWidth="1"/>
    <col min="15" max="16384" width="6.109375" style="2"/>
  </cols>
  <sheetData>
    <row r="1" spans="1:14" s="5" customFormat="1" ht="16.2" thickBot="1">
      <c r="A1" s="3014" t="s">
        <v>1090</v>
      </c>
      <c r="B1" s="3014"/>
      <c r="C1" s="3014"/>
      <c r="D1" s="3015" t="s">
        <v>1091</v>
      </c>
      <c r="E1" s="3016"/>
      <c r="F1" s="3016"/>
      <c r="G1" s="3017"/>
      <c r="H1" s="216"/>
      <c r="I1" s="3024" t="s">
        <v>1092</v>
      </c>
      <c r="J1" s="3025"/>
      <c r="K1" s="3025"/>
      <c r="L1" s="3026"/>
      <c r="N1" s="7"/>
    </row>
    <row r="2" spans="1:14" s="32" customFormat="1" ht="26.4">
      <c r="A2" s="2230" t="s">
        <v>1093</v>
      </c>
      <c r="B2" s="2014" t="s">
        <v>1094</v>
      </c>
      <c r="C2" s="1756" t="s">
        <v>219</v>
      </c>
      <c r="D2" s="1756" t="s">
        <v>220</v>
      </c>
      <c r="E2" s="1758" t="s">
        <v>221</v>
      </c>
      <c r="F2" s="2211" t="s">
        <v>222</v>
      </c>
      <c r="G2" s="2250" t="s">
        <v>223</v>
      </c>
      <c r="H2" s="2251"/>
      <c r="I2" s="262" t="s">
        <v>220</v>
      </c>
      <c r="J2" s="311" t="s">
        <v>221</v>
      </c>
      <c r="K2" s="311" t="s">
        <v>222</v>
      </c>
      <c r="L2" s="312" t="s">
        <v>223</v>
      </c>
    </row>
    <row r="3" spans="1:14">
      <c r="A3" s="1667"/>
      <c r="B3" s="1667"/>
      <c r="C3" s="2030"/>
      <c r="D3" s="2236"/>
      <c r="E3" s="1670"/>
      <c r="F3" s="1944"/>
      <c r="G3" s="2252"/>
      <c r="H3" s="243"/>
      <c r="I3" s="263"/>
      <c r="J3" s="1670"/>
      <c r="K3" s="1701"/>
      <c r="L3" s="2253"/>
    </row>
    <row r="4" spans="1:14" ht="13.8">
      <c r="A4" s="2254"/>
      <c r="B4" s="2255"/>
      <c r="C4" s="2256" t="s">
        <v>1095</v>
      </c>
      <c r="D4" s="2257"/>
      <c r="E4" s="2258"/>
      <c r="F4" s="1944"/>
      <c r="G4" s="2252"/>
      <c r="H4" s="243"/>
      <c r="I4" s="264"/>
      <c r="J4" s="2258"/>
      <c r="K4" s="1701"/>
      <c r="L4" s="2253"/>
    </row>
    <row r="5" spans="1:14" ht="13.8">
      <c r="A5" s="2254"/>
      <c r="B5" s="2255"/>
      <c r="C5" s="2259" t="s">
        <v>1096</v>
      </c>
      <c r="D5" s="2257"/>
      <c r="E5" s="2258"/>
      <c r="F5" s="1944"/>
      <c r="G5" s="2252"/>
      <c r="H5" s="243"/>
      <c r="I5" s="264"/>
      <c r="J5" s="2258"/>
      <c r="K5" s="1701"/>
      <c r="L5" s="2253"/>
    </row>
    <row r="6" spans="1:14" ht="14.4">
      <c r="A6" s="2254"/>
      <c r="B6" s="2260"/>
      <c r="C6" s="2261"/>
      <c r="D6" s="2257"/>
      <c r="E6" s="2258"/>
      <c r="F6" s="1944"/>
      <c r="G6" s="2252"/>
      <c r="H6" s="243"/>
      <c r="I6" s="264"/>
      <c r="J6" s="2258"/>
      <c r="K6" s="1701"/>
      <c r="L6" s="2253"/>
    </row>
    <row r="7" spans="1:14" ht="13.8">
      <c r="A7" s="2262">
        <v>10.1</v>
      </c>
      <c r="B7" s="2260"/>
      <c r="C7" s="36" t="s">
        <v>1097</v>
      </c>
      <c r="D7" s="2257"/>
      <c r="E7" s="2263"/>
      <c r="F7" s="1944"/>
      <c r="G7" s="2252"/>
      <c r="H7" s="243"/>
      <c r="I7" s="264"/>
      <c r="J7" s="2263"/>
      <c r="K7" s="1701"/>
      <c r="L7" s="2253"/>
    </row>
    <row r="8" spans="1:14" ht="13.8">
      <c r="A8" s="2264"/>
      <c r="B8" s="2265"/>
      <c r="C8" s="37"/>
      <c r="D8" s="2257"/>
      <c r="E8" s="2266"/>
      <c r="F8" s="1944"/>
      <c r="G8" s="2252"/>
      <c r="H8" s="243"/>
      <c r="I8" s="264"/>
      <c r="J8" s="2266"/>
      <c r="K8" s="1701"/>
      <c r="L8" s="2253"/>
    </row>
    <row r="9" spans="1:14" ht="13.8">
      <c r="A9" s="2264" t="s">
        <v>1098</v>
      </c>
      <c r="B9" s="2267"/>
      <c r="C9" s="38" t="s">
        <v>1099</v>
      </c>
      <c r="D9" s="2257" t="s">
        <v>691</v>
      </c>
      <c r="E9" s="2268">
        <v>2</v>
      </c>
      <c r="F9" s="1944">
        <v>92622</v>
      </c>
      <c r="G9" s="2269">
        <f>F9*E9</f>
        <v>185244</v>
      </c>
      <c r="H9" s="241"/>
      <c r="I9" s="264" t="s">
        <v>691</v>
      </c>
      <c r="J9" s="2268">
        <v>2</v>
      </c>
      <c r="K9" s="2270">
        <f>F9</f>
        <v>92622</v>
      </c>
      <c r="L9" s="251">
        <f>K9*J9</f>
        <v>185244</v>
      </c>
      <c r="N9" s="220">
        <f>G9-L9</f>
        <v>0</v>
      </c>
    </row>
    <row r="10" spans="1:14" ht="13.8">
      <c r="A10" s="2264"/>
      <c r="B10" s="2267"/>
      <c r="C10" s="38"/>
      <c r="D10" s="2257"/>
      <c r="E10" s="2271"/>
      <c r="F10" s="1944"/>
      <c r="G10" s="2252"/>
      <c r="H10" s="243"/>
      <c r="I10" s="264"/>
      <c r="J10" s="2271"/>
      <c r="K10" s="1701"/>
      <c r="L10" s="2253"/>
      <c r="N10" s="220">
        <f t="shared" ref="N10:N75" si="0">G10-L10</f>
        <v>0</v>
      </c>
    </row>
    <row r="11" spans="1:14" ht="13.8">
      <c r="A11" s="2264" t="s">
        <v>1100</v>
      </c>
      <c r="B11" s="2260"/>
      <c r="C11" s="2272" t="s">
        <v>1101</v>
      </c>
      <c r="D11" s="2257" t="s">
        <v>691</v>
      </c>
      <c r="E11" s="2273">
        <v>2</v>
      </c>
      <c r="F11" s="1944">
        <v>18043</v>
      </c>
      <c r="G11" s="2269">
        <f t="shared" ref="G11" si="1">F11*E11</f>
        <v>36086</v>
      </c>
      <c r="H11" s="241"/>
      <c r="I11" s="264" t="s">
        <v>691</v>
      </c>
      <c r="J11" s="2273">
        <v>2</v>
      </c>
      <c r="K11" s="2270">
        <f t="shared" ref="K11" si="2">F11</f>
        <v>18043</v>
      </c>
      <c r="L11" s="251">
        <f t="shared" ref="L11" si="3">K11*J11</f>
        <v>36086</v>
      </c>
      <c r="N11" s="220">
        <f t="shared" si="0"/>
        <v>0</v>
      </c>
    </row>
    <row r="12" spans="1:14" ht="13.8">
      <c r="A12" s="2264"/>
      <c r="B12" s="2260"/>
      <c r="C12" s="39"/>
      <c r="D12" s="2257"/>
      <c r="E12" s="2273"/>
      <c r="F12" s="1944"/>
      <c r="G12" s="2252"/>
      <c r="H12" s="243"/>
      <c r="I12" s="264"/>
      <c r="J12" s="2273"/>
      <c r="K12" s="1701"/>
      <c r="L12" s="2253"/>
      <c r="N12" s="220">
        <f t="shared" si="0"/>
        <v>0</v>
      </c>
    </row>
    <row r="13" spans="1:14" s="10" customFormat="1" ht="13.8">
      <c r="A13" s="2264" t="s">
        <v>1102</v>
      </c>
      <c r="B13" s="2260"/>
      <c r="C13" s="38" t="s">
        <v>1103</v>
      </c>
      <c r="D13" s="2257" t="s">
        <v>691</v>
      </c>
      <c r="E13" s="2274">
        <v>3</v>
      </c>
      <c r="F13" s="2275">
        <v>18345</v>
      </c>
      <c r="G13" s="2269">
        <f t="shared" ref="G13" si="4">F13*E13</f>
        <v>55035</v>
      </c>
      <c r="H13" s="241"/>
      <c r="I13" s="264" t="s">
        <v>691</v>
      </c>
      <c r="J13" s="2274">
        <v>2</v>
      </c>
      <c r="K13" s="2270">
        <f t="shared" ref="K13" si="5">F13</f>
        <v>18345</v>
      </c>
      <c r="L13" s="251">
        <f t="shared" ref="L13" si="6">K13*J13</f>
        <v>36690</v>
      </c>
      <c r="N13" s="220">
        <f t="shared" si="0"/>
        <v>18345</v>
      </c>
    </row>
    <row r="14" spans="1:14" s="10" customFormat="1" ht="13.8">
      <c r="A14" s="2264"/>
      <c r="B14" s="2260"/>
      <c r="C14" s="38"/>
      <c r="D14" s="2257"/>
      <c r="E14" s="2274"/>
      <c r="F14" s="2275"/>
      <c r="G14" s="2252"/>
      <c r="H14" s="243"/>
      <c r="I14" s="264"/>
      <c r="J14" s="2274"/>
      <c r="K14" s="1701"/>
      <c r="L14" s="2253"/>
      <c r="N14" s="220">
        <f t="shared" si="0"/>
        <v>0</v>
      </c>
    </row>
    <row r="15" spans="1:14" s="10" customFormat="1" ht="13.8">
      <c r="A15" s="2264" t="s">
        <v>1104</v>
      </c>
      <c r="B15" s="2260"/>
      <c r="C15" s="2272" t="s">
        <v>1105</v>
      </c>
      <c r="D15" s="2257" t="s">
        <v>691</v>
      </c>
      <c r="E15" s="2274">
        <v>3</v>
      </c>
      <c r="F15" s="2275">
        <v>15283</v>
      </c>
      <c r="G15" s="2269">
        <f t="shared" ref="G15" si="7">F15*E15</f>
        <v>45849</v>
      </c>
      <c r="H15" s="241"/>
      <c r="I15" s="264" t="s">
        <v>691</v>
      </c>
      <c r="J15" s="2274">
        <v>3</v>
      </c>
      <c r="K15" s="2270">
        <f t="shared" ref="K15" si="8">F15</f>
        <v>15283</v>
      </c>
      <c r="L15" s="251">
        <f t="shared" ref="L15" si="9">K15*J15</f>
        <v>45849</v>
      </c>
      <c r="N15" s="220">
        <f t="shared" si="0"/>
        <v>0</v>
      </c>
    </row>
    <row r="16" spans="1:14" s="10" customFormat="1" ht="13.8">
      <c r="A16" s="2264"/>
      <c r="B16" s="2260"/>
      <c r="C16" s="39"/>
      <c r="D16" s="2257"/>
      <c r="E16" s="2274"/>
      <c r="F16" s="2275"/>
      <c r="G16" s="2252"/>
      <c r="H16" s="243"/>
      <c r="I16" s="264"/>
      <c r="J16" s="2274"/>
      <c r="K16" s="1701"/>
      <c r="L16" s="2253"/>
      <c r="N16" s="220">
        <f t="shared" si="0"/>
        <v>0</v>
      </c>
    </row>
    <row r="17" spans="1:14" s="10" customFormat="1" ht="13.8">
      <c r="A17" s="2264" t="s">
        <v>1106</v>
      </c>
      <c r="B17" s="2267"/>
      <c r="C17" s="2272" t="s">
        <v>1107</v>
      </c>
      <c r="D17" s="2257" t="s">
        <v>691</v>
      </c>
      <c r="E17" s="2273">
        <v>2</v>
      </c>
      <c r="F17" s="2275">
        <v>34125</v>
      </c>
      <c r="G17" s="2269">
        <f t="shared" ref="G17" si="10">F17*E17</f>
        <v>68250</v>
      </c>
      <c r="H17" s="241"/>
      <c r="I17" s="264" t="s">
        <v>691</v>
      </c>
      <c r="J17" s="2273">
        <v>0</v>
      </c>
      <c r="K17" s="2270">
        <f t="shared" ref="K17" si="11">F17</f>
        <v>34125</v>
      </c>
      <c r="L17" s="251">
        <f t="shared" ref="L17" si="12">K17*J17</f>
        <v>0</v>
      </c>
      <c r="N17" s="220">
        <f t="shared" si="0"/>
        <v>68250</v>
      </c>
    </row>
    <row r="18" spans="1:14" s="10" customFormat="1" ht="13.8">
      <c r="A18" s="2264"/>
      <c r="B18" s="2267"/>
      <c r="C18" s="38"/>
      <c r="D18" s="2257"/>
      <c r="E18" s="2273"/>
      <c r="F18" s="2275"/>
      <c r="G18" s="2252"/>
      <c r="H18" s="243"/>
      <c r="I18" s="264"/>
      <c r="J18" s="2273"/>
      <c r="K18" s="1701"/>
      <c r="L18" s="2253"/>
      <c r="N18" s="220">
        <f t="shared" si="0"/>
        <v>0</v>
      </c>
    </row>
    <row r="19" spans="1:14" s="10" customFormat="1" ht="13.8">
      <c r="A19" s="2264" t="s">
        <v>1108</v>
      </c>
      <c r="B19" s="2267"/>
      <c r="C19" s="2272" t="s">
        <v>1109</v>
      </c>
      <c r="D19" s="2276" t="s">
        <v>691</v>
      </c>
      <c r="E19" s="2277">
        <v>2</v>
      </c>
      <c r="F19" s="2275">
        <v>19857</v>
      </c>
      <c r="G19" s="2269">
        <f t="shared" ref="G19" si="13">F19*E19</f>
        <v>39714</v>
      </c>
      <c r="H19" s="241"/>
      <c r="I19" s="265" t="s">
        <v>691</v>
      </c>
      <c r="J19" s="2277">
        <v>2</v>
      </c>
      <c r="K19" s="2270">
        <f t="shared" ref="K19" si="14">F19</f>
        <v>19857</v>
      </c>
      <c r="L19" s="251">
        <f t="shared" ref="L19" si="15">K19*J19</f>
        <v>39714</v>
      </c>
      <c r="N19" s="220">
        <f t="shared" si="0"/>
        <v>0</v>
      </c>
    </row>
    <row r="20" spans="1:14" s="10" customFormat="1" ht="13.8">
      <c r="A20" s="2264"/>
      <c r="B20" s="2267"/>
      <c r="C20" s="39"/>
      <c r="D20" s="2276"/>
      <c r="E20" s="2277"/>
      <c r="F20" s="2275"/>
      <c r="G20" s="2252"/>
      <c r="H20" s="243"/>
      <c r="I20" s="265"/>
      <c r="J20" s="2277"/>
      <c r="K20" s="1701"/>
      <c r="L20" s="2253"/>
      <c r="N20" s="220">
        <f t="shared" si="0"/>
        <v>0</v>
      </c>
    </row>
    <row r="21" spans="1:14" s="10" customFormat="1" ht="13.8">
      <c r="A21" s="2264" t="s">
        <v>1110</v>
      </c>
      <c r="B21" s="2267"/>
      <c r="C21" s="2272" t="s">
        <v>1111</v>
      </c>
      <c r="D21" s="2276" t="s">
        <v>691</v>
      </c>
      <c r="E21" s="2277">
        <v>1</v>
      </c>
      <c r="F21" s="2275">
        <v>2325</v>
      </c>
      <c r="G21" s="2269">
        <f t="shared" ref="G21" si="16">F21*E21</f>
        <v>2325</v>
      </c>
      <c r="H21" s="241"/>
      <c r="I21" s="265" t="s">
        <v>691</v>
      </c>
      <c r="J21" s="2277">
        <v>13</v>
      </c>
      <c r="K21" s="2270">
        <f t="shared" ref="K21" si="17">F21</f>
        <v>2325</v>
      </c>
      <c r="L21" s="251">
        <f t="shared" ref="L21" si="18">K21*J21</f>
        <v>30225</v>
      </c>
      <c r="N21" s="220">
        <f t="shared" si="0"/>
        <v>-27900</v>
      </c>
    </row>
    <row r="22" spans="1:14" s="10" customFormat="1" ht="13.8">
      <c r="A22" s="2264"/>
      <c r="B22" s="2267"/>
      <c r="C22" s="39"/>
      <c r="D22" s="2276"/>
      <c r="E22" s="2277"/>
      <c r="F22" s="2275"/>
      <c r="G22" s="2278"/>
      <c r="H22" s="2279"/>
      <c r="I22" s="265"/>
      <c r="J22" s="2277"/>
      <c r="K22" s="1778"/>
      <c r="L22" s="2280"/>
      <c r="N22" s="220"/>
    </row>
    <row r="23" spans="1:14" s="10" customFormat="1" ht="13.8">
      <c r="A23" s="2254"/>
      <c r="B23" s="2260"/>
      <c r="C23" s="41" t="s">
        <v>1112</v>
      </c>
      <c r="D23" s="2257"/>
      <c r="E23" s="2274"/>
      <c r="F23" s="2281"/>
      <c r="G23" s="2239"/>
      <c r="H23" s="260"/>
      <c r="I23" s="264"/>
      <c r="J23" s="2274"/>
      <c r="K23" s="1778"/>
      <c r="L23" s="2280"/>
      <c r="N23" s="220"/>
    </row>
    <row r="24" spans="1:14" ht="13.8">
      <c r="A24" s="2262">
        <v>10.199999999999999</v>
      </c>
      <c r="B24" s="150"/>
      <c r="C24" s="2282" t="s">
        <v>1113</v>
      </c>
      <c r="D24" s="2257"/>
      <c r="E24" s="2274"/>
      <c r="F24" s="1944"/>
      <c r="G24" s="2252"/>
      <c r="H24" s="243"/>
      <c r="I24" s="264"/>
      <c r="J24" s="2274"/>
      <c r="K24" s="1701"/>
      <c r="L24" s="2253"/>
      <c r="N24" s="220"/>
    </row>
    <row r="25" spans="1:14" ht="13.8">
      <c r="A25" s="2264"/>
      <c r="B25" s="2260"/>
      <c r="C25" s="39"/>
      <c r="D25" s="2257"/>
      <c r="E25" s="2273"/>
      <c r="F25" s="2283"/>
      <c r="G25" s="2214"/>
      <c r="H25" s="2284"/>
      <c r="I25" s="264"/>
      <c r="J25" s="2273"/>
      <c r="K25" s="1701"/>
      <c r="L25" s="2253"/>
      <c r="N25" s="220"/>
    </row>
    <row r="26" spans="1:14" ht="27.6">
      <c r="A26" s="2264" t="s">
        <v>1114</v>
      </c>
      <c r="B26" s="2260"/>
      <c r="C26" s="38" t="s">
        <v>1115</v>
      </c>
      <c r="D26" s="2257" t="s">
        <v>691</v>
      </c>
      <c r="E26" s="2274">
        <v>1</v>
      </c>
      <c r="F26" s="1944">
        <v>14907</v>
      </c>
      <c r="G26" s="2269">
        <f t="shared" ref="G26:G30" si="19">F26*E26</f>
        <v>14907</v>
      </c>
      <c r="H26" s="241"/>
      <c r="I26" s="264" t="s">
        <v>691</v>
      </c>
      <c r="J26" s="2274">
        <v>1</v>
      </c>
      <c r="K26" s="2270">
        <f t="shared" ref="K26" si="20">F26</f>
        <v>14907</v>
      </c>
      <c r="L26" s="251">
        <f t="shared" ref="L26:L30" si="21">K26*J26</f>
        <v>14907</v>
      </c>
      <c r="N26" s="220">
        <f t="shared" si="0"/>
        <v>0</v>
      </c>
    </row>
    <row r="27" spans="1:14" ht="13.8">
      <c r="A27" s="2264"/>
      <c r="B27" s="2260"/>
      <c r="C27" s="40"/>
      <c r="D27" s="2257"/>
      <c r="E27" s="2274"/>
      <c r="F27" s="1944"/>
      <c r="G27" s="2252"/>
      <c r="H27" s="243"/>
      <c r="I27" s="264"/>
      <c r="J27" s="2274"/>
      <c r="K27" s="1701"/>
      <c r="L27" s="2253"/>
      <c r="N27" s="220">
        <f t="shared" si="0"/>
        <v>0</v>
      </c>
    </row>
    <row r="28" spans="1:14" ht="27.6">
      <c r="A28" s="2264" t="s">
        <v>1116</v>
      </c>
      <c r="B28" s="2260"/>
      <c r="C28" s="2272" t="s">
        <v>1117</v>
      </c>
      <c r="D28" s="2257" t="s">
        <v>691</v>
      </c>
      <c r="E28" s="2274">
        <v>1</v>
      </c>
      <c r="F28" s="1944">
        <v>26324</v>
      </c>
      <c r="G28" s="2269">
        <f t="shared" si="19"/>
        <v>26324</v>
      </c>
      <c r="H28" s="241"/>
      <c r="I28" s="264" t="s">
        <v>691</v>
      </c>
      <c r="J28" s="2274">
        <v>0</v>
      </c>
      <c r="K28" s="2270">
        <f t="shared" ref="K28" si="22">F28</f>
        <v>26324</v>
      </c>
      <c r="L28" s="251">
        <f t="shared" si="21"/>
        <v>0</v>
      </c>
      <c r="N28" s="220">
        <f t="shared" si="0"/>
        <v>26324</v>
      </c>
    </row>
    <row r="29" spans="1:14" ht="13.8">
      <c r="A29" s="2264"/>
      <c r="B29" s="2260"/>
      <c r="C29" s="2272"/>
      <c r="D29" s="2257"/>
      <c r="E29" s="2285"/>
      <c r="F29" s="2283"/>
      <c r="G29" s="2252"/>
      <c r="H29" s="243"/>
      <c r="I29" s="264"/>
      <c r="J29" s="2285"/>
      <c r="K29" s="1701"/>
      <c r="L29" s="2253"/>
      <c r="N29" s="220">
        <f t="shared" si="0"/>
        <v>0</v>
      </c>
    </row>
    <row r="30" spans="1:14" ht="27.6">
      <c r="A30" s="2264" t="s">
        <v>1118</v>
      </c>
      <c r="B30" s="2260"/>
      <c r="C30" s="2272" t="s">
        <v>1119</v>
      </c>
      <c r="D30" s="2257" t="s">
        <v>691</v>
      </c>
      <c r="E30" s="2273">
        <v>3</v>
      </c>
      <c r="F30" s="1944">
        <v>5824</v>
      </c>
      <c r="G30" s="2269">
        <f t="shared" si="19"/>
        <v>17472</v>
      </c>
      <c r="H30" s="241"/>
      <c r="I30" s="264" t="s">
        <v>691</v>
      </c>
      <c r="J30" s="2273">
        <v>2</v>
      </c>
      <c r="K30" s="2270">
        <f t="shared" ref="K30" si="23">F30</f>
        <v>5824</v>
      </c>
      <c r="L30" s="251">
        <f t="shared" si="21"/>
        <v>11648</v>
      </c>
      <c r="N30" s="220">
        <f t="shared" si="0"/>
        <v>5824</v>
      </c>
    </row>
    <row r="31" spans="1:14" ht="13.8">
      <c r="A31" s="2264"/>
      <c r="B31" s="2260"/>
      <c r="C31" s="39"/>
      <c r="D31" s="2257"/>
      <c r="E31" s="2273"/>
      <c r="F31" s="1944"/>
      <c r="G31" s="2269"/>
      <c r="H31" s="241"/>
      <c r="I31" s="264"/>
      <c r="J31" s="2273"/>
      <c r="K31" s="2270"/>
      <c r="L31" s="251"/>
      <c r="N31" s="220"/>
    </row>
    <row r="32" spans="1:14" ht="27.6">
      <c r="A32" s="2286"/>
      <c r="B32" s="2287"/>
      <c r="C32" s="2288" t="s">
        <v>1120</v>
      </c>
      <c r="D32" s="2257" t="s">
        <v>691</v>
      </c>
      <c r="E32" s="2273">
        <v>0</v>
      </c>
      <c r="F32" s="1945">
        <v>0</v>
      </c>
      <c r="G32" s="2289">
        <f t="shared" ref="G32" si="24">F32*E32</f>
        <v>0</v>
      </c>
      <c r="H32" s="241"/>
      <c r="I32" s="277" t="s">
        <v>691</v>
      </c>
      <c r="J32" s="2290">
        <v>1</v>
      </c>
      <c r="K32" s="2291">
        <v>81361</v>
      </c>
      <c r="L32" s="278">
        <f t="shared" ref="L32" si="25">K32*J32</f>
        <v>81361</v>
      </c>
      <c r="N32" s="220">
        <f t="shared" ref="N32" si="26">G32-L32</f>
        <v>-81361</v>
      </c>
    </row>
    <row r="33" spans="1:14" ht="13.8">
      <c r="A33" s="2264"/>
      <c r="B33" s="2260"/>
      <c r="C33" s="39"/>
      <c r="D33" s="2257"/>
      <c r="E33" s="2273"/>
      <c r="F33" s="2283"/>
      <c r="G33" s="2252"/>
      <c r="H33" s="243"/>
      <c r="I33" s="264"/>
      <c r="J33" s="2273"/>
      <c r="K33" s="1701"/>
      <c r="L33" s="2253"/>
      <c r="N33" s="220"/>
    </row>
    <row r="34" spans="1:14" ht="13.8">
      <c r="A34" s="2262"/>
      <c r="B34" s="2255"/>
      <c r="C34" s="41" t="s">
        <v>1121</v>
      </c>
      <c r="D34" s="2257"/>
      <c r="E34" s="2263"/>
      <c r="F34" s="1944"/>
      <c r="G34" s="2252"/>
      <c r="H34" s="243"/>
      <c r="I34" s="264"/>
      <c r="J34" s="2263"/>
      <c r="K34" s="1701"/>
      <c r="L34" s="2253"/>
      <c r="N34" s="220"/>
    </row>
    <row r="35" spans="1:14" ht="13.8">
      <c r="A35" s="2262">
        <v>10.3</v>
      </c>
      <c r="B35" s="150"/>
      <c r="C35" s="2282" t="s">
        <v>1122</v>
      </c>
      <c r="D35" s="2257"/>
      <c r="E35" s="2263"/>
      <c r="F35" s="2283"/>
      <c r="G35" s="2252"/>
      <c r="H35" s="243"/>
      <c r="I35" s="264"/>
      <c r="J35" s="2263"/>
      <c r="K35" s="1701"/>
      <c r="L35" s="2253"/>
      <c r="N35" s="220"/>
    </row>
    <row r="36" spans="1:14" ht="13.8">
      <c r="A36" s="2254"/>
      <c r="B36" s="151"/>
      <c r="C36" s="2292"/>
      <c r="D36" s="2257"/>
      <c r="E36" s="2263"/>
      <c r="F36" s="1944"/>
      <c r="G36" s="2252"/>
      <c r="H36" s="243"/>
      <c r="I36" s="264"/>
      <c r="J36" s="2263"/>
      <c r="K36" s="1701"/>
      <c r="L36" s="2253"/>
      <c r="N36" s="220"/>
    </row>
    <row r="37" spans="1:14" ht="13.8">
      <c r="A37" s="2254" t="s">
        <v>1123</v>
      </c>
      <c r="B37" s="151"/>
      <c r="C37" s="2293" t="s">
        <v>1124</v>
      </c>
      <c r="D37" s="2257" t="s">
        <v>561</v>
      </c>
      <c r="E37" s="2263">
        <v>700</v>
      </c>
      <c r="F37" s="1527">
        <v>166.3</v>
      </c>
      <c r="G37" s="2269">
        <f t="shared" ref="G37:G47" si="27">F37*E37</f>
        <v>116410.00000000001</v>
      </c>
      <c r="H37" s="241"/>
      <c r="I37" s="264" t="s">
        <v>561</v>
      </c>
      <c r="J37" s="2263">
        <v>648</v>
      </c>
      <c r="K37" s="2270">
        <f t="shared" ref="K37:K47" si="28">F37</f>
        <v>166.3</v>
      </c>
      <c r="L37" s="251">
        <f t="shared" ref="L37:L47" si="29">K37*J37</f>
        <v>107762.40000000001</v>
      </c>
      <c r="N37" s="220">
        <f t="shared" si="0"/>
        <v>8647.6000000000058</v>
      </c>
    </row>
    <row r="38" spans="1:14" ht="13.8">
      <c r="A38" s="2254"/>
      <c r="B38" s="151"/>
      <c r="C38" s="2292"/>
      <c r="D38" s="2257"/>
      <c r="E38" s="2263"/>
      <c r="F38" s="1944"/>
      <c r="G38" s="2252"/>
      <c r="H38" s="243"/>
      <c r="I38" s="264"/>
      <c r="J38" s="2263"/>
      <c r="K38" s="1701"/>
      <c r="L38" s="2253"/>
      <c r="N38" s="220">
        <f t="shared" si="0"/>
        <v>0</v>
      </c>
    </row>
    <row r="39" spans="1:14" ht="13.8">
      <c r="A39" s="2254" t="s">
        <v>1125</v>
      </c>
      <c r="B39" s="151"/>
      <c r="C39" s="2293" t="s">
        <v>1126</v>
      </c>
      <c r="D39" s="2294" t="s">
        <v>561</v>
      </c>
      <c r="E39" s="2295">
        <v>0</v>
      </c>
      <c r="F39" s="2283">
        <v>72</v>
      </c>
      <c r="G39" s="2269">
        <f t="shared" si="27"/>
        <v>0</v>
      </c>
      <c r="H39" s="241"/>
      <c r="I39" s="266" t="s">
        <v>561</v>
      </c>
      <c r="J39" s="2295">
        <v>268</v>
      </c>
      <c r="K39" s="2270">
        <f t="shared" si="28"/>
        <v>72</v>
      </c>
      <c r="L39" s="251">
        <f t="shared" si="29"/>
        <v>19296</v>
      </c>
      <c r="N39" s="220">
        <f t="shared" si="0"/>
        <v>-19296</v>
      </c>
    </row>
    <row r="40" spans="1:14" ht="13.8">
      <c r="A40" s="2254"/>
      <c r="B40" s="2260"/>
      <c r="C40" s="35"/>
      <c r="D40" s="2257"/>
      <c r="E40" s="2263"/>
      <c r="F40" s="1944"/>
      <c r="G40" s="2252"/>
      <c r="H40" s="243"/>
      <c r="I40" s="264"/>
      <c r="J40" s="2263"/>
      <c r="K40" s="1701"/>
      <c r="L40" s="2253"/>
      <c r="N40" s="220">
        <f t="shared" si="0"/>
        <v>0</v>
      </c>
    </row>
    <row r="41" spans="1:14" ht="13.8">
      <c r="A41" s="2296" t="s">
        <v>1127</v>
      </c>
      <c r="B41" s="150"/>
      <c r="C41" s="2293" t="s">
        <v>1128</v>
      </c>
      <c r="D41" s="2294" t="s">
        <v>561</v>
      </c>
      <c r="E41" s="2295">
        <v>2300</v>
      </c>
      <c r="F41" s="2297">
        <v>20.7</v>
      </c>
      <c r="G41" s="2269">
        <f t="shared" si="27"/>
        <v>47610</v>
      </c>
      <c r="H41" s="241"/>
      <c r="I41" s="266" t="s">
        <v>561</v>
      </c>
      <c r="J41" s="2295">
        <v>662</v>
      </c>
      <c r="K41" s="2270">
        <f t="shared" si="28"/>
        <v>20.7</v>
      </c>
      <c r="L41" s="251">
        <f t="shared" si="29"/>
        <v>13703.4</v>
      </c>
      <c r="N41" s="220">
        <f t="shared" si="0"/>
        <v>33906.6</v>
      </c>
    </row>
    <row r="42" spans="1:14" ht="13.8">
      <c r="A42" s="2254"/>
      <c r="B42" s="151"/>
      <c r="C42" s="2292"/>
      <c r="D42" s="2257"/>
      <c r="E42" s="2263"/>
      <c r="F42" s="1944"/>
      <c r="G42" s="2252"/>
      <c r="H42" s="243"/>
      <c r="I42" s="264"/>
      <c r="J42" s="2263"/>
      <c r="K42" s="1701"/>
      <c r="L42" s="2253"/>
      <c r="N42" s="220">
        <f t="shared" si="0"/>
        <v>0</v>
      </c>
    </row>
    <row r="43" spans="1:14" ht="13.8">
      <c r="A43" s="2296" t="s">
        <v>1129</v>
      </c>
      <c r="B43" s="2298"/>
      <c r="C43" s="2293" t="s">
        <v>1130</v>
      </c>
      <c r="D43" s="2294" t="s">
        <v>561</v>
      </c>
      <c r="E43" s="2295">
        <v>2400</v>
      </c>
      <c r="F43" s="2297">
        <v>24</v>
      </c>
      <c r="G43" s="2269">
        <f t="shared" si="27"/>
        <v>57600</v>
      </c>
      <c r="H43" s="241"/>
      <c r="I43" s="266" t="s">
        <v>561</v>
      </c>
      <c r="J43" s="2295">
        <v>444</v>
      </c>
      <c r="K43" s="2270">
        <f t="shared" si="28"/>
        <v>24</v>
      </c>
      <c r="L43" s="251">
        <f t="shared" si="29"/>
        <v>10656</v>
      </c>
      <c r="N43" s="220">
        <f t="shared" si="0"/>
        <v>46944</v>
      </c>
    </row>
    <row r="44" spans="1:14" ht="13.8">
      <c r="A44" s="2296"/>
      <c r="B44" s="2298"/>
      <c r="C44" s="42"/>
      <c r="D44" s="2294"/>
      <c r="E44" s="2299"/>
      <c r="G44" s="2252"/>
      <c r="H44" s="243"/>
      <c r="I44" s="266"/>
      <c r="J44" s="2299"/>
      <c r="K44" s="1701"/>
      <c r="L44" s="2253"/>
      <c r="N44" s="220">
        <f t="shared" si="0"/>
        <v>0</v>
      </c>
    </row>
    <row r="45" spans="1:14" ht="16.2">
      <c r="A45" s="2300" t="s">
        <v>1131</v>
      </c>
      <c r="B45" s="2298"/>
      <c r="C45" s="42" t="s">
        <v>1132</v>
      </c>
      <c r="D45" s="2294" t="s">
        <v>561</v>
      </c>
      <c r="E45" s="2295">
        <v>2200</v>
      </c>
      <c r="F45" s="2301">
        <v>26.4</v>
      </c>
      <c r="G45" s="2269">
        <f>F45*E45</f>
        <v>58080</v>
      </c>
      <c r="H45" s="241"/>
      <c r="I45" s="266" t="s">
        <v>561</v>
      </c>
      <c r="J45" s="2295">
        <v>472</v>
      </c>
      <c r="K45" s="2270">
        <f t="shared" si="28"/>
        <v>26.4</v>
      </c>
      <c r="L45" s="251">
        <f t="shared" si="29"/>
        <v>12460.8</v>
      </c>
      <c r="N45" s="220">
        <f t="shared" si="0"/>
        <v>45619.199999999997</v>
      </c>
    </row>
    <row r="46" spans="1:14" ht="13.8">
      <c r="A46" s="2300"/>
      <c r="B46" s="2298"/>
      <c r="C46" s="42"/>
      <c r="D46" s="2294"/>
      <c r="E46" s="2295"/>
      <c r="F46" s="2301"/>
      <c r="G46" s="2252"/>
      <c r="H46" s="243"/>
      <c r="I46" s="266"/>
      <c r="J46" s="2295"/>
      <c r="K46" s="1701"/>
      <c r="L46" s="2253"/>
      <c r="N46" s="220">
        <f t="shared" si="0"/>
        <v>0</v>
      </c>
    </row>
    <row r="47" spans="1:14" ht="16.2">
      <c r="A47" s="2300" t="s">
        <v>1133</v>
      </c>
      <c r="B47" s="2298"/>
      <c r="C47" s="42" t="s">
        <v>1134</v>
      </c>
      <c r="D47" s="2294" t="s">
        <v>561</v>
      </c>
      <c r="E47" s="2295">
        <v>700</v>
      </c>
      <c r="F47" s="2297">
        <v>84</v>
      </c>
      <c r="G47" s="2269">
        <f t="shared" si="27"/>
        <v>58800</v>
      </c>
      <c r="H47" s="241"/>
      <c r="I47" s="266" t="s">
        <v>561</v>
      </c>
      <c r="J47" s="2295">
        <v>110</v>
      </c>
      <c r="K47" s="2270">
        <f t="shared" si="28"/>
        <v>84</v>
      </c>
      <c r="L47" s="251">
        <f t="shared" si="29"/>
        <v>9240</v>
      </c>
      <c r="N47" s="220">
        <f t="shared" si="0"/>
        <v>49560</v>
      </c>
    </row>
    <row r="48" spans="1:14" ht="13.5" customHeight="1">
      <c r="A48" s="15"/>
      <c r="B48" s="11"/>
      <c r="C48" s="13"/>
      <c r="D48" s="874"/>
      <c r="E48" s="16"/>
      <c r="F48" s="206"/>
      <c r="G48" s="2252"/>
      <c r="H48" s="243"/>
      <c r="I48" s="253"/>
      <c r="J48" s="16"/>
      <c r="K48" s="1701"/>
      <c r="L48" s="2253"/>
      <c r="N48" s="220"/>
    </row>
    <row r="49" spans="1:14">
      <c r="A49" s="1786"/>
      <c r="B49" s="801"/>
      <c r="C49" s="862"/>
      <c r="D49" s="801"/>
      <c r="E49" s="800"/>
      <c r="F49" s="2302"/>
      <c r="G49" s="2303"/>
      <c r="H49" s="2304"/>
      <c r="I49" s="3019"/>
      <c r="J49" s="3022"/>
      <c r="K49" s="2305"/>
      <c r="L49" s="2306"/>
      <c r="N49" s="220"/>
    </row>
    <row r="50" spans="1:14">
      <c r="A50" s="802"/>
      <c r="B50" s="426"/>
      <c r="C50" s="413" t="s">
        <v>289</v>
      </c>
      <c r="D50" s="426"/>
      <c r="E50" s="425"/>
      <c r="F50" s="207"/>
      <c r="G50" s="2307"/>
      <c r="H50" s="217"/>
      <c r="I50" s="3020"/>
      <c r="J50" s="3023"/>
      <c r="K50" s="2308"/>
      <c r="L50" s="252"/>
      <c r="N50" s="220"/>
    </row>
    <row r="51" spans="1:14">
      <c r="A51" s="17"/>
      <c r="B51" s="11"/>
      <c r="C51" s="34" t="s">
        <v>290</v>
      </c>
      <c r="D51" s="874"/>
      <c r="E51" s="16"/>
      <c r="F51" s="206"/>
      <c r="G51" s="203"/>
      <c r="H51" s="244"/>
      <c r="I51" s="253"/>
      <c r="J51" s="16"/>
      <c r="K51" s="1701"/>
      <c r="L51" s="2253"/>
      <c r="N51" s="220"/>
    </row>
    <row r="52" spans="1:14">
      <c r="A52" s="16"/>
      <c r="B52" s="11"/>
      <c r="C52" s="34"/>
      <c r="D52" s="16"/>
      <c r="E52" s="16"/>
      <c r="F52" s="206"/>
      <c r="G52" s="203"/>
      <c r="H52" s="245"/>
      <c r="I52" s="253"/>
      <c r="J52" s="16"/>
      <c r="K52" s="1701"/>
      <c r="L52" s="2253"/>
      <c r="N52" s="220"/>
    </row>
    <row r="53" spans="1:14" ht="13.8">
      <c r="A53" s="145" t="s">
        <v>1135</v>
      </c>
      <c r="B53" s="143"/>
      <c r="C53" s="71" t="s">
        <v>1136</v>
      </c>
      <c r="D53" s="279" t="s">
        <v>1137</v>
      </c>
      <c r="E53" s="2295">
        <v>0</v>
      </c>
      <c r="F53" s="208">
        <v>138</v>
      </c>
      <c r="G53" s="2269">
        <f t="shared" ref="G53:G55" si="30">F53*E53</f>
        <v>0</v>
      </c>
      <c r="H53" s="241"/>
      <c r="I53" s="266" t="s">
        <v>1137</v>
      </c>
      <c r="J53" s="2295">
        <v>0</v>
      </c>
      <c r="K53" s="2270">
        <f t="shared" ref="K53" si="31">F53</f>
        <v>138</v>
      </c>
      <c r="L53" s="251">
        <f t="shared" ref="L53" si="32">K53*J53</f>
        <v>0</v>
      </c>
      <c r="N53" s="220">
        <f t="shared" si="0"/>
        <v>0</v>
      </c>
    </row>
    <row r="54" spans="1:14">
      <c r="A54" s="16"/>
      <c r="B54" s="11"/>
      <c r="C54" s="14"/>
      <c r="D54" s="16"/>
      <c r="E54" s="16"/>
      <c r="F54" s="206"/>
      <c r="G54" s="203"/>
      <c r="H54" s="245"/>
      <c r="I54" s="253"/>
      <c r="J54" s="16"/>
      <c r="K54" s="1701"/>
      <c r="L54" s="2253"/>
      <c r="N54" s="220">
        <f t="shared" si="0"/>
        <v>0</v>
      </c>
    </row>
    <row r="55" spans="1:14" ht="13.8">
      <c r="A55" s="145" t="s">
        <v>1138</v>
      </c>
      <c r="B55" s="143"/>
      <c r="C55" s="71" t="s">
        <v>1136</v>
      </c>
      <c r="D55" s="279" t="s">
        <v>561</v>
      </c>
      <c r="E55" s="2295">
        <v>0</v>
      </c>
      <c r="F55" s="208">
        <v>29</v>
      </c>
      <c r="G55" s="2269">
        <f t="shared" si="30"/>
        <v>0</v>
      </c>
      <c r="H55" s="241"/>
      <c r="I55" s="266" t="s">
        <v>561</v>
      </c>
      <c r="J55" s="2295">
        <v>0</v>
      </c>
      <c r="K55" s="2270">
        <f t="shared" ref="K55" si="33">F55</f>
        <v>29</v>
      </c>
      <c r="L55" s="251">
        <f t="shared" ref="L55" si="34">K55*J55</f>
        <v>0</v>
      </c>
      <c r="N55" s="220">
        <f t="shared" si="0"/>
        <v>0</v>
      </c>
    </row>
    <row r="56" spans="1:14" ht="13.8">
      <c r="A56" s="152"/>
      <c r="B56" s="153"/>
      <c r="C56" s="33"/>
      <c r="D56" s="279"/>
      <c r="E56" s="221"/>
      <c r="F56" s="209"/>
      <c r="G56" s="204"/>
      <c r="H56" s="2284"/>
      <c r="I56" s="266"/>
      <c r="J56" s="221"/>
      <c r="K56" s="1701"/>
      <c r="L56" s="2253"/>
      <c r="N56" s="220"/>
    </row>
    <row r="57" spans="1:14" ht="13.8">
      <c r="A57" s="154"/>
      <c r="B57" s="155"/>
      <c r="C57" s="43" t="s">
        <v>1139</v>
      </c>
      <c r="D57" s="280"/>
      <c r="E57" s="222"/>
      <c r="F57" s="210"/>
      <c r="G57" s="1701"/>
      <c r="H57" s="242"/>
      <c r="I57" s="267"/>
      <c r="J57" s="222"/>
      <c r="K57" s="1701"/>
      <c r="L57" s="2253"/>
      <c r="N57" s="220"/>
    </row>
    <row r="58" spans="1:14" ht="13.8">
      <c r="A58" s="154">
        <v>10.4</v>
      </c>
      <c r="B58" s="156"/>
      <c r="C58" s="55" t="s">
        <v>1140</v>
      </c>
      <c r="D58" s="280"/>
      <c r="E58" s="222"/>
      <c r="F58" s="210"/>
      <c r="G58" s="1701"/>
      <c r="H58" s="242"/>
      <c r="I58" s="267"/>
      <c r="J58" s="222"/>
      <c r="K58" s="1701"/>
      <c r="L58" s="2253"/>
      <c r="N58" s="220"/>
    </row>
    <row r="59" spans="1:14" ht="13.8">
      <c r="A59" s="157"/>
      <c r="B59" s="158"/>
      <c r="C59" s="54"/>
      <c r="D59" s="280"/>
      <c r="E59" s="222"/>
      <c r="F59" s="210"/>
      <c r="G59" s="1701"/>
      <c r="H59" s="242"/>
      <c r="I59" s="267"/>
      <c r="J59" s="222"/>
      <c r="K59" s="1701"/>
      <c r="L59" s="2253"/>
      <c r="N59" s="220"/>
    </row>
    <row r="60" spans="1:14" ht="13.8">
      <c r="A60" s="157" t="s">
        <v>1141</v>
      </c>
      <c r="B60" s="158"/>
      <c r="C60" s="72" t="s">
        <v>1142</v>
      </c>
      <c r="D60" s="281" t="s">
        <v>561</v>
      </c>
      <c r="E60" s="223">
        <v>20</v>
      </c>
      <c r="F60" s="210">
        <v>1136</v>
      </c>
      <c r="G60" s="2269">
        <f t="shared" ref="G60:G88" si="35">F60*E60</f>
        <v>22720</v>
      </c>
      <c r="H60" s="241"/>
      <c r="I60" s="268" t="s">
        <v>561</v>
      </c>
      <c r="J60" s="223">
        <v>0</v>
      </c>
      <c r="K60" s="2270">
        <f t="shared" ref="K60:K88" si="36">F60</f>
        <v>1136</v>
      </c>
      <c r="L60" s="251">
        <f t="shared" ref="L60:L88" si="37">K60*J60</f>
        <v>0</v>
      </c>
      <c r="N60" s="220">
        <f t="shared" si="0"/>
        <v>22720</v>
      </c>
    </row>
    <row r="61" spans="1:14" ht="13.8">
      <c r="A61" s="157"/>
      <c r="B61" s="158"/>
      <c r="C61" s="72"/>
      <c r="D61" s="281"/>
      <c r="E61" s="223"/>
      <c r="F61" s="210"/>
      <c r="G61" s="1701"/>
      <c r="H61" s="242"/>
      <c r="I61" s="268"/>
      <c r="J61" s="223"/>
      <c r="K61" s="1701"/>
      <c r="L61" s="2253"/>
      <c r="N61" s="220">
        <f t="shared" si="0"/>
        <v>0</v>
      </c>
    </row>
    <row r="62" spans="1:14" ht="13.8">
      <c r="A62" s="157" t="s">
        <v>1143</v>
      </c>
      <c r="B62" s="158"/>
      <c r="C62" s="72" t="s">
        <v>1144</v>
      </c>
      <c r="D62" s="281" t="s">
        <v>561</v>
      </c>
      <c r="E62" s="223">
        <v>20</v>
      </c>
      <c r="F62" s="210">
        <v>1021</v>
      </c>
      <c r="G62" s="2269">
        <f t="shared" si="35"/>
        <v>20420</v>
      </c>
      <c r="H62" s="241"/>
      <c r="I62" s="268" t="s">
        <v>561</v>
      </c>
      <c r="J62" s="223">
        <v>0</v>
      </c>
      <c r="K62" s="2270">
        <f t="shared" si="36"/>
        <v>1021</v>
      </c>
      <c r="L62" s="251">
        <f t="shared" si="37"/>
        <v>0</v>
      </c>
      <c r="N62" s="220">
        <f t="shared" si="0"/>
        <v>20420</v>
      </c>
    </row>
    <row r="63" spans="1:14" ht="13.8">
      <c r="A63" s="157"/>
      <c r="B63" s="158"/>
      <c r="C63" s="72"/>
      <c r="D63" s="281"/>
      <c r="E63" s="223"/>
      <c r="F63" s="210"/>
      <c r="G63" s="1701"/>
      <c r="H63" s="242"/>
      <c r="I63" s="268"/>
      <c r="J63" s="223"/>
      <c r="K63" s="1701"/>
      <c r="L63" s="2253"/>
      <c r="N63" s="220">
        <f t="shared" si="0"/>
        <v>0</v>
      </c>
    </row>
    <row r="64" spans="1:14" ht="13.8">
      <c r="A64" s="157" t="s">
        <v>1145</v>
      </c>
      <c r="B64" s="158"/>
      <c r="C64" s="72" t="s">
        <v>1146</v>
      </c>
      <c r="D64" s="281" t="s">
        <v>561</v>
      </c>
      <c r="E64" s="223">
        <v>20</v>
      </c>
      <c r="F64" s="210">
        <v>936</v>
      </c>
      <c r="G64" s="2269">
        <f t="shared" si="35"/>
        <v>18720</v>
      </c>
      <c r="H64" s="241"/>
      <c r="I64" s="268" t="s">
        <v>561</v>
      </c>
      <c r="J64" s="223">
        <v>12</v>
      </c>
      <c r="K64" s="2270">
        <f t="shared" si="36"/>
        <v>936</v>
      </c>
      <c r="L64" s="251">
        <f t="shared" si="37"/>
        <v>11232</v>
      </c>
      <c r="N64" s="220">
        <f t="shared" si="0"/>
        <v>7488</v>
      </c>
    </row>
    <row r="65" spans="1:14" ht="13.8">
      <c r="A65" s="157"/>
      <c r="B65" s="158"/>
      <c r="C65" s="72"/>
      <c r="D65" s="281"/>
      <c r="E65" s="223"/>
      <c r="F65" s="210"/>
      <c r="G65" s="1701"/>
      <c r="H65" s="242"/>
      <c r="I65" s="268"/>
      <c r="J65" s="223"/>
      <c r="K65" s="1701"/>
      <c r="L65" s="2253"/>
      <c r="N65" s="220">
        <f t="shared" si="0"/>
        <v>0</v>
      </c>
    </row>
    <row r="66" spans="1:14" ht="13.8">
      <c r="A66" s="157" t="s">
        <v>1147</v>
      </c>
      <c r="B66" s="159"/>
      <c r="C66" s="73" t="s">
        <v>1148</v>
      </c>
      <c r="D66" s="282" t="s">
        <v>561</v>
      </c>
      <c r="E66" s="223">
        <v>80</v>
      </c>
      <c r="F66" s="210">
        <v>806</v>
      </c>
      <c r="G66" s="2269">
        <f t="shared" si="35"/>
        <v>64480</v>
      </c>
      <c r="H66" s="241"/>
      <c r="I66" s="269" t="s">
        <v>561</v>
      </c>
      <c r="J66" s="223">
        <v>36</v>
      </c>
      <c r="K66" s="2270">
        <f t="shared" si="36"/>
        <v>806</v>
      </c>
      <c r="L66" s="251">
        <f t="shared" si="37"/>
        <v>29016</v>
      </c>
      <c r="N66" s="220">
        <f t="shared" si="0"/>
        <v>35464</v>
      </c>
    </row>
    <row r="67" spans="1:14" ht="13.8">
      <c r="A67" s="157"/>
      <c r="B67" s="159"/>
      <c r="C67" s="73"/>
      <c r="D67" s="282"/>
      <c r="E67" s="223"/>
      <c r="F67" s="210"/>
      <c r="G67" s="1701"/>
      <c r="H67" s="242"/>
      <c r="I67" s="269"/>
      <c r="J67" s="223"/>
      <c r="K67" s="1701"/>
      <c r="L67" s="2253"/>
      <c r="N67" s="220">
        <f t="shared" si="0"/>
        <v>0</v>
      </c>
    </row>
    <row r="68" spans="1:14" ht="13.8">
      <c r="A68" s="144" t="s">
        <v>1149</v>
      </c>
      <c r="B68" s="156"/>
      <c r="C68" s="73" t="s">
        <v>1150</v>
      </c>
      <c r="D68" s="281" t="s">
        <v>561</v>
      </c>
      <c r="E68" s="223">
        <v>80</v>
      </c>
      <c r="F68" s="210">
        <v>767</v>
      </c>
      <c r="G68" s="2269">
        <f t="shared" si="35"/>
        <v>61360</v>
      </c>
      <c r="H68" s="241"/>
      <c r="I68" s="268" t="s">
        <v>561</v>
      </c>
      <c r="J68" s="223">
        <v>12</v>
      </c>
      <c r="K68" s="2270">
        <f t="shared" si="36"/>
        <v>767</v>
      </c>
      <c r="L68" s="251">
        <f t="shared" si="37"/>
        <v>9204</v>
      </c>
      <c r="N68" s="220">
        <f t="shared" si="0"/>
        <v>52156</v>
      </c>
    </row>
    <row r="69" spans="1:14" ht="13.8">
      <c r="A69" s="144"/>
      <c r="B69" s="156"/>
      <c r="C69" s="73"/>
      <c r="D69" s="281"/>
      <c r="E69" s="223"/>
      <c r="F69" s="210"/>
      <c r="G69" s="1701"/>
      <c r="H69" s="242"/>
      <c r="I69" s="268"/>
      <c r="J69" s="223"/>
      <c r="K69" s="1701"/>
      <c r="L69" s="2253"/>
      <c r="N69" s="220">
        <f t="shared" si="0"/>
        <v>0</v>
      </c>
    </row>
    <row r="70" spans="1:14" ht="13.8">
      <c r="A70" s="157" t="s">
        <v>1151</v>
      </c>
      <c r="B70" s="158"/>
      <c r="C70" s="72" t="s">
        <v>1152</v>
      </c>
      <c r="D70" s="281" t="s">
        <v>1153</v>
      </c>
      <c r="E70" s="223">
        <v>2</v>
      </c>
      <c r="F70" s="210">
        <v>3679</v>
      </c>
      <c r="G70" s="2269">
        <f t="shared" si="35"/>
        <v>7358</v>
      </c>
      <c r="H70" s="241"/>
      <c r="I70" s="268" t="s">
        <v>1153</v>
      </c>
      <c r="J70" s="223">
        <v>0</v>
      </c>
      <c r="K70" s="2270">
        <f t="shared" si="36"/>
        <v>3679</v>
      </c>
      <c r="L70" s="251">
        <f t="shared" si="37"/>
        <v>0</v>
      </c>
      <c r="N70" s="220">
        <f t="shared" si="0"/>
        <v>7358</v>
      </c>
    </row>
    <row r="71" spans="1:14" ht="13.8">
      <c r="A71" s="157"/>
      <c r="B71" s="158"/>
      <c r="C71" s="72"/>
      <c r="D71" s="281"/>
      <c r="E71" s="223"/>
      <c r="F71" s="210"/>
      <c r="G71" s="1701"/>
      <c r="H71" s="242"/>
      <c r="I71" s="268"/>
      <c r="J71" s="223"/>
      <c r="K71" s="1701"/>
      <c r="L71" s="2253"/>
      <c r="N71" s="220">
        <f t="shared" si="0"/>
        <v>0</v>
      </c>
    </row>
    <row r="72" spans="1:14" ht="13.8">
      <c r="A72" s="157" t="s">
        <v>1154</v>
      </c>
      <c r="B72" s="155"/>
      <c r="C72" s="72" t="s">
        <v>1155</v>
      </c>
      <c r="D72" s="281" t="s">
        <v>1153</v>
      </c>
      <c r="E72" s="223">
        <v>4</v>
      </c>
      <c r="F72" s="210">
        <v>2133</v>
      </c>
      <c r="G72" s="2269">
        <f t="shared" si="35"/>
        <v>8532</v>
      </c>
      <c r="H72" s="241"/>
      <c r="I72" s="268" t="s">
        <v>1153</v>
      </c>
      <c r="J72" s="223">
        <v>0</v>
      </c>
      <c r="K72" s="2270">
        <f t="shared" si="36"/>
        <v>2133</v>
      </c>
      <c r="L72" s="251">
        <f t="shared" si="37"/>
        <v>0</v>
      </c>
      <c r="N72" s="220">
        <f t="shared" si="0"/>
        <v>8532</v>
      </c>
    </row>
    <row r="73" spans="1:14" ht="13.8">
      <c r="A73" s="154"/>
      <c r="B73" s="155"/>
      <c r="C73" s="72"/>
      <c r="D73" s="281"/>
      <c r="E73" s="223"/>
      <c r="F73" s="210"/>
      <c r="G73" s="1701"/>
      <c r="H73" s="242"/>
      <c r="I73" s="268"/>
      <c r="J73" s="223"/>
      <c r="K73" s="1701"/>
      <c r="L73" s="2253"/>
      <c r="N73" s="220">
        <f t="shared" si="0"/>
        <v>0</v>
      </c>
    </row>
    <row r="74" spans="1:14" ht="13.8">
      <c r="A74" s="157" t="s">
        <v>1156</v>
      </c>
      <c r="B74" s="159"/>
      <c r="C74" s="72" t="s">
        <v>1157</v>
      </c>
      <c r="D74" s="281" t="s">
        <v>1153</v>
      </c>
      <c r="E74" s="223">
        <v>2</v>
      </c>
      <c r="F74" s="210">
        <v>2929</v>
      </c>
      <c r="G74" s="2269">
        <f t="shared" si="35"/>
        <v>5858</v>
      </c>
      <c r="H74" s="241"/>
      <c r="I74" s="268" t="s">
        <v>1153</v>
      </c>
      <c r="J74" s="223">
        <v>0</v>
      </c>
      <c r="K74" s="2270">
        <f t="shared" si="36"/>
        <v>2929</v>
      </c>
      <c r="L74" s="251">
        <f t="shared" si="37"/>
        <v>0</v>
      </c>
      <c r="N74" s="220">
        <f t="shared" si="0"/>
        <v>5858</v>
      </c>
    </row>
    <row r="75" spans="1:14" ht="13.8">
      <c r="A75" s="157"/>
      <c r="B75" s="159"/>
      <c r="C75" s="72"/>
      <c r="D75" s="281"/>
      <c r="E75" s="223"/>
      <c r="F75" s="210"/>
      <c r="G75" s="1701"/>
      <c r="H75" s="242"/>
      <c r="I75" s="268"/>
      <c r="J75" s="223"/>
      <c r="K75" s="1701"/>
      <c r="L75" s="2253"/>
      <c r="N75" s="220">
        <f t="shared" si="0"/>
        <v>0</v>
      </c>
    </row>
    <row r="76" spans="1:14" ht="13.8">
      <c r="A76" s="157" t="s">
        <v>1158</v>
      </c>
      <c r="B76" s="159"/>
      <c r="C76" s="72" t="s">
        <v>1159</v>
      </c>
      <c r="D76" s="281" t="s">
        <v>1153</v>
      </c>
      <c r="E76" s="223">
        <v>4</v>
      </c>
      <c r="F76" s="210">
        <v>1897</v>
      </c>
      <c r="G76" s="2269">
        <f t="shared" si="35"/>
        <v>7588</v>
      </c>
      <c r="H76" s="241"/>
      <c r="I76" s="268" t="s">
        <v>1153</v>
      </c>
      <c r="J76" s="223">
        <v>0</v>
      </c>
      <c r="K76" s="2270">
        <f t="shared" si="36"/>
        <v>1897</v>
      </c>
      <c r="L76" s="251">
        <f t="shared" si="37"/>
        <v>0</v>
      </c>
      <c r="N76" s="220">
        <f t="shared" ref="N76:N134" si="38">G76-L76</f>
        <v>7588</v>
      </c>
    </row>
    <row r="77" spans="1:14" ht="13.8">
      <c r="A77" s="157"/>
      <c r="B77" s="159"/>
      <c r="C77" s="72"/>
      <c r="D77" s="281"/>
      <c r="E77" s="223"/>
      <c r="F77" s="210"/>
      <c r="G77" s="1701"/>
      <c r="H77" s="242"/>
      <c r="I77" s="268"/>
      <c r="J77" s="223"/>
      <c r="K77" s="1701"/>
      <c r="L77" s="2253"/>
      <c r="N77" s="220">
        <f t="shared" si="38"/>
        <v>0</v>
      </c>
    </row>
    <row r="78" spans="1:14" ht="13.8">
      <c r="A78" s="157" t="s">
        <v>1160</v>
      </c>
      <c r="B78" s="156"/>
      <c r="C78" s="72" t="s">
        <v>1161</v>
      </c>
      <c r="D78" s="281" t="s">
        <v>1153</v>
      </c>
      <c r="E78" s="223">
        <v>2</v>
      </c>
      <c r="F78" s="210">
        <v>2485</v>
      </c>
      <c r="G78" s="2269">
        <f t="shared" si="35"/>
        <v>4970</v>
      </c>
      <c r="H78" s="241"/>
      <c r="I78" s="268" t="s">
        <v>1153</v>
      </c>
      <c r="J78" s="223">
        <v>2</v>
      </c>
      <c r="K78" s="2270">
        <f t="shared" si="36"/>
        <v>2485</v>
      </c>
      <c r="L78" s="251">
        <f t="shared" si="37"/>
        <v>4970</v>
      </c>
      <c r="N78" s="220">
        <f t="shared" si="38"/>
        <v>0</v>
      </c>
    </row>
    <row r="79" spans="1:14" ht="13.8">
      <c r="A79" s="154"/>
      <c r="B79" s="156"/>
      <c r="C79" s="72"/>
      <c r="D79" s="281"/>
      <c r="E79" s="223"/>
      <c r="F79" s="210"/>
      <c r="G79" s="1701"/>
      <c r="H79" s="242"/>
      <c r="I79" s="268"/>
      <c r="J79" s="223"/>
      <c r="K79" s="1701"/>
      <c r="L79" s="2253"/>
      <c r="N79" s="220">
        <f t="shared" si="38"/>
        <v>0</v>
      </c>
    </row>
    <row r="80" spans="1:14" ht="13.8">
      <c r="A80" s="145" t="s">
        <v>1162</v>
      </c>
      <c r="B80" s="143"/>
      <c r="C80" s="72" t="s">
        <v>1163</v>
      </c>
      <c r="D80" s="281" t="s">
        <v>1153</v>
      </c>
      <c r="E80" s="223">
        <v>4</v>
      </c>
      <c r="F80" s="210">
        <v>1585</v>
      </c>
      <c r="G80" s="2269">
        <f t="shared" si="35"/>
        <v>6340</v>
      </c>
      <c r="H80" s="241"/>
      <c r="I80" s="268" t="s">
        <v>1153</v>
      </c>
      <c r="J80" s="223">
        <v>2</v>
      </c>
      <c r="K80" s="2270">
        <f t="shared" si="36"/>
        <v>1585</v>
      </c>
      <c r="L80" s="251">
        <f t="shared" si="37"/>
        <v>3170</v>
      </c>
      <c r="N80" s="220">
        <f t="shared" si="38"/>
        <v>3170</v>
      </c>
    </row>
    <row r="81" spans="1:14" ht="13.8">
      <c r="A81" s="145"/>
      <c r="B81" s="143"/>
      <c r="C81" s="72"/>
      <c r="D81" s="281"/>
      <c r="E81" s="223"/>
      <c r="F81" s="210"/>
      <c r="G81" s="1701"/>
      <c r="H81" s="242"/>
      <c r="I81" s="268"/>
      <c r="J81" s="223"/>
      <c r="K81" s="1701"/>
      <c r="L81" s="2253"/>
      <c r="N81" s="220">
        <f t="shared" si="38"/>
        <v>0</v>
      </c>
    </row>
    <row r="82" spans="1:14" ht="13.8">
      <c r="A82" s="157" t="s">
        <v>1164</v>
      </c>
      <c r="B82" s="159"/>
      <c r="C82" s="72" t="s">
        <v>1165</v>
      </c>
      <c r="D82" s="281" t="s">
        <v>1153</v>
      </c>
      <c r="E82" s="223">
        <v>4</v>
      </c>
      <c r="F82" s="210">
        <v>2064</v>
      </c>
      <c r="G82" s="2269">
        <f t="shared" si="35"/>
        <v>8256</v>
      </c>
      <c r="H82" s="241"/>
      <c r="I82" s="268" t="s">
        <v>1153</v>
      </c>
      <c r="J82" s="223">
        <v>2</v>
      </c>
      <c r="K82" s="2270">
        <f t="shared" si="36"/>
        <v>2064</v>
      </c>
      <c r="L82" s="251">
        <f t="shared" si="37"/>
        <v>4128</v>
      </c>
      <c r="N82" s="220">
        <f t="shared" si="38"/>
        <v>4128</v>
      </c>
    </row>
    <row r="83" spans="1:14" ht="13.8">
      <c r="A83" s="157"/>
      <c r="B83" s="159"/>
      <c r="C83" s="72"/>
      <c r="D83" s="281"/>
      <c r="E83" s="223"/>
      <c r="F83" s="210"/>
      <c r="G83" s="1701"/>
      <c r="H83" s="242"/>
      <c r="I83" s="268"/>
      <c r="J83" s="223"/>
      <c r="K83" s="1701"/>
      <c r="L83" s="2253"/>
      <c r="N83" s="220">
        <f t="shared" si="38"/>
        <v>0</v>
      </c>
    </row>
    <row r="84" spans="1:14" ht="13.8">
      <c r="A84" s="145" t="s">
        <v>1166</v>
      </c>
      <c r="B84" s="143"/>
      <c r="C84" s="72" t="s">
        <v>1167</v>
      </c>
      <c r="D84" s="281" t="s">
        <v>1153</v>
      </c>
      <c r="E84" s="223">
        <v>8</v>
      </c>
      <c r="F84" s="210">
        <v>1154</v>
      </c>
      <c r="G84" s="2269">
        <f t="shared" si="35"/>
        <v>9232</v>
      </c>
      <c r="H84" s="241"/>
      <c r="I84" s="268" t="s">
        <v>1153</v>
      </c>
      <c r="J84" s="223">
        <v>8</v>
      </c>
      <c r="K84" s="2270">
        <f t="shared" si="36"/>
        <v>1154</v>
      </c>
      <c r="L84" s="251">
        <f t="shared" si="37"/>
        <v>9232</v>
      </c>
      <c r="N84" s="220">
        <f t="shared" si="38"/>
        <v>0</v>
      </c>
    </row>
    <row r="85" spans="1:14" ht="13.8">
      <c r="A85" s="145"/>
      <c r="B85" s="143"/>
      <c r="C85" s="72"/>
      <c r="D85" s="281"/>
      <c r="E85" s="223"/>
      <c r="F85" s="210"/>
      <c r="G85" s="1701"/>
      <c r="H85" s="242"/>
      <c r="I85" s="268"/>
      <c r="J85" s="223"/>
      <c r="K85" s="1701"/>
      <c r="L85" s="2253"/>
      <c r="N85" s="220">
        <f t="shared" si="38"/>
        <v>0</v>
      </c>
    </row>
    <row r="86" spans="1:14" ht="13.8">
      <c r="A86" s="145" t="s">
        <v>1168</v>
      </c>
      <c r="B86" s="143"/>
      <c r="C86" s="72" t="s">
        <v>1169</v>
      </c>
      <c r="D86" s="281" t="s">
        <v>1153</v>
      </c>
      <c r="E86" s="223">
        <v>6</v>
      </c>
      <c r="F86" s="210">
        <v>1863</v>
      </c>
      <c r="G86" s="2269">
        <f t="shared" si="35"/>
        <v>11178</v>
      </c>
      <c r="H86" s="241"/>
      <c r="I86" s="268" t="s">
        <v>1153</v>
      </c>
      <c r="J86" s="223">
        <v>1</v>
      </c>
      <c r="K86" s="2270">
        <f t="shared" si="36"/>
        <v>1863</v>
      </c>
      <c r="L86" s="251">
        <f t="shared" si="37"/>
        <v>1863</v>
      </c>
      <c r="N86" s="220">
        <f t="shared" si="38"/>
        <v>9315</v>
      </c>
    </row>
    <row r="87" spans="1:14" ht="13.8">
      <c r="A87" s="145"/>
      <c r="B87" s="143"/>
      <c r="C87" s="72"/>
      <c r="D87" s="281"/>
      <c r="E87" s="223"/>
      <c r="F87" s="210"/>
      <c r="G87" s="1701"/>
      <c r="H87" s="242"/>
      <c r="I87" s="268"/>
      <c r="J87" s="223"/>
      <c r="K87" s="1701"/>
      <c r="L87" s="2253"/>
      <c r="N87" s="220">
        <f t="shared" si="38"/>
        <v>0</v>
      </c>
    </row>
    <row r="88" spans="1:14" ht="13.8">
      <c r="A88" s="145" t="s">
        <v>1170</v>
      </c>
      <c r="B88" s="143"/>
      <c r="C88" s="72" t="s">
        <v>1171</v>
      </c>
      <c r="D88" s="281" t="s">
        <v>1153</v>
      </c>
      <c r="E88" s="224">
        <v>10</v>
      </c>
      <c r="F88" s="210">
        <v>1022</v>
      </c>
      <c r="G88" s="2269">
        <f t="shared" si="35"/>
        <v>10220</v>
      </c>
      <c r="H88" s="241"/>
      <c r="I88" s="268" t="s">
        <v>1153</v>
      </c>
      <c r="J88" s="224">
        <v>2</v>
      </c>
      <c r="K88" s="2270">
        <f t="shared" si="36"/>
        <v>1022</v>
      </c>
      <c r="L88" s="251">
        <f t="shared" si="37"/>
        <v>2044</v>
      </c>
      <c r="N88" s="220">
        <f t="shared" si="38"/>
        <v>8176</v>
      </c>
    </row>
    <row r="89" spans="1:14" ht="13.8">
      <c r="A89" s="145"/>
      <c r="B89" s="143"/>
      <c r="C89" s="72"/>
      <c r="D89" s="281"/>
      <c r="E89" s="224"/>
      <c r="F89" s="210"/>
      <c r="G89" s="1701"/>
      <c r="H89" s="242"/>
      <c r="I89" s="268"/>
      <c r="J89" s="224"/>
      <c r="K89" s="1701"/>
      <c r="L89" s="2253"/>
      <c r="N89" s="220"/>
    </row>
    <row r="90" spans="1:14" ht="13.8">
      <c r="A90" s="145"/>
      <c r="B90" s="143"/>
      <c r="C90" s="53" t="s">
        <v>1172</v>
      </c>
      <c r="D90" s="141"/>
      <c r="E90" s="2295"/>
      <c r="F90" s="210"/>
      <c r="G90" s="1701"/>
      <c r="H90" s="242"/>
      <c r="I90" s="255"/>
      <c r="J90" s="2295"/>
      <c r="K90" s="1701"/>
      <c r="L90" s="2253"/>
      <c r="N90" s="220"/>
    </row>
    <row r="91" spans="1:14" ht="13.8">
      <c r="A91" s="160"/>
      <c r="B91" s="143"/>
      <c r="C91" s="71"/>
      <c r="D91" s="141"/>
      <c r="E91" s="2295"/>
      <c r="F91" s="210"/>
      <c r="G91" s="1701"/>
      <c r="H91" s="242"/>
      <c r="I91" s="255"/>
      <c r="J91" s="2295"/>
      <c r="K91" s="1701"/>
      <c r="L91" s="2253"/>
      <c r="N91" s="220"/>
    </row>
    <row r="92" spans="1:14" ht="13.8">
      <c r="A92" s="161">
        <v>10.5</v>
      </c>
      <c r="B92" s="143"/>
      <c r="C92" s="55" t="s">
        <v>1173</v>
      </c>
      <c r="D92" s="141"/>
      <c r="E92" s="2295"/>
      <c r="F92" s="210"/>
      <c r="G92" s="1701"/>
      <c r="H92" s="242"/>
      <c r="I92" s="255"/>
      <c r="J92" s="2295"/>
      <c r="K92" s="1701"/>
      <c r="L92" s="2253"/>
      <c r="N92" s="220"/>
    </row>
    <row r="93" spans="1:14" ht="13.8">
      <c r="A93" s="145" t="s">
        <v>1174</v>
      </c>
      <c r="B93" s="159"/>
      <c r="C93" s="71" t="s">
        <v>1175</v>
      </c>
      <c r="D93" s="141" t="s">
        <v>230</v>
      </c>
      <c r="E93" s="225"/>
      <c r="F93" s="210">
        <v>14090</v>
      </c>
      <c r="G93" s="210">
        <v>14090</v>
      </c>
      <c r="H93" s="261"/>
      <c r="I93" s="255" t="s">
        <v>230</v>
      </c>
      <c r="J93" s="225"/>
      <c r="K93" s="2270">
        <f>F93</f>
        <v>14090</v>
      </c>
      <c r="L93" s="251">
        <v>14090</v>
      </c>
      <c r="N93" s="220">
        <f>G93-L93</f>
        <v>0</v>
      </c>
    </row>
    <row r="94" spans="1:14" ht="13.8">
      <c r="A94" s="145"/>
      <c r="B94" s="143"/>
      <c r="C94" s="71"/>
      <c r="D94" s="141"/>
      <c r="E94" s="2295"/>
      <c r="F94" s="210"/>
      <c r="G94" s="1701"/>
      <c r="H94" s="242"/>
      <c r="I94" s="255"/>
      <c r="J94" s="2295"/>
      <c r="K94" s="1701"/>
      <c r="L94" s="2253"/>
      <c r="N94" s="220">
        <f t="shared" si="38"/>
        <v>0</v>
      </c>
    </row>
    <row r="95" spans="1:14" ht="13.8">
      <c r="A95" s="145"/>
      <c r="B95" s="143"/>
      <c r="C95" s="53" t="s">
        <v>1176</v>
      </c>
      <c r="D95" s="141"/>
      <c r="E95" s="2295"/>
      <c r="F95" s="210"/>
      <c r="G95" s="1701"/>
      <c r="H95" s="242"/>
      <c r="I95" s="255"/>
      <c r="J95" s="2295"/>
      <c r="K95" s="1701"/>
      <c r="L95" s="2253"/>
      <c r="N95" s="220">
        <f t="shared" si="38"/>
        <v>0</v>
      </c>
    </row>
    <row r="96" spans="1:14" ht="13.8">
      <c r="A96" s="145"/>
      <c r="B96" s="143"/>
      <c r="C96" s="71"/>
      <c r="D96" s="141"/>
      <c r="E96" s="2295"/>
      <c r="F96" s="210"/>
      <c r="G96" s="1701"/>
      <c r="H96" s="242"/>
      <c r="I96" s="255"/>
      <c r="J96" s="2295"/>
      <c r="K96" s="1701"/>
      <c r="L96" s="2253"/>
      <c r="N96" s="220">
        <f t="shared" si="38"/>
        <v>0</v>
      </c>
    </row>
    <row r="97" spans="1:14" ht="13.8">
      <c r="A97" s="161">
        <v>10.6</v>
      </c>
      <c r="B97" s="143"/>
      <c r="C97" s="53" t="s">
        <v>1177</v>
      </c>
      <c r="D97" s="141"/>
      <c r="E97" s="2295"/>
      <c r="F97" s="210"/>
      <c r="G97" s="1701"/>
      <c r="H97" s="242"/>
      <c r="I97" s="255"/>
      <c r="J97" s="2295"/>
      <c r="K97" s="1701"/>
      <c r="L97" s="2253"/>
      <c r="N97" s="220">
        <f t="shared" si="38"/>
        <v>0</v>
      </c>
    </row>
    <row r="98" spans="1:14" ht="13.8">
      <c r="A98" s="145" t="s">
        <v>1178</v>
      </c>
      <c r="B98" s="143"/>
      <c r="C98" s="139" t="s">
        <v>1179</v>
      </c>
      <c r="D98" s="141" t="s">
        <v>230</v>
      </c>
      <c r="E98" s="225"/>
      <c r="F98" s="210">
        <v>47054</v>
      </c>
      <c r="G98" s="210">
        <v>47054</v>
      </c>
      <c r="H98" s="261"/>
      <c r="I98" s="255" t="s">
        <v>230</v>
      </c>
      <c r="J98" s="225"/>
      <c r="K98" s="2270">
        <f>F98</f>
        <v>47054</v>
      </c>
      <c r="L98" s="251">
        <f>K98</f>
        <v>47054</v>
      </c>
      <c r="N98" s="220">
        <f>G98-L98</f>
        <v>0</v>
      </c>
    </row>
    <row r="99" spans="1:14" ht="13.8">
      <c r="A99" s="145"/>
      <c r="B99" s="143"/>
      <c r="C99" s="53"/>
      <c r="D99" s="141"/>
      <c r="E99" s="2295"/>
      <c r="F99" s="210"/>
      <c r="G99" s="1701"/>
      <c r="H99" s="242"/>
      <c r="I99" s="255"/>
      <c r="J99" s="2295"/>
      <c r="K99" s="1701"/>
      <c r="L99" s="2253"/>
      <c r="N99" s="220">
        <f t="shared" si="38"/>
        <v>0</v>
      </c>
    </row>
    <row r="100" spans="1:14" ht="13.8">
      <c r="A100" s="161">
        <v>10.7</v>
      </c>
      <c r="B100" s="143"/>
      <c r="C100" s="53" t="s">
        <v>1180</v>
      </c>
      <c r="D100" s="141"/>
      <c r="E100" s="2295"/>
      <c r="F100" s="210"/>
      <c r="G100" s="1701"/>
      <c r="H100" s="242"/>
      <c r="I100" s="255"/>
      <c r="J100" s="2295"/>
      <c r="K100" s="1701"/>
      <c r="L100" s="2253"/>
      <c r="N100" s="220">
        <f t="shared" si="38"/>
        <v>0</v>
      </c>
    </row>
    <row r="101" spans="1:14" ht="13.8">
      <c r="A101" s="145" t="s">
        <v>1181</v>
      </c>
      <c r="B101" s="143"/>
      <c r="C101" s="139" t="s">
        <v>1182</v>
      </c>
      <c r="D101" s="141" t="s">
        <v>561</v>
      </c>
      <c r="E101" s="226">
        <v>400</v>
      </c>
      <c r="F101" s="210">
        <v>305.2</v>
      </c>
      <c r="G101" s="2269">
        <f t="shared" ref="G101" si="39">F101*E101</f>
        <v>122080</v>
      </c>
      <c r="H101" s="241"/>
      <c r="I101" s="255" t="s">
        <v>561</v>
      </c>
      <c r="J101" s="226">
        <v>161</v>
      </c>
      <c r="K101" s="2270">
        <f t="shared" ref="K101" si="40">F101</f>
        <v>305.2</v>
      </c>
      <c r="L101" s="251">
        <f t="shared" ref="L101" si="41">K101*J101</f>
        <v>49137.2</v>
      </c>
      <c r="N101" s="220">
        <f t="shared" si="38"/>
        <v>72942.8</v>
      </c>
    </row>
    <row r="102" spans="1:14" ht="13.8">
      <c r="A102" s="145"/>
      <c r="B102" s="143"/>
      <c r="C102" s="139"/>
      <c r="D102" s="141"/>
      <c r="E102" s="142"/>
      <c r="F102" s="210"/>
      <c r="G102" s="1701"/>
      <c r="H102" s="242"/>
      <c r="I102" s="255"/>
      <c r="J102" s="142"/>
      <c r="K102" s="1701"/>
      <c r="L102" s="2253"/>
      <c r="N102" s="220"/>
    </row>
    <row r="103" spans="1:14" ht="13.5" customHeight="1">
      <c r="A103" s="15"/>
      <c r="B103" s="11"/>
      <c r="C103" s="13"/>
      <c r="D103" s="874"/>
      <c r="E103" s="16"/>
      <c r="F103" s="206"/>
      <c r="G103" s="2252"/>
      <c r="H103" s="243"/>
      <c r="I103" s="253"/>
      <c r="J103" s="16"/>
      <c r="K103" s="1701"/>
      <c r="L103" s="2253"/>
      <c r="N103" s="220"/>
    </row>
    <row r="104" spans="1:14">
      <c r="A104" s="1786"/>
      <c r="B104" s="801"/>
      <c r="C104" s="862"/>
      <c r="D104" s="801"/>
      <c r="E104" s="800"/>
      <c r="F104" s="2302"/>
      <c r="G104" s="2303"/>
      <c r="H104" s="2304"/>
      <c r="I104" s="3019"/>
      <c r="J104" s="3022"/>
      <c r="K104" s="2305"/>
      <c r="L104" s="2306"/>
      <c r="N104" s="220"/>
    </row>
    <row r="105" spans="1:14">
      <c r="A105" s="802"/>
      <c r="B105" s="426"/>
      <c r="C105" s="413" t="s">
        <v>289</v>
      </c>
      <c r="D105" s="426"/>
      <c r="E105" s="425"/>
      <c r="F105" s="207"/>
      <c r="G105" s="2307"/>
      <c r="H105" s="217"/>
      <c r="I105" s="3020"/>
      <c r="J105" s="3023"/>
      <c r="K105" s="2308"/>
      <c r="L105" s="252"/>
      <c r="N105" s="220"/>
    </row>
    <row r="106" spans="1:14">
      <c r="A106" s="17"/>
      <c r="B106" s="11"/>
      <c r="C106" s="34" t="s">
        <v>290</v>
      </c>
      <c r="D106" s="874"/>
      <c r="E106" s="16"/>
      <c r="F106" s="206"/>
      <c r="G106" s="203"/>
      <c r="H106" s="244"/>
      <c r="I106" s="253"/>
      <c r="J106" s="16"/>
      <c r="K106" s="1701"/>
      <c r="L106" s="2253"/>
      <c r="N106" s="220"/>
    </row>
    <row r="107" spans="1:14">
      <c r="A107" s="16"/>
      <c r="B107" s="11"/>
      <c r="C107" s="34"/>
      <c r="D107" s="16"/>
      <c r="E107" s="16"/>
      <c r="F107" s="206"/>
      <c r="G107" s="203"/>
      <c r="H107" s="245"/>
      <c r="I107" s="253"/>
      <c r="J107" s="16"/>
      <c r="K107" s="1701"/>
      <c r="L107" s="2253"/>
      <c r="N107" s="220"/>
    </row>
    <row r="108" spans="1:14" ht="13.8">
      <c r="A108" s="162"/>
      <c r="B108" s="163"/>
      <c r="C108" s="61" t="s">
        <v>1183</v>
      </c>
      <c r="D108" s="219"/>
      <c r="E108" s="227"/>
      <c r="F108" s="210"/>
      <c r="G108" s="1701"/>
      <c r="H108" s="242"/>
      <c r="I108" s="270"/>
      <c r="J108" s="227"/>
      <c r="K108" s="1701"/>
      <c r="L108" s="2253"/>
      <c r="N108" s="220"/>
    </row>
    <row r="109" spans="1:14" ht="13.8">
      <c r="A109" s="162"/>
      <c r="B109" s="163"/>
      <c r="C109" s="62" t="s">
        <v>1096</v>
      </c>
      <c r="D109" s="219"/>
      <c r="E109" s="227"/>
      <c r="F109" s="210"/>
      <c r="G109" s="1701"/>
      <c r="H109" s="242"/>
      <c r="I109" s="270"/>
      <c r="J109" s="227"/>
      <c r="K109" s="1701"/>
      <c r="L109" s="2253"/>
      <c r="N109" s="220"/>
    </row>
    <row r="110" spans="1:14" ht="14.4">
      <c r="A110" s="162"/>
      <c r="B110" s="164"/>
      <c r="C110" s="63"/>
      <c r="D110" s="219"/>
      <c r="E110" s="227"/>
      <c r="F110" s="210"/>
      <c r="G110" s="1701"/>
      <c r="H110" s="242"/>
      <c r="I110" s="270"/>
      <c r="J110" s="227"/>
      <c r="K110" s="1701"/>
      <c r="L110" s="2253"/>
      <c r="N110" s="220"/>
    </row>
    <row r="111" spans="1:14" ht="13.8">
      <c r="A111" s="165">
        <v>10.8</v>
      </c>
      <c r="B111" s="164"/>
      <c r="C111" s="57" t="s">
        <v>1184</v>
      </c>
      <c r="D111" s="219"/>
      <c r="E111" s="228"/>
      <c r="F111" s="210"/>
      <c r="G111" s="1701"/>
      <c r="H111" s="242"/>
      <c r="I111" s="270"/>
      <c r="J111" s="228"/>
      <c r="K111" s="1701"/>
      <c r="L111" s="2253"/>
      <c r="N111" s="220"/>
    </row>
    <row r="112" spans="1:14" ht="13.8">
      <c r="A112" s="166"/>
      <c r="B112" s="167"/>
      <c r="C112" s="45"/>
      <c r="D112" s="219"/>
      <c r="E112" s="229"/>
      <c r="F112" s="210"/>
      <c r="G112" s="1701"/>
      <c r="H112" s="242"/>
      <c r="I112" s="270"/>
      <c r="J112" s="229"/>
      <c r="K112" s="1701"/>
      <c r="L112" s="2253"/>
      <c r="N112" s="220"/>
    </row>
    <row r="113" spans="1:14" ht="13.8">
      <c r="A113" s="166" t="s">
        <v>1185</v>
      </c>
      <c r="B113" s="168"/>
      <c r="C113" s="38" t="s">
        <v>1099</v>
      </c>
      <c r="D113" s="2257" t="s">
        <v>691</v>
      </c>
      <c r="E113" s="2268">
        <v>2</v>
      </c>
      <c r="F113" s="210">
        <v>788</v>
      </c>
      <c r="G113" s="2269">
        <f t="shared" ref="G113:G125" si="42">F113*E113</f>
        <v>1576</v>
      </c>
      <c r="H113" s="241"/>
      <c r="I113" s="264" t="s">
        <v>691</v>
      </c>
      <c r="J113" s="2268">
        <v>2</v>
      </c>
      <c r="K113" s="2270">
        <f t="shared" ref="K113:K125" si="43">F113</f>
        <v>788</v>
      </c>
      <c r="L113" s="251">
        <f t="shared" ref="L113:L125" si="44">K113*J113</f>
        <v>1576</v>
      </c>
      <c r="N113" s="220">
        <f t="shared" si="38"/>
        <v>0</v>
      </c>
    </row>
    <row r="114" spans="1:14" ht="13.8">
      <c r="A114" s="166"/>
      <c r="B114" s="168"/>
      <c r="C114" s="38"/>
      <c r="D114" s="2257"/>
      <c r="E114" s="2271"/>
      <c r="F114" s="210"/>
      <c r="G114" s="1701"/>
      <c r="H114" s="242"/>
      <c r="I114" s="264"/>
      <c r="J114" s="2271"/>
      <c r="K114" s="1701"/>
      <c r="L114" s="2253"/>
      <c r="N114" s="220">
        <f t="shared" si="38"/>
        <v>0</v>
      </c>
    </row>
    <row r="115" spans="1:14" ht="13.8">
      <c r="A115" s="166" t="s">
        <v>1186</v>
      </c>
      <c r="B115" s="164"/>
      <c r="C115" s="2272" t="s">
        <v>1101</v>
      </c>
      <c r="D115" s="2257" t="s">
        <v>691</v>
      </c>
      <c r="E115" s="2273">
        <v>2</v>
      </c>
      <c r="F115" s="210">
        <v>2100</v>
      </c>
      <c r="G115" s="2269">
        <f t="shared" si="42"/>
        <v>4200</v>
      </c>
      <c r="H115" s="241"/>
      <c r="I115" s="264" t="s">
        <v>691</v>
      </c>
      <c r="J115" s="2273">
        <v>2</v>
      </c>
      <c r="K115" s="2270">
        <f t="shared" si="43"/>
        <v>2100</v>
      </c>
      <c r="L115" s="251">
        <f t="shared" si="44"/>
        <v>4200</v>
      </c>
      <c r="N115" s="220">
        <f t="shared" si="38"/>
        <v>0</v>
      </c>
    </row>
    <row r="116" spans="1:14" ht="13.8">
      <c r="A116" s="166"/>
      <c r="B116" s="168"/>
      <c r="C116" s="39"/>
      <c r="D116" s="2257"/>
      <c r="E116" s="2273"/>
      <c r="F116" s="210"/>
      <c r="G116" s="1701"/>
      <c r="H116" s="242"/>
      <c r="I116" s="264"/>
      <c r="J116" s="2273"/>
      <c r="K116" s="1701"/>
      <c r="L116" s="2253"/>
      <c r="N116" s="220">
        <f t="shared" si="38"/>
        <v>0</v>
      </c>
    </row>
    <row r="117" spans="1:14" ht="13.8">
      <c r="A117" s="166" t="s">
        <v>1187</v>
      </c>
      <c r="B117" s="164"/>
      <c r="C117" s="38" t="s">
        <v>1103</v>
      </c>
      <c r="D117" s="2257" t="s">
        <v>691</v>
      </c>
      <c r="E117" s="2274">
        <v>3</v>
      </c>
      <c r="F117" s="210">
        <v>788</v>
      </c>
      <c r="G117" s="2269">
        <f t="shared" si="42"/>
        <v>2364</v>
      </c>
      <c r="H117" s="241"/>
      <c r="I117" s="264" t="s">
        <v>691</v>
      </c>
      <c r="J117" s="2274">
        <v>3</v>
      </c>
      <c r="K117" s="2270">
        <f t="shared" si="43"/>
        <v>788</v>
      </c>
      <c r="L117" s="251">
        <f t="shared" si="44"/>
        <v>2364</v>
      </c>
      <c r="N117" s="220">
        <f t="shared" si="38"/>
        <v>0</v>
      </c>
    </row>
    <row r="118" spans="1:14" ht="13.8">
      <c r="A118" s="166"/>
      <c r="B118" s="164"/>
      <c r="C118" s="38"/>
      <c r="D118" s="2257"/>
      <c r="E118" s="2274"/>
      <c r="F118" s="210"/>
      <c r="G118" s="1701"/>
      <c r="H118" s="242"/>
      <c r="I118" s="264"/>
      <c r="J118" s="2274"/>
      <c r="K118" s="1701"/>
      <c r="L118" s="2253"/>
      <c r="N118" s="220">
        <f t="shared" si="38"/>
        <v>0</v>
      </c>
    </row>
    <row r="119" spans="1:14" ht="13.8">
      <c r="A119" s="166" t="s">
        <v>1188</v>
      </c>
      <c r="B119" s="164"/>
      <c r="C119" s="2272" t="s">
        <v>1105</v>
      </c>
      <c r="D119" s="2257" t="s">
        <v>691</v>
      </c>
      <c r="E119" s="2274">
        <v>3</v>
      </c>
      <c r="F119" s="210">
        <v>2100</v>
      </c>
      <c r="G119" s="2269">
        <f t="shared" si="42"/>
        <v>6300</v>
      </c>
      <c r="H119" s="241"/>
      <c r="I119" s="264" t="s">
        <v>691</v>
      </c>
      <c r="J119" s="2274">
        <v>3</v>
      </c>
      <c r="K119" s="2270">
        <f t="shared" si="43"/>
        <v>2100</v>
      </c>
      <c r="L119" s="251">
        <f t="shared" si="44"/>
        <v>6300</v>
      </c>
      <c r="N119" s="220">
        <f t="shared" si="38"/>
        <v>0</v>
      </c>
    </row>
    <row r="120" spans="1:14" ht="13.8">
      <c r="A120" s="166"/>
      <c r="B120" s="164"/>
      <c r="C120" s="39"/>
      <c r="D120" s="2257"/>
      <c r="E120" s="2274"/>
      <c r="F120" s="210"/>
      <c r="G120" s="1701"/>
      <c r="H120" s="242"/>
      <c r="I120" s="264"/>
      <c r="J120" s="2274"/>
      <c r="K120" s="1701"/>
      <c r="L120" s="2253"/>
      <c r="N120" s="220">
        <f t="shared" si="38"/>
        <v>0</v>
      </c>
    </row>
    <row r="121" spans="1:14" ht="13.8">
      <c r="A121" s="166" t="s">
        <v>1189</v>
      </c>
      <c r="B121" s="168"/>
      <c r="C121" s="2272" t="s">
        <v>1107</v>
      </c>
      <c r="D121" s="2257" t="s">
        <v>691</v>
      </c>
      <c r="E121" s="2273">
        <v>2</v>
      </c>
      <c r="F121" s="210">
        <v>2703</v>
      </c>
      <c r="G121" s="2269">
        <f t="shared" si="42"/>
        <v>5406</v>
      </c>
      <c r="H121" s="241"/>
      <c r="I121" s="264" t="s">
        <v>691</v>
      </c>
      <c r="J121" s="2273">
        <v>0</v>
      </c>
      <c r="K121" s="2270">
        <f t="shared" si="43"/>
        <v>2703</v>
      </c>
      <c r="L121" s="251">
        <f t="shared" si="44"/>
        <v>0</v>
      </c>
      <c r="N121" s="220">
        <f t="shared" si="38"/>
        <v>5406</v>
      </c>
    </row>
    <row r="122" spans="1:14" ht="13.8">
      <c r="A122" s="166"/>
      <c r="B122" s="168"/>
      <c r="C122" s="38"/>
      <c r="D122" s="2257"/>
      <c r="E122" s="2273"/>
      <c r="F122" s="210"/>
      <c r="G122" s="1701"/>
      <c r="H122" s="242"/>
      <c r="I122" s="264"/>
      <c r="J122" s="2273"/>
      <c r="K122" s="1701"/>
      <c r="L122" s="2253"/>
      <c r="N122" s="220">
        <f t="shared" si="38"/>
        <v>0</v>
      </c>
    </row>
    <row r="123" spans="1:14" ht="13.8">
      <c r="A123" s="166" t="s">
        <v>1190</v>
      </c>
      <c r="B123" s="168"/>
      <c r="C123" s="2272" t="s">
        <v>1109</v>
      </c>
      <c r="D123" s="2276" t="s">
        <v>691</v>
      </c>
      <c r="E123" s="2277">
        <v>2</v>
      </c>
      <c r="F123" s="210">
        <v>2100</v>
      </c>
      <c r="G123" s="2269">
        <f t="shared" si="42"/>
        <v>4200</v>
      </c>
      <c r="H123" s="241"/>
      <c r="I123" s="265" t="s">
        <v>691</v>
      </c>
      <c r="J123" s="2277">
        <v>2</v>
      </c>
      <c r="K123" s="2270">
        <f t="shared" si="43"/>
        <v>2100</v>
      </c>
      <c r="L123" s="251">
        <f t="shared" si="44"/>
        <v>4200</v>
      </c>
      <c r="N123" s="220">
        <f t="shared" si="38"/>
        <v>0</v>
      </c>
    </row>
    <row r="124" spans="1:14" ht="13.8">
      <c r="A124" s="166"/>
      <c r="B124" s="168"/>
      <c r="C124" s="58"/>
      <c r="D124" s="219"/>
      <c r="E124" s="230"/>
      <c r="F124" s="210"/>
      <c r="G124" s="1701"/>
      <c r="H124" s="242"/>
      <c r="I124" s="270"/>
      <c r="J124" s="230"/>
      <c r="K124" s="1701"/>
      <c r="L124" s="2253"/>
      <c r="N124" s="220">
        <f t="shared" si="38"/>
        <v>0</v>
      </c>
    </row>
    <row r="125" spans="1:14" ht="13.8">
      <c r="A125" s="166" t="s">
        <v>1191</v>
      </c>
      <c r="B125" s="168"/>
      <c r="C125" s="2272" t="s">
        <v>1192</v>
      </c>
      <c r="D125" s="2276" t="s">
        <v>691</v>
      </c>
      <c r="E125" s="2277">
        <v>1</v>
      </c>
      <c r="F125" s="210">
        <v>1260</v>
      </c>
      <c r="G125" s="2269">
        <f t="shared" si="42"/>
        <v>1260</v>
      </c>
      <c r="H125" s="241"/>
      <c r="I125" s="265" t="s">
        <v>691</v>
      </c>
      <c r="J125" s="2277">
        <v>13</v>
      </c>
      <c r="K125" s="2270">
        <f t="shared" si="43"/>
        <v>1260</v>
      </c>
      <c r="L125" s="251">
        <f t="shared" si="44"/>
        <v>16380</v>
      </c>
      <c r="N125" s="220">
        <f t="shared" si="38"/>
        <v>-15120</v>
      </c>
    </row>
    <row r="126" spans="1:14" ht="13.8">
      <c r="A126" s="166"/>
      <c r="B126" s="164"/>
      <c r="C126" s="59"/>
      <c r="D126" s="219"/>
      <c r="E126" s="75"/>
      <c r="F126" s="210"/>
      <c r="G126" s="1701"/>
      <c r="H126" s="242"/>
      <c r="I126" s="270"/>
      <c r="J126" s="75"/>
      <c r="K126" s="1701"/>
      <c r="L126" s="2253"/>
      <c r="N126" s="220"/>
    </row>
    <row r="127" spans="1:14" ht="13.8">
      <c r="A127" s="162"/>
      <c r="B127" s="164"/>
      <c r="C127" s="43" t="s">
        <v>1112</v>
      </c>
      <c r="D127" s="219"/>
      <c r="E127" s="219"/>
      <c r="F127" s="210"/>
      <c r="G127" s="1701"/>
      <c r="H127" s="242"/>
      <c r="I127" s="270"/>
      <c r="J127" s="219"/>
      <c r="K127" s="1701"/>
      <c r="L127" s="2253"/>
      <c r="N127" s="220"/>
    </row>
    <row r="128" spans="1:14" ht="13.8">
      <c r="A128" s="165">
        <v>10.9</v>
      </c>
      <c r="B128" s="169"/>
      <c r="C128" s="64" t="s">
        <v>1193</v>
      </c>
      <c r="D128" s="219"/>
      <c r="E128" s="219"/>
      <c r="F128" s="210"/>
      <c r="G128" s="1701"/>
      <c r="H128" s="242"/>
      <c r="I128" s="270"/>
      <c r="J128" s="219"/>
      <c r="K128" s="1701"/>
      <c r="L128" s="2253"/>
      <c r="N128" s="220"/>
    </row>
    <row r="129" spans="1:14" ht="13.8">
      <c r="A129" s="166"/>
      <c r="B129" s="164"/>
      <c r="C129" s="59"/>
      <c r="D129" s="219"/>
      <c r="E129" s="75"/>
      <c r="F129" s="210"/>
      <c r="G129" s="1701"/>
      <c r="H129" s="242"/>
      <c r="I129" s="270"/>
      <c r="J129" s="75"/>
      <c r="K129" s="1701"/>
      <c r="L129" s="2253"/>
      <c r="N129" s="220"/>
    </row>
    <row r="130" spans="1:14" ht="27.6">
      <c r="A130" s="166" t="s">
        <v>1194</v>
      </c>
      <c r="B130" s="164"/>
      <c r="C130" s="58" t="s">
        <v>1195</v>
      </c>
      <c r="D130" s="219" t="s">
        <v>691</v>
      </c>
      <c r="E130" s="219">
        <v>1</v>
      </c>
      <c r="F130" s="210">
        <v>10660</v>
      </c>
      <c r="G130" s="2269">
        <f t="shared" ref="G130:G134" si="45">F130*E130</f>
        <v>10660</v>
      </c>
      <c r="H130" s="241"/>
      <c r="I130" s="270" t="s">
        <v>691</v>
      </c>
      <c r="J130" s="219">
        <v>1</v>
      </c>
      <c r="K130" s="2270">
        <f t="shared" ref="K130" si="46">F130</f>
        <v>10660</v>
      </c>
      <c r="L130" s="251">
        <f t="shared" ref="L130" si="47">K130*J130</f>
        <v>10660</v>
      </c>
      <c r="N130" s="220">
        <f t="shared" si="38"/>
        <v>0</v>
      </c>
    </row>
    <row r="131" spans="1:14" ht="13.8">
      <c r="A131" s="166"/>
      <c r="B131" s="164"/>
      <c r="C131" s="56"/>
      <c r="D131" s="219"/>
      <c r="E131" s="219"/>
      <c r="F131" s="210"/>
      <c r="G131" s="1701"/>
      <c r="H131" s="242"/>
      <c r="I131" s="270"/>
      <c r="J131" s="219"/>
      <c r="K131" s="1701"/>
      <c r="L131" s="2253"/>
      <c r="N131" s="220">
        <f t="shared" si="38"/>
        <v>0</v>
      </c>
    </row>
    <row r="132" spans="1:14" ht="27.6">
      <c r="A132" s="166" t="s">
        <v>1196</v>
      </c>
      <c r="B132" s="164"/>
      <c r="C132" s="59" t="s">
        <v>1197</v>
      </c>
      <c r="D132" s="219" t="s">
        <v>691</v>
      </c>
      <c r="E132" s="219">
        <v>1</v>
      </c>
      <c r="F132" s="210">
        <v>10660</v>
      </c>
      <c r="G132" s="2269">
        <f t="shared" si="45"/>
        <v>10660</v>
      </c>
      <c r="H132" s="241"/>
      <c r="I132" s="270" t="s">
        <v>691</v>
      </c>
      <c r="J132" s="219">
        <v>0</v>
      </c>
      <c r="K132" s="2270">
        <f t="shared" ref="K132" si="48">F132</f>
        <v>10660</v>
      </c>
      <c r="L132" s="251">
        <f t="shared" ref="L132" si="49">K132*J132</f>
        <v>0</v>
      </c>
      <c r="N132" s="220">
        <f t="shared" si="38"/>
        <v>10660</v>
      </c>
    </row>
    <row r="133" spans="1:14" ht="13.8">
      <c r="A133" s="166"/>
      <c r="B133" s="164"/>
      <c r="C133" s="59"/>
      <c r="D133" s="219"/>
      <c r="E133" s="219"/>
      <c r="F133" s="210"/>
      <c r="G133" s="1701"/>
      <c r="H133" s="242"/>
      <c r="I133" s="270"/>
      <c r="J133" s="219"/>
      <c r="K133" s="1701"/>
      <c r="L133" s="2253"/>
      <c r="N133" s="220">
        <f t="shared" si="38"/>
        <v>0</v>
      </c>
    </row>
    <row r="134" spans="1:14" ht="27.6">
      <c r="A134" s="166" t="s">
        <v>1198</v>
      </c>
      <c r="B134" s="164"/>
      <c r="C134" s="59" t="s">
        <v>1199</v>
      </c>
      <c r="D134" s="219" t="s">
        <v>691</v>
      </c>
      <c r="E134" s="75">
        <v>3</v>
      </c>
      <c r="F134" s="210">
        <v>10660</v>
      </c>
      <c r="G134" s="2269">
        <f t="shared" si="45"/>
        <v>31980</v>
      </c>
      <c r="H134" s="241"/>
      <c r="I134" s="270" t="s">
        <v>691</v>
      </c>
      <c r="J134" s="75">
        <v>2</v>
      </c>
      <c r="K134" s="2270">
        <f t="shared" ref="K134" si="50">F134</f>
        <v>10660</v>
      </c>
      <c r="L134" s="251">
        <f t="shared" ref="L134" si="51">K134*J134</f>
        <v>21320</v>
      </c>
      <c r="N134" s="220">
        <f t="shared" si="38"/>
        <v>10660</v>
      </c>
    </row>
    <row r="135" spans="1:14" ht="13.8">
      <c r="A135" s="166"/>
      <c r="B135" s="164"/>
      <c r="C135" s="59"/>
      <c r="D135" s="219"/>
      <c r="E135" s="75"/>
      <c r="F135" s="210"/>
      <c r="G135" s="1701"/>
      <c r="H135" s="242"/>
      <c r="I135" s="270"/>
      <c r="J135" s="75"/>
      <c r="K135" s="1701"/>
      <c r="L135" s="2253"/>
      <c r="N135" s="220"/>
    </row>
    <row r="136" spans="1:14" ht="27.6">
      <c r="A136" s="2286"/>
      <c r="B136" s="2287"/>
      <c r="C136" s="2288" t="s">
        <v>1120</v>
      </c>
      <c r="D136" s="2257" t="s">
        <v>691</v>
      </c>
      <c r="E136" s="2273">
        <v>0</v>
      </c>
      <c r="F136" s="1945">
        <v>0</v>
      </c>
      <c r="G136" s="2289">
        <f t="shared" ref="G136" si="52">F136*E136</f>
        <v>0</v>
      </c>
      <c r="H136" s="241"/>
      <c r="I136" s="277" t="s">
        <v>691</v>
      </c>
      <c r="J136" s="2290">
        <v>1</v>
      </c>
      <c r="K136" s="2291">
        <v>10660</v>
      </c>
      <c r="L136" s="278">
        <f t="shared" ref="L136" si="53">K136*J136</f>
        <v>10660</v>
      </c>
      <c r="N136" s="220">
        <f t="shared" ref="N136" si="54">G136-L136</f>
        <v>-10660</v>
      </c>
    </row>
    <row r="137" spans="1:14" ht="13.8">
      <c r="A137" s="166"/>
      <c r="B137" s="164"/>
      <c r="C137" s="59"/>
      <c r="D137" s="219"/>
      <c r="E137" s="75"/>
      <c r="F137" s="210"/>
      <c r="G137" s="205"/>
      <c r="H137" s="242"/>
      <c r="I137" s="270"/>
      <c r="J137" s="75"/>
      <c r="K137" s="1701"/>
      <c r="L137" s="2253"/>
      <c r="N137" s="220"/>
    </row>
    <row r="138" spans="1:14" ht="13.8">
      <c r="A138" s="166"/>
      <c r="B138" s="164"/>
      <c r="C138" s="59"/>
      <c r="D138" s="219"/>
      <c r="E138" s="75"/>
      <c r="F138" s="210"/>
      <c r="G138" s="205"/>
      <c r="H138" s="242"/>
      <c r="I138" s="270"/>
      <c r="J138" s="75"/>
      <c r="K138" s="1701"/>
      <c r="L138" s="2253"/>
      <c r="N138" s="220"/>
    </row>
    <row r="139" spans="1:14" ht="13.8">
      <c r="A139" s="166"/>
      <c r="B139" s="164"/>
      <c r="C139" s="59"/>
      <c r="D139" s="219"/>
      <c r="E139" s="75"/>
      <c r="F139" s="210"/>
      <c r="G139" s="205"/>
      <c r="H139" s="242"/>
      <c r="I139" s="270"/>
      <c r="J139" s="75"/>
      <c r="K139" s="1701"/>
      <c r="L139" s="661"/>
      <c r="N139" s="220"/>
    </row>
    <row r="140" spans="1:14" ht="13.8">
      <c r="A140" s="166"/>
      <c r="B140" s="164"/>
      <c r="C140" s="59"/>
      <c r="D140" s="219"/>
      <c r="E140" s="75"/>
      <c r="F140" s="210"/>
      <c r="G140" s="205"/>
      <c r="H140" s="242"/>
      <c r="I140" s="270"/>
      <c r="J140" s="75"/>
      <c r="K140" s="1701"/>
      <c r="L140" s="2253"/>
      <c r="N140" s="220"/>
    </row>
    <row r="141" spans="1:14" ht="13.8">
      <c r="A141" s="166"/>
      <c r="B141" s="164"/>
      <c r="C141" s="59"/>
      <c r="D141" s="219"/>
      <c r="E141" s="75"/>
      <c r="F141" s="210"/>
      <c r="G141" s="205"/>
      <c r="H141" s="242"/>
      <c r="I141" s="270"/>
      <c r="J141" s="75"/>
      <c r="K141" s="1701"/>
      <c r="L141" s="2253"/>
      <c r="N141" s="220"/>
    </row>
    <row r="142" spans="1:14" ht="13.8">
      <c r="A142" s="166"/>
      <c r="B142" s="164"/>
      <c r="C142" s="59"/>
      <c r="D142" s="219"/>
      <c r="E142" s="75"/>
      <c r="F142" s="210"/>
      <c r="G142" s="205"/>
      <c r="H142" s="242"/>
      <c r="I142" s="270"/>
      <c r="J142" s="75"/>
      <c r="K142" s="1701"/>
      <c r="L142" s="2253"/>
      <c r="N142" s="220"/>
    </row>
    <row r="143" spans="1:14" ht="13.8">
      <c r="A143" s="166"/>
      <c r="B143" s="164"/>
      <c r="C143" s="59"/>
      <c r="D143" s="219"/>
      <c r="E143" s="75"/>
      <c r="F143" s="210"/>
      <c r="G143" s="205"/>
      <c r="H143" s="242"/>
      <c r="I143" s="270"/>
      <c r="J143" s="75"/>
      <c r="K143" s="1701"/>
      <c r="L143" s="2253"/>
      <c r="N143" s="220"/>
    </row>
    <row r="144" spans="1:14" ht="13.8">
      <c r="A144" s="166"/>
      <c r="B144" s="164"/>
      <c r="C144" s="59"/>
      <c r="D144" s="219"/>
      <c r="E144" s="75"/>
      <c r="F144" s="210"/>
      <c r="G144" s="205"/>
      <c r="H144" s="242"/>
      <c r="I144" s="270"/>
      <c r="J144" s="75"/>
      <c r="K144" s="1701"/>
      <c r="L144" s="2253"/>
      <c r="N144" s="220"/>
    </row>
    <row r="145" spans="1:14" ht="13.8">
      <c r="A145" s="166"/>
      <c r="B145" s="164"/>
      <c r="C145" s="59"/>
      <c r="D145" s="219"/>
      <c r="E145" s="75"/>
      <c r="F145" s="210"/>
      <c r="G145" s="205"/>
      <c r="H145" s="242"/>
      <c r="I145" s="270"/>
      <c r="J145" s="75"/>
      <c r="K145" s="1701"/>
      <c r="L145" s="2253"/>
      <c r="N145" s="220"/>
    </row>
    <row r="146" spans="1:14" ht="13.8">
      <c r="A146" s="166"/>
      <c r="B146" s="164"/>
      <c r="C146" s="59"/>
      <c r="D146" s="219"/>
      <c r="E146" s="75"/>
      <c r="F146" s="210"/>
      <c r="G146" s="205"/>
      <c r="H146" s="242"/>
      <c r="I146" s="270"/>
      <c r="J146" s="75"/>
      <c r="K146" s="1701"/>
      <c r="L146" s="2253"/>
      <c r="N146" s="220"/>
    </row>
    <row r="147" spans="1:14" ht="13.8">
      <c r="A147" s="166"/>
      <c r="B147" s="164"/>
      <c r="C147" s="59"/>
      <c r="D147" s="219"/>
      <c r="E147" s="75"/>
      <c r="F147" s="210"/>
      <c r="G147" s="1701"/>
      <c r="H147" s="242"/>
      <c r="I147" s="270"/>
      <c r="J147" s="75"/>
      <c r="K147" s="1701"/>
      <c r="L147" s="2253"/>
      <c r="N147" s="220"/>
    </row>
    <row r="148" spans="1:14" ht="13.8">
      <c r="A148" s="166"/>
      <c r="B148" s="164"/>
      <c r="C148" s="59"/>
      <c r="D148" s="219"/>
      <c r="E148" s="75"/>
      <c r="F148" s="210"/>
      <c r="G148" s="1701"/>
      <c r="H148" s="242"/>
      <c r="I148" s="270"/>
      <c r="J148" s="75"/>
      <c r="K148" s="1701"/>
      <c r="L148" s="2253"/>
      <c r="N148" s="220"/>
    </row>
    <row r="149" spans="1:14" ht="13.8">
      <c r="A149" s="166"/>
      <c r="B149" s="164"/>
      <c r="C149" s="59"/>
      <c r="D149" s="219"/>
      <c r="E149" s="75"/>
      <c r="F149" s="210"/>
      <c r="G149" s="1701"/>
      <c r="H149" s="242"/>
      <c r="I149" s="270"/>
      <c r="J149" s="75"/>
      <c r="K149" s="1701"/>
      <c r="L149" s="2253"/>
      <c r="N149" s="220"/>
    </row>
    <row r="150" spans="1:14" ht="13.8">
      <c r="A150" s="166"/>
      <c r="B150" s="164"/>
      <c r="C150" s="59"/>
      <c r="D150" s="219"/>
      <c r="E150" s="75"/>
      <c r="F150" s="210"/>
      <c r="G150" s="1701"/>
      <c r="H150" s="242"/>
      <c r="I150" s="270"/>
      <c r="J150" s="75"/>
      <c r="K150" s="1701"/>
      <c r="L150" s="2253"/>
      <c r="N150" s="220"/>
    </row>
    <row r="151" spans="1:14" ht="13.8">
      <c r="A151" s="166"/>
      <c r="B151" s="164"/>
      <c r="C151" s="59"/>
      <c r="D151" s="219"/>
      <c r="E151" s="75"/>
      <c r="F151" s="210"/>
      <c r="G151" s="1701"/>
      <c r="H151" s="242"/>
      <c r="I151" s="270"/>
      <c r="J151" s="75"/>
      <c r="K151" s="1701"/>
      <c r="L151" s="2253"/>
      <c r="N151" s="220"/>
    </row>
    <row r="152" spans="1:14" ht="13.8">
      <c r="A152" s="166"/>
      <c r="B152" s="164"/>
      <c r="C152" s="59"/>
      <c r="D152" s="219"/>
      <c r="E152" s="75"/>
      <c r="F152" s="210"/>
      <c r="G152" s="1701"/>
      <c r="H152" s="242"/>
      <c r="I152" s="270"/>
      <c r="J152" s="75"/>
      <c r="K152" s="1701"/>
      <c r="L152" s="2253"/>
      <c r="N152" s="220"/>
    </row>
    <row r="153" spans="1:14" ht="13.8">
      <c r="A153" s="166"/>
      <c r="B153" s="164"/>
      <c r="C153" s="59"/>
      <c r="D153" s="219"/>
      <c r="E153" s="75"/>
      <c r="F153" s="210"/>
      <c r="G153" s="1701"/>
      <c r="H153" s="242"/>
      <c r="I153" s="270"/>
      <c r="J153" s="75"/>
      <c r="K153" s="1701"/>
      <c r="L153" s="2253"/>
      <c r="N153" s="220"/>
    </row>
    <row r="154" spans="1:14" ht="13.5" customHeight="1">
      <c r="A154" s="15"/>
      <c r="B154" s="11"/>
      <c r="C154" s="13"/>
      <c r="D154" s="874"/>
      <c r="E154" s="16"/>
      <c r="F154" s="206"/>
      <c r="G154" s="2252"/>
      <c r="H154" s="243"/>
      <c r="I154" s="253"/>
      <c r="J154" s="16"/>
      <c r="K154" s="1701"/>
      <c r="L154" s="2253"/>
      <c r="N154" s="220"/>
    </row>
    <row r="155" spans="1:14">
      <c r="A155" s="1786"/>
      <c r="B155" s="801"/>
      <c r="C155" s="862"/>
      <c r="D155" s="801"/>
      <c r="E155" s="800"/>
      <c r="F155" s="2302"/>
      <c r="G155" s="2303"/>
      <c r="H155" s="2304"/>
      <c r="I155" s="3019"/>
      <c r="J155" s="3022"/>
      <c r="K155" s="2305"/>
      <c r="L155" s="2306"/>
      <c r="N155" s="220"/>
    </row>
    <row r="156" spans="1:14">
      <c r="A156" s="802"/>
      <c r="B156" s="426"/>
      <c r="C156" s="413" t="s">
        <v>289</v>
      </c>
      <c r="D156" s="426"/>
      <c r="E156" s="425"/>
      <c r="F156" s="207"/>
      <c r="G156" s="2307"/>
      <c r="H156" s="217"/>
      <c r="I156" s="3020"/>
      <c r="J156" s="3023"/>
      <c r="K156" s="2308"/>
      <c r="L156" s="252"/>
      <c r="N156" s="220"/>
    </row>
    <row r="157" spans="1:14">
      <c r="A157" s="17"/>
      <c r="B157" s="11"/>
      <c r="C157" s="34" t="s">
        <v>290</v>
      </c>
      <c r="D157" s="874"/>
      <c r="E157" s="16"/>
      <c r="F157" s="206"/>
      <c r="G157" s="203"/>
      <c r="H157" s="244"/>
      <c r="I157" s="253"/>
      <c r="J157" s="16"/>
      <c r="K157" s="1701"/>
      <c r="L157" s="2253"/>
      <c r="N157" s="220"/>
    </row>
    <row r="158" spans="1:14">
      <c r="A158" s="16"/>
      <c r="B158" s="11"/>
      <c r="C158" s="34"/>
      <c r="D158" s="16"/>
      <c r="E158" s="16"/>
      <c r="F158" s="206"/>
      <c r="G158" s="203"/>
      <c r="H158" s="245"/>
      <c r="I158" s="253"/>
      <c r="J158" s="16"/>
      <c r="K158" s="1701"/>
      <c r="L158" s="2253"/>
      <c r="N158" s="220"/>
    </row>
    <row r="159" spans="1:14" ht="13.8">
      <c r="A159" s="165"/>
      <c r="B159" s="163"/>
      <c r="C159" s="43" t="s">
        <v>1121</v>
      </c>
      <c r="D159" s="219"/>
      <c r="E159" s="228"/>
      <c r="F159" s="210"/>
      <c r="G159" s="1701"/>
      <c r="H159" s="242"/>
      <c r="I159" s="270"/>
      <c r="J159" s="228"/>
      <c r="K159" s="1701"/>
      <c r="L159" s="2253"/>
      <c r="N159" s="220"/>
    </row>
    <row r="160" spans="1:14" ht="13.8">
      <c r="A160" s="170">
        <v>10.1</v>
      </c>
      <c r="B160" s="169"/>
      <c r="C160" s="64" t="s">
        <v>1200</v>
      </c>
      <c r="D160" s="219"/>
      <c r="E160" s="228"/>
      <c r="F160" s="210"/>
      <c r="G160" s="1701"/>
      <c r="H160" s="242"/>
      <c r="I160" s="270"/>
      <c r="J160" s="228"/>
      <c r="K160" s="1701"/>
      <c r="L160" s="2253"/>
      <c r="N160" s="220"/>
    </row>
    <row r="161" spans="1:14" ht="13.8">
      <c r="A161" s="162"/>
      <c r="B161" s="167"/>
      <c r="C161" s="60"/>
      <c r="D161" s="219"/>
      <c r="E161" s="228"/>
      <c r="F161" s="210"/>
      <c r="G161" s="1701"/>
      <c r="H161" s="242"/>
      <c r="I161" s="270"/>
      <c r="J161" s="228"/>
      <c r="K161" s="1701"/>
      <c r="L161" s="2253"/>
      <c r="N161" s="220"/>
    </row>
    <row r="162" spans="1:14" ht="13.8">
      <c r="A162" s="162" t="s">
        <v>1201</v>
      </c>
      <c r="B162" s="167"/>
      <c r="C162" s="71" t="s">
        <v>1124</v>
      </c>
      <c r="D162" s="219" t="s">
        <v>561</v>
      </c>
      <c r="E162" s="228">
        <v>700</v>
      </c>
      <c r="F162" s="210">
        <v>53</v>
      </c>
      <c r="G162" s="2269">
        <f t="shared" ref="G162:G176" si="55">F162*E162</f>
        <v>37100</v>
      </c>
      <c r="H162" s="241"/>
      <c r="I162" s="270" t="s">
        <v>561</v>
      </c>
      <c r="J162" s="228">
        <v>648</v>
      </c>
      <c r="K162" s="2270">
        <f t="shared" ref="K162:K176" si="56">F162</f>
        <v>53</v>
      </c>
      <c r="L162" s="251">
        <f t="shared" ref="L162:L176" si="57">K162*J162</f>
        <v>34344</v>
      </c>
      <c r="N162" s="220">
        <f t="shared" ref="N162:N203" si="58">G162-L162</f>
        <v>2756</v>
      </c>
    </row>
    <row r="163" spans="1:14" ht="13.8">
      <c r="A163" s="162"/>
      <c r="B163" s="167"/>
      <c r="C163" s="60"/>
      <c r="D163" s="219"/>
      <c r="E163" s="228"/>
      <c r="F163" s="210"/>
      <c r="G163" s="1701"/>
      <c r="H163" s="242"/>
      <c r="I163" s="270"/>
      <c r="J163" s="228"/>
      <c r="K163" s="1701"/>
      <c r="L163" s="2253"/>
      <c r="N163" s="220">
        <f t="shared" si="58"/>
        <v>0</v>
      </c>
    </row>
    <row r="164" spans="1:14" ht="13.8">
      <c r="A164" s="162" t="s">
        <v>1202</v>
      </c>
      <c r="B164" s="167"/>
      <c r="C164" s="71" t="s">
        <v>1126</v>
      </c>
      <c r="D164" s="141" t="s">
        <v>561</v>
      </c>
      <c r="E164" s="2295">
        <v>0</v>
      </c>
      <c r="F164" s="210">
        <v>20</v>
      </c>
      <c r="G164" s="2269">
        <f t="shared" si="55"/>
        <v>0</v>
      </c>
      <c r="H164" s="241"/>
      <c r="I164" s="255" t="s">
        <v>561</v>
      </c>
      <c r="J164" s="2295">
        <v>268</v>
      </c>
      <c r="K164" s="2270">
        <f t="shared" si="56"/>
        <v>20</v>
      </c>
      <c r="L164" s="251">
        <f t="shared" si="57"/>
        <v>5360</v>
      </c>
      <c r="N164" s="220">
        <f t="shared" si="58"/>
        <v>-5360</v>
      </c>
    </row>
    <row r="165" spans="1:14" ht="13.8">
      <c r="A165" s="162"/>
      <c r="B165" s="164"/>
      <c r="C165" s="64"/>
      <c r="D165" s="219"/>
      <c r="E165" s="228"/>
      <c r="F165" s="210"/>
      <c r="G165" s="1701"/>
      <c r="H165" s="242"/>
      <c r="I165" s="270"/>
      <c r="J165" s="228"/>
      <c r="K165" s="1701"/>
      <c r="L165" s="2253"/>
      <c r="N165" s="220">
        <f t="shared" si="58"/>
        <v>0</v>
      </c>
    </row>
    <row r="166" spans="1:14" ht="13.8">
      <c r="A166" s="144" t="s">
        <v>1203</v>
      </c>
      <c r="B166" s="169"/>
      <c r="C166" s="71" t="s">
        <v>1128</v>
      </c>
      <c r="D166" s="141" t="s">
        <v>561</v>
      </c>
      <c r="E166" s="2295">
        <v>2300</v>
      </c>
      <c r="F166" s="210">
        <v>22.2</v>
      </c>
      <c r="G166" s="2269">
        <f t="shared" si="55"/>
        <v>51060</v>
      </c>
      <c r="H166" s="241"/>
      <c r="I166" s="255" t="s">
        <v>561</v>
      </c>
      <c r="J166" s="2295">
        <v>662</v>
      </c>
      <c r="K166" s="2270">
        <f t="shared" si="56"/>
        <v>22.2</v>
      </c>
      <c r="L166" s="251">
        <f t="shared" si="57"/>
        <v>14696.4</v>
      </c>
      <c r="N166" s="220">
        <f t="shared" si="58"/>
        <v>36363.599999999999</v>
      </c>
    </row>
    <row r="167" spans="1:14" ht="13.8">
      <c r="A167" s="162"/>
      <c r="B167" s="167"/>
      <c r="C167" s="60"/>
      <c r="D167" s="219"/>
      <c r="E167" s="228"/>
      <c r="F167" s="210"/>
      <c r="G167" s="1701"/>
      <c r="H167" s="242"/>
      <c r="I167" s="270"/>
      <c r="J167" s="228"/>
      <c r="K167" s="1701"/>
      <c r="L167" s="2253"/>
      <c r="N167" s="220">
        <f t="shared" si="58"/>
        <v>0</v>
      </c>
    </row>
    <row r="168" spans="1:14" ht="13.8">
      <c r="A168" s="144" t="s">
        <v>1204</v>
      </c>
      <c r="B168" s="143"/>
      <c r="C168" s="71" t="s">
        <v>1130</v>
      </c>
      <c r="D168" s="141" t="s">
        <v>561</v>
      </c>
      <c r="E168" s="2295">
        <v>2400</v>
      </c>
      <c r="F168" s="210">
        <v>18.8</v>
      </c>
      <c r="G168" s="2269">
        <f t="shared" si="55"/>
        <v>45120</v>
      </c>
      <c r="H168" s="241"/>
      <c r="I168" s="255" t="s">
        <v>561</v>
      </c>
      <c r="J168" s="2295">
        <v>444</v>
      </c>
      <c r="K168" s="2270">
        <f t="shared" si="56"/>
        <v>18.8</v>
      </c>
      <c r="L168" s="251">
        <f t="shared" si="57"/>
        <v>8347.2000000000007</v>
      </c>
      <c r="N168" s="220">
        <f t="shared" si="58"/>
        <v>36772.800000000003</v>
      </c>
    </row>
    <row r="169" spans="1:14" ht="13.8">
      <c r="A169" s="144"/>
      <c r="B169" s="143"/>
      <c r="C169" s="71"/>
      <c r="D169" s="141"/>
      <c r="E169" s="2299"/>
      <c r="F169" s="210"/>
      <c r="G169" s="1701"/>
      <c r="H169" s="242"/>
      <c r="I169" s="255"/>
      <c r="J169" s="2299"/>
      <c r="K169" s="1701"/>
      <c r="L169" s="2253"/>
      <c r="N169" s="220">
        <f t="shared" si="58"/>
        <v>0</v>
      </c>
    </row>
    <row r="170" spans="1:14" ht="16.2">
      <c r="A170" s="145" t="s">
        <v>1205</v>
      </c>
      <c r="B170" s="143"/>
      <c r="C170" s="71" t="s">
        <v>1132</v>
      </c>
      <c r="D170" s="141" t="s">
        <v>561</v>
      </c>
      <c r="E170" s="2295">
        <v>2200</v>
      </c>
      <c r="F170" s="210">
        <v>16.5</v>
      </c>
      <c r="G170" s="2269">
        <f t="shared" si="55"/>
        <v>36300</v>
      </c>
      <c r="H170" s="241"/>
      <c r="I170" s="255" t="s">
        <v>561</v>
      </c>
      <c r="J170" s="2295">
        <v>472</v>
      </c>
      <c r="K170" s="2270">
        <f t="shared" si="56"/>
        <v>16.5</v>
      </c>
      <c r="L170" s="251">
        <f t="shared" si="57"/>
        <v>7788</v>
      </c>
      <c r="N170" s="220">
        <f t="shared" si="58"/>
        <v>28512</v>
      </c>
    </row>
    <row r="171" spans="1:14" ht="13.8">
      <c r="A171" s="145"/>
      <c r="B171" s="143"/>
      <c r="C171" s="71"/>
      <c r="D171" s="141"/>
      <c r="E171" s="2295"/>
      <c r="F171" s="210"/>
      <c r="G171" s="1701"/>
      <c r="H171" s="242"/>
      <c r="I171" s="255"/>
      <c r="J171" s="2295"/>
      <c r="K171" s="1701"/>
      <c r="L171" s="2253"/>
      <c r="N171" s="220">
        <f t="shared" si="58"/>
        <v>0</v>
      </c>
    </row>
    <row r="172" spans="1:14" ht="16.2">
      <c r="A172" s="145" t="s">
        <v>1206</v>
      </c>
      <c r="B172" s="143"/>
      <c r="C172" s="71" t="s">
        <v>1134</v>
      </c>
      <c r="D172" s="141" t="s">
        <v>561</v>
      </c>
      <c r="E172" s="2295">
        <v>700</v>
      </c>
      <c r="F172" s="210">
        <v>22.2</v>
      </c>
      <c r="G172" s="2269">
        <f t="shared" si="55"/>
        <v>15540</v>
      </c>
      <c r="H172" s="241"/>
      <c r="I172" s="255" t="s">
        <v>561</v>
      </c>
      <c r="J172" s="2295">
        <v>110</v>
      </c>
      <c r="K172" s="2270">
        <f t="shared" si="56"/>
        <v>22.2</v>
      </c>
      <c r="L172" s="251">
        <f t="shared" si="57"/>
        <v>2442</v>
      </c>
      <c r="N172" s="220">
        <f t="shared" si="58"/>
        <v>13098</v>
      </c>
    </row>
    <row r="173" spans="1:14" ht="13.8">
      <c r="A173" s="145"/>
      <c r="B173" s="143"/>
      <c r="C173" s="71"/>
      <c r="D173" s="141"/>
      <c r="E173" s="2295"/>
      <c r="F173" s="210"/>
      <c r="G173" s="1701"/>
      <c r="H173" s="242"/>
      <c r="I173" s="255"/>
      <c r="J173" s="2295"/>
      <c r="K173" s="1701"/>
      <c r="L173" s="2253"/>
      <c r="N173" s="220">
        <f t="shared" si="58"/>
        <v>0</v>
      </c>
    </row>
    <row r="174" spans="1:14" ht="13.8">
      <c r="A174" s="145" t="s">
        <v>1207</v>
      </c>
      <c r="B174" s="143"/>
      <c r="C174" s="71" t="s">
        <v>1136</v>
      </c>
      <c r="D174" s="141" t="s">
        <v>1137</v>
      </c>
      <c r="E174" s="2295">
        <v>0</v>
      </c>
      <c r="F174" s="210">
        <v>173</v>
      </c>
      <c r="G174" s="2269">
        <f t="shared" si="55"/>
        <v>0</v>
      </c>
      <c r="H174" s="241"/>
      <c r="I174" s="255" t="s">
        <v>1137</v>
      </c>
      <c r="J174" s="2295">
        <v>0</v>
      </c>
      <c r="K174" s="2270">
        <f t="shared" si="56"/>
        <v>173</v>
      </c>
      <c r="L174" s="251">
        <f t="shared" si="57"/>
        <v>0</v>
      </c>
      <c r="N174" s="220">
        <f t="shared" si="58"/>
        <v>0</v>
      </c>
    </row>
    <row r="175" spans="1:14" ht="13.8">
      <c r="A175" s="145"/>
      <c r="B175" s="143"/>
      <c r="C175" s="71"/>
      <c r="D175" s="141"/>
      <c r="E175" s="2299"/>
      <c r="F175" s="210"/>
      <c r="G175" s="1701"/>
      <c r="H175" s="242"/>
      <c r="I175" s="255"/>
      <c r="J175" s="2299"/>
      <c r="K175" s="1701"/>
      <c r="L175" s="2253"/>
      <c r="N175" s="220">
        <f t="shared" si="58"/>
        <v>0</v>
      </c>
    </row>
    <row r="176" spans="1:14" ht="13.8">
      <c r="A176" s="145" t="s">
        <v>1208</v>
      </c>
      <c r="B176" s="143"/>
      <c r="C176" s="71" t="s">
        <v>1136</v>
      </c>
      <c r="D176" s="141" t="s">
        <v>561</v>
      </c>
      <c r="E176" s="2295">
        <v>0</v>
      </c>
      <c r="F176" s="210">
        <v>18</v>
      </c>
      <c r="G176" s="2269">
        <f t="shared" si="55"/>
        <v>0</v>
      </c>
      <c r="H176" s="241"/>
      <c r="I176" s="255" t="s">
        <v>561</v>
      </c>
      <c r="J176" s="2295">
        <v>0</v>
      </c>
      <c r="K176" s="2270">
        <f t="shared" si="56"/>
        <v>18</v>
      </c>
      <c r="L176" s="251">
        <f t="shared" si="57"/>
        <v>0</v>
      </c>
      <c r="N176" s="220">
        <f t="shared" si="58"/>
        <v>0</v>
      </c>
    </row>
    <row r="177" spans="1:14" ht="13.8">
      <c r="A177" s="166"/>
      <c r="B177" s="164"/>
      <c r="C177" s="59"/>
      <c r="D177" s="219"/>
      <c r="E177" s="75"/>
      <c r="F177" s="210"/>
      <c r="G177" s="1701"/>
      <c r="H177" s="242"/>
      <c r="I177" s="270"/>
      <c r="J177" s="75"/>
      <c r="K177" s="1701"/>
      <c r="L177" s="2253"/>
      <c r="N177" s="220"/>
    </row>
    <row r="178" spans="1:14" ht="13.8">
      <c r="A178" s="165"/>
      <c r="B178" s="163"/>
      <c r="C178" s="43" t="s">
        <v>1121</v>
      </c>
      <c r="D178" s="219"/>
      <c r="E178" s="228"/>
      <c r="F178" s="210"/>
      <c r="G178" s="1701"/>
      <c r="H178" s="242"/>
      <c r="I178" s="270"/>
      <c r="J178" s="228"/>
      <c r="K178" s="1701"/>
      <c r="L178" s="2253"/>
      <c r="N178" s="220"/>
    </row>
    <row r="179" spans="1:14" ht="13.8">
      <c r="A179" s="165">
        <v>10.11</v>
      </c>
      <c r="B179" s="169"/>
      <c r="C179" s="64" t="s">
        <v>1209</v>
      </c>
      <c r="D179" s="219"/>
      <c r="E179" s="228"/>
      <c r="F179" s="210"/>
      <c r="G179" s="1701"/>
      <c r="H179" s="242"/>
      <c r="I179" s="270"/>
      <c r="J179" s="228"/>
      <c r="K179" s="1701"/>
      <c r="L179" s="2253"/>
      <c r="N179" s="220"/>
    </row>
    <row r="180" spans="1:14" ht="13.8">
      <c r="A180" s="162"/>
      <c r="B180" s="167"/>
      <c r="C180" s="60"/>
      <c r="D180" s="219"/>
      <c r="E180" s="228"/>
      <c r="F180" s="210"/>
      <c r="G180" s="1701"/>
      <c r="H180" s="242"/>
      <c r="I180" s="270"/>
      <c r="J180" s="228"/>
      <c r="K180" s="1701"/>
      <c r="L180" s="2253"/>
      <c r="N180" s="220"/>
    </row>
    <row r="181" spans="1:14" ht="13.8">
      <c r="A181" s="162" t="s">
        <v>1210</v>
      </c>
      <c r="B181" s="167"/>
      <c r="C181" s="71" t="s">
        <v>1124</v>
      </c>
      <c r="D181" s="219" t="s">
        <v>1211</v>
      </c>
      <c r="E181" s="228">
        <v>12</v>
      </c>
      <c r="F181" s="210">
        <v>525</v>
      </c>
      <c r="G181" s="2269">
        <f t="shared" ref="G181:G193" si="59">F181*E181</f>
        <v>6300</v>
      </c>
      <c r="H181" s="241"/>
      <c r="I181" s="270" t="s">
        <v>1211</v>
      </c>
      <c r="J181" s="228">
        <v>10</v>
      </c>
      <c r="K181" s="2270">
        <f t="shared" ref="K181:K193" si="60">F181</f>
        <v>525</v>
      </c>
      <c r="L181" s="251">
        <f t="shared" ref="L181:L193" si="61">K181*J181</f>
        <v>5250</v>
      </c>
      <c r="N181" s="220">
        <f t="shared" si="58"/>
        <v>1050</v>
      </c>
    </row>
    <row r="182" spans="1:14" ht="13.8">
      <c r="A182" s="162"/>
      <c r="B182" s="167"/>
      <c r="C182" s="60"/>
      <c r="D182" s="219"/>
      <c r="E182" s="228"/>
      <c r="F182" s="210"/>
      <c r="G182" s="1701"/>
      <c r="H182" s="242"/>
      <c r="I182" s="270"/>
      <c r="J182" s="228"/>
      <c r="K182" s="1701"/>
      <c r="L182" s="2253"/>
      <c r="N182" s="220">
        <f t="shared" si="58"/>
        <v>0</v>
      </c>
    </row>
    <row r="183" spans="1:14" ht="13.8">
      <c r="A183" s="162" t="s">
        <v>1212</v>
      </c>
      <c r="B183" s="167"/>
      <c r="C183" s="71" t="s">
        <v>1126</v>
      </c>
      <c r="D183" s="219" t="s">
        <v>1211</v>
      </c>
      <c r="E183" s="2295">
        <v>0</v>
      </c>
      <c r="F183" s="210">
        <v>260</v>
      </c>
      <c r="G183" s="2269">
        <f t="shared" si="59"/>
        <v>0</v>
      </c>
      <c r="H183" s="241"/>
      <c r="I183" s="270" t="s">
        <v>1211</v>
      </c>
      <c r="J183" s="2295">
        <v>12</v>
      </c>
      <c r="K183" s="2270">
        <f t="shared" si="60"/>
        <v>260</v>
      </c>
      <c r="L183" s="251">
        <f t="shared" si="61"/>
        <v>3120</v>
      </c>
      <c r="N183" s="220">
        <f t="shared" si="58"/>
        <v>-3120</v>
      </c>
    </row>
    <row r="184" spans="1:14" ht="13.8">
      <c r="A184" s="162"/>
      <c r="B184" s="164"/>
      <c r="C184" s="64"/>
      <c r="D184" s="219"/>
      <c r="E184" s="228"/>
      <c r="F184" s="210"/>
      <c r="G184" s="1701"/>
      <c r="H184" s="242"/>
      <c r="I184" s="270"/>
      <c r="J184" s="228"/>
      <c r="K184" s="1701"/>
      <c r="L184" s="2253"/>
      <c r="N184" s="220">
        <f t="shared" si="58"/>
        <v>0</v>
      </c>
    </row>
    <row r="185" spans="1:14" ht="13.8">
      <c r="A185" s="144" t="s">
        <v>1213</v>
      </c>
      <c r="B185" s="169"/>
      <c r="C185" s="71" t="s">
        <v>1128</v>
      </c>
      <c r="D185" s="219" t="s">
        <v>1211</v>
      </c>
      <c r="E185" s="2295">
        <v>32</v>
      </c>
      <c r="F185" s="210">
        <v>167</v>
      </c>
      <c r="G185" s="2269">
        <f t="shared" si="59"/>
        <v>5344</v>
      </c>
      <c r="H185" s="241"/>
      <c r="I185" s="270" t="s">
        <v>1211</v>
      </c>
      <c r="J185" s="2295">
        <v>32</v>
      </c>
      <c r="K185" s="2270">
        <f t="shared" si="60"/>
        <v>167</v>
      </c>
      <c r="L185" s="251">
        <f t="shared" si="61"/>
        <v>5344</v>
      </c>
      <c r="N185" s="220">
        <f t="shared" si="58"/>
        <v>0</v>
      </c>
    </row>
    <row r="186" spans="1:14" ht="13.8">
      <c r="A186" s="162"/>
      <c r="B186" s="167"/>
      <c r="C186" s="60"/>
      <c r="D186" s="219"/>
      <c r="E186" s="228"/>
      <c r="F186" s="210"/>
      <c r="G186" s="1701"/>
      <c r="H186" s="242"/>
      <c r="I186" s="270"/>
      <c r="J186" s="228"/>
      <c r="K186" s="1701"/>
      <c r="L186" s="2253"/>
      <c r="N186" s="220">
        <f t="shared" si="58"/>
        <v>0</v>
      </c>
    </row>
    <row r="187" spans="1:14" ht="13.8">
      <c r="A187" s="144" t="s">
        <v>1214</v>
      </c>
      <c r="B187" s="143"/>
      <c r="C187" s="71" t="s">
        <v>1130</v>
      </c>
      <c r="D187" s="219" t="s">
        <v>1211</v>
      </c>
      <c r="E187" s="2295">
        <v>36</v>
      </c>
      <c r="F187" s="210">
        <v>187</v>
      </c>
      <c r="G187" s="2269">
        <f t="shared" si="59"/>
        <v>6732</v>
      </c>
      <c r="H187" s="241"/>
      <c r="I187" s="270" t="s">
        <v>1211</v>
      </c>
      <c r="J187" s="2295">
        <v>36</v>
      </c>
      <c r="K187" s="2270">
        <f t="shared" si="60"/>
        <v>187</v>
      </c>
      <c r="L187" s="251">
        <f t="shared" si="61"/>
        <v>6732</v>
      </c>
      <c r="N187" s="220">
        <f t="shared" si="58"/>
        <v>0</v>
      </c>
    </row>
    <row r="188" spans="1:14" ht="13.8">
      <c r="A188" s="144"/>
      <c r="B188" s="143"/>
      <c r="C188" s="71"/>
      <c r="D188" s="141"/>
      <c r="E188" s="2299"/>
      <c r="F188" s="210"/>
      <c r="G188" s="1701"/>
      <c r="H188" s="242"/>
      <c r="I188" s="255"/>
      <c r="J188" s="2299"/>
      <c r="K188" s="1701"/>
      <c r="L188" s="2253"/>
      <c r="N188" s="220">
        <f t="shared" si="58"/>
        <v>0</v>
      </c>
    </row>
    <row r="189" spans="1:14" ht="16.2">
      <c r="A189" s="145" t="s">
        <v>1215</v>
      </c>
      <c r="B189" s="143"/>
      <c r="C189" s="71" t="s">
        <v>1132</v>
      </c>
      <c r="D189" s="219" t="s">
        <v>1211</v>
      </c>
      <c r="E189" s="2295">
        <v>32</v>
      </c>
      <c r="F189" s="210">
        <v>167</v>
      </c>
      <c r="G189" s="2269">
        <f t="shared" si="59"/>
        <v>5344</v>
      </c>
      <c r="H189" s="241"/>
      <c r="I189" s="270" t="s">
        <v>1211</v>
      </c>
      <c r="J189" s="2295">
        <v>32</v>
      </c>
      <c r="K189" s="2270">
        <f t="shared" si="60"/>
        <v>167</v>
      </c>
      <c r="L189" s="251">
        <f t="shared" si="61"/>
        <v>5344</v>
      </c>
      <c r="N189" s="220">
        <f t="shared" si="58"/>
        <v>0</v>
      </c>
    </row>
    <row r="190" spans="1:14" ht="13.8">
      <c r="A190" s="145"/>
      <c r="B190" s="143"/>
      <c r="C190" s="71"/>
      <c r="D190" s="141"/>
      <c r="E190" s="2295"/>
      <c r="F190" s="210"/>
      <c r="G190" s="1701"/>
      <c r="H190" s="242"/>
      <c r="I190" s="255"/>
      <c r="J190" s="2295"/>
      <c r="K190" s="1701"/>
      <c r="L190" s="2253"/>
      <c r="N190" s="220">
        <f t="shared" si="58"/>
        <v>0</v>
      </c>
    </row>
    <row r="191" spans="1:14" ht="16.2">
      <c r="A191" s="145" t="s">
        <v>1216</v>
      </c>
      <c r="B191" s="143"/>
      <c r="C191" s="71" t="s">
        <v>1134</v>
      </c>
      <c r="D191" s="219" t="s">
        <v>1211</v>
      </c>
      <c r="E191" s="2295">
        <v>12</v>
      </c>
      <c r="F191" s="210">
        <v>360</v>
      </c>
      <c r="G191" s="2269">
        <f t="shared" si="59"/>
        <v>4320</v>
      </c>
      <c r="H191" s="241"/>
      <c r="I191" s="270" t="s">
        <v>1211</v>
      </c>
      <c r="J191" s="2295">
        <v>0</v>
      </c>
      <c r="K191" s="2270">
        <f t="shared" si="60"/>
        <v>360</v>
      </c>
      <c r="L191" s="251">
        <f t="shared" si="61"/>
        <v>0</v>
      </c>
      <c r="N191" s="220">
        <f t="shared" si="58"/>
        <v>4320</v>
      </c>
    </row>
    <row r="192" spans="1:14" ht="13.8">
      <c r="A192" s="145"/>
      <c r="B192" s="143"/>
      <c r="C192" s="71"/>
      <c r="D192" s="141"/>
      <c r="E192" s="2295"/>
      <c r="F192" s="210"/>
      <c r="G192" s="1701"/>
      <c r="H192" s="242"/>
      <c r="I192" s="255"/>
      <c r="J192" s="2295"/>
      <c r="K192" s="1701"/>
      <c r="L192" s="2253"/>
      <c r="N192" s="220">
        <f t="shared" si="58"/>
        <v>0</v>
      </c>
    </row>
    <row r="193" spans="1:14" ht="13.8">
      <c r="A193" s="145" t="s">
        <v>1217</v>
      </c>
      <c r="B193" s="143"/>
      <c r="C193" s="71" t="s">
        <v>1136</v>
      </c>
      <c r="D193" s="219" t="s">
        <v>1211</v>
      </c>
      <c r="E193" s="2295">
        <v>0</v>
      </c>
      <c r="F193" s="210">
        <v>263</v>
      </c>
      <c r="G193" s="2269">
        <f t="shared" si="59"/>
        <v>0</v>
      </c>
      <c r="H193" s="241"/>
      <c r="I193" s="270" t="s">
        <v>1211</v>
      </c>
      <c r="J193" s="2295">
        <v>0</v>
      </c>
      <c r="K193" s="2270">
        <f t="shared" si="60"/>
        <v>263</v>
      </c>
      <c r="L193" s="251">
        <f t="shared" si="61"/>
        <v>0</v>
      </c>
      <c r="N193" s="220">
        <f t="shared" si="58"/>
        <v>0</v>
      </c>
    </row>
    <row r="194" spans="1:14" ht="13.8">
      <c r="A194" s="145"/>
      <c r="B194" s="143"/>
      <c r="C194" s="71"/>
      <c r="D194" s="219"/>
      <c r="E194" s="2295"/>
      <c r="F194" s="210"/>
      <c r="G194" s="1701"/>
      <c r="H194" s="242"/>
      <c r="I194" s="270"/>
      <c r="J194" s="2295"/>
      <c r="K194" s="1701"/>
      <c r="L194" s="2253"/>
      <c r="N194" s="220"/>
    </row>
    <row r="195" spans="1:14" ht="13.8">
      <c r="A195" s="171"/>
      <c r="B195" s="172"/>
      <c r="C195" s="68" t="s">
        <v>1218</v>
      </c>
      <c r="D195" s="283"/>
      <c r="E195" s="231"/>
      <c r="F195" s="210"/>
      <c r="G195" s="1701"/>
      <c r="H195" s="242"/>
      <c r="I195" s="271"/>
      <c r="J195" s="231"/>
      <c r="K195" s="1701"/>
      <c r="L195" s="2253"/>
      <c r="N195" s="220"/>
    </row>
    <row r="196" spans="1:14" ht="13.8">
      <c r="A196" s="171"/>
      <c r="B196" s="172"/>
      <c r="C196" s="69" t="s">
        <v>1096</v>
      </c>
      <c r="D196" s="283"/>
      <c r="E196" s="231"/>
      <c r="F196" s="210"/>
      <c r="G196" s="1701"/>
      <c r="H196" s="242"/>
      <c r="I196" s="271"/>
      <c r="J196" s="231"/>
      <c r="K196" s="1701"/>
      <c r="L196" s="2253"/>
      <c r="N196" s="220"/>
    </row>
    <row r="197" spans="1:14" ht="13.8">
      <c r="A197" s="171"/>
      <c r="B197" s="173"/>
      <c r="C197" s="66"/>
      <c r="D197" s="283"/>
      <c r="E197" s="232"/>
      <c r="F197" s="210"/>
      <c r="G197" s="1701"/>
      <c r="H197" s="242"/>
      <c r="I197" s="271"/>
      <c r="J197" s="232"/>
      <c r="K197" s="1701"/>
      <c r="L197" s="2253"/>
      <c r="N197" s="220"/>
    </row>
    <row r="198" spans="1:14" ht="13.8">
      <c r="A198" s="174"/>
      <c r="B198" s="172"/>
      <c r="C198" s="43" t="s">
        <v>1139</v>
      </c>
      <c r="D198" s="283"/>
      <c r="E198" s="233"/>
      <c r="F198" s="210"/>
      <c r="G198" s="1701"/>
      <c r="H198" s="242"/>
      <c r="I198" s="271"/>
      <c r="J198" s="233"/>
      <c r="K198" s="1701"/>
      <c r="L198" s="2253"/>
      <c r="N198" s="220"/>
    </row>
    <row r="199" spans="1:14" ht="13.8">
      <c r="A199" s="174">
        <v>10.119999999999999</v>
      </c>
      <c r="B199" s="175"/>
      <c r="C199" s="70" t="s">
        <v>1219</v>
      </c>
      <c r="D199" s="283"/>
      <c r="E199" s="233"/>
      <c r="F199" s="210"/>
      <c r="G199" s="1701"/>
      <c r="H199" s="242"/>
      <c r="I199" s="271"/>
      <c r="J199" s="233"/>
      <c r="K199" s="1701"/>
      <c r="L199" s="2253"/>
      <c r="N199" s="220"/>
    </row>
    <row r="200" spans="1:14" ht="13.8">
      <c r="A200" s="171"/>
      <c r="B200" s="176"/>
      <c r="C200" s="67"/>
      <c r="D200" s="283"/>
      <c r="E200" s="233"/>
      <c r="F200" s="210"/>
      <c r="G200" s="1701"/>
      <c r="H200" s="242"/>
      <c r="I200" s="271"/>
      <c r="J200" s="233"/>
      <c r="K200" s="1701"/>
      <c r="L200" s="2253"/>
      <c r="N200" s="220"/>
    </row>
    <row r="201" spans="1:14" ht="13.8">
      <c r="A201" s="171" t="s">
        <v>1220</v>
      </c>
      <c r="B201" s="176"/>
      <c r="C201" s="72" t="s">
        <v>1142</v>
      </c>
      <c r="D201" s="281" t="s">
        <v>561</v>
      </c>
      <c r="E201" s="223">
        <v>20</v>
      </c>
      <c r="F201" s="210">
        <v>180</v>
      </c>
      <c r="G201" s="2269">
        <f t="shared" ref="G201:G213" si="62">F201*E201</f>
        <v>3600</v>
      </c>
      <c r="H201" s="241"/>
      <c r="I201" s="268" t="s">
        <v>561</v>
      </c>
      <c r="J201" s="223">
        <v>0</v>
      </c>
      <c r="K201" s="2270">
        <f t="shared" ref="K201:K213" si="63">F201</f>
        <v>180</v>
      </c>
      <c r="L201" s="251">
        <f t="shared" ref="L201:L213" si="64">K201*J201</f>
        <v>0</v>
      </c>
      <c r="N201" s="220">
        <f t="shared" si="58"/>
        <v>3600</v>
      </c>
    </row>
    <row r="202" spans="1:14" ht="13.8">
      <c r="A202" s="171"/>
      <c r="B202" s="176"/>
      <c r="C202" s="72"/>
      <c r="D202" s="281"/>
      <c r="E202" s="223"/>
      <c r="F202" s="210"/>
      <c r="G202" s="1701"/>
      <c r="H202" s="242"/>
      <c r="I202" s="268"/>
      <c r="J202" s="223"/>
      <c r="K202" s="1701"/>
      <c r="L202" s="2253"/>
      <c r="N202" s="220">
        <f t="shared" si="58"/>
        <v>0</v>
      </c>
    </row>
    <row r="203" spans="1:14" ht="13.8">
      <c r="A203" s="171" t="s">
        <v>1221</v>
      </c>
      <c r="B203" s="176"/>
      <c r="C203" s="72" t="s">
        <v>1144</v>
      </c>
      <c r="D203" s="281" t="s">
        <v>561</v>
      </c>
      <c r="E203" s="223">
        <v>20</v>
      </c>
      <c r="F203" s="210">
        <v>163</v>
      </c>
      <c r="G203" s="2269">
        <f t="shared" si="62"/>
        <v>3260</v>
      </c>
      <c r="H203" s="241"/>
      <c r="I203" s="268" t="s">
        <v>561</v>
      </c>
      <c r="J203" s="223">
        <v>0</v>
      </c>
      <c r="K203" s="2270">
        <f t="shared" si="63"/>
        <v>163</v>
      </c>
      <c r="L203" s="251">
        <f t="shared" si="64"/>
        <v>0</v>
      </c>
      <c r="N203" s="220">
        <f t="shared" si="58"/>
        <v>3260</v>
      </c>
    </row>
    <row r="204" spans="1:14" ht="13.8">
      <c r="A204" s="171"/>
      <c r="B204" s="176"/>
      <c r="C204" s="72"/>
      <c r="D204" s="281"/>
      <c r="E204" s="223"/>
      <c r="F204" s="210"/>
      <c r="G204" s="1701"/>
      <c r="H204" s="242"/>
      <c r="I204" s="268"/>
      <c r="J204" s="223"/>
      <c r="K204" s="1701"/>
      <c r="L204" s="2253"/>
      <c r="N204" s="220">
        <f t="shared" ref="N204:N270" si="65">G204-L204</f>
        <v>0</v>
      </c>
    </row>
    <row r="205" spans="1:14" ht="13.8">
      <c r="A205" s="171" t="s">
        <v>1222</v>
      </c>
      <c r="B205" s="176"/>
      <c r="C205" s="72" t="s">
        <v>1146</v>
      </c>
      <c r="D205" s="281" t="s">
        <v>561</v>
      </c>
      <c r="E205" s="223">
        <v>20</v>
      </c>
      <c r="F205" s="210">
        <v>152</v>
      </c>
      <c r="G205" s="2269">
        <f t="shared" si="62"/>
        <v>3040</v>
      </c>
      <c r="H205" s="241"/>
      <c r="I205" s="268" t="s">
        <v>561</v>
      </c>
      <c r="J205" s="223">
        <v>12</v>
      </c>
      <c r="K205" s="2270">
        <f t="shared" si="63"/>
        <v>152</v>
      </c>
      <c r="L205" s="251">
        <f t="shared" si="64"/>
        <v>1824</v>
      </c>
      <c r="N205" s="220">
        <f t="shared" si="65"/>
        <v>1216</v>
      </c>
    </row>
    <row r="206" spans="1:14" ht="13.8">
      <c r="A206" s="171"/>
      <c r="B206" s="176"/>
      <c r="C206" s="72"/>
      <c r="D206" s="281"/>
      <c r="E206" s="223"/>
      <c r="F206" s="210"/>
      <c r="G206" s="1701"/>
      <c r="H206" s="242"/>
      <c r="I206" s="268"/>
      <c r="J206" s="223"/>
      <c r="K206" s="1701"/>
      <c r="L206" s="2253"/>
      <c r="N206" s="220">
        <f t="shared" si="65"/>
        <v>0</v>
      </c>
    </row>
    <row r="207" spans="1:14" ht="13.8">
      <c r="A207" s="171" t="s">
        <v>1223</v>
      </c>
      <c r="B207" s="173"/>
      <c r="C207" s="73" t="s">
        <v>1148</v>
      </c>
      <c r="D207" s="282" t="s">
        <v>561</v>
      </c>
      <c r="E207" s="223">
        <v>80</v>
      </c>
      <c r="F207" s="210">
        <v>111</v>
      </c>
      <c r="G207" s="2269">
        <f t="shared" si="62"/>
        <v>8880</v>
      </c>
      <c r="H207" s="241"/>
      <c r="I207" s="269" t="s">
        <v>561</v>
      </c>
      <c r="J207" s="223">
        <v>36</v>
      </c>
      <c r="K207" s="2270">
        <f t="shared" si="63"/>
        <v>111</v>
      </c>
      <c r="L207" s="251">
        <f t="shared" si="64"/>
        <v>3996</v>
      </c>
      <c r="N207" s="220">
        <f t="shared" si="65"/>
        <v>4884</v>
      </c>
    </row>
    <row r="208" spans="1:14" ht="13.8">
      <c r="A208" s="171"/>
      <c r="B208" s="173"/>
      <c r="C208" s="73"/>
      <c r="D208" s="282"/>
      <c r="E208" s="223"/>
      <c r="F208" s="210"/>
      <c r="G208" s="1701"/>
      <c r="H208" s="242"/>
      <c r="I208" s="269"/>
      <c r="J208" s="223"/>
      <c r="K208" s="1701"/>
      <c r="L208" s="2253"/>
      <c r="N208" s="220">
        <f t="shared" si="65"/>
        <v>0</v>
      </c>
    </row>
    <row r="209" spans="1:14" ht="13.8">
      <c r="A209" s="144" t="s">
        <v>1224</v>
      </c>
      <c r="B209" s="175"/>
      <c r="C209" s="73" t="s">
        <v>1150</v>
      </c>
      <c r="D209" s="281" t="s">
        <v>561</v>
      </c>
      <c r="E209" s="223">
        <v>80</v>
      </c>
      <c r="F209" s="210">
        <v>101</v>
      </c>
      <c r="G209" s="2269">
        <f t="shared" si="62"/>
        <v>8080</v>
      </c>
      <c r="H209" s="241"/>
      <c r="I209" s="268" t="s">
        <v>561</v>
      </c>
      <c r="J209" s="223">
        <v>12</v>
      </c>
      <c r="K209" s="2270">
        <f t="shared" si="63"/>
        <v>101</v>
      </c>
      <c r="L209" s="251">
        <f t="shared" si="64"/>
        <v>1212</v>
      </c>
      <c r="N209" s="220">
        <f t="shared" si="65"/>
        <v>6868</v>
      </c>
    </row>
    <row r="210" spans="1:14" ht="13.8">
      <c r="A210" s="144"/>
      <c r="B210" s="175"/>
      <c r="C210" s="73"/>
      <c r="D210" s="281"/>
      <c r="E210" s="223"/>
      <c r="F210" s="210"/>
      <c r="G210" s="1701"/>
      <c r="H210" s="242"/>
      <c r="I210" s="268"/>
      <c r="J210" s="223"/>
      <c r="K210" s="1701"/>
      <c r="L210" s="2253"/>
      <c r="N210" s="220">
        <f t="shared" si="65"/>
        <v>0</v>
      </c>
    </row>
    <row r="211" spans="1:14" ht="13.8">
      <c r="A211" s="171" t="s">
        <v>1225</v>
      </c>
      <c r="B211" s="176"/>
      <c r="C211" s="72" t="s">
        <v>1152</v>
      </c>
      <c r="D211" s="281" t="s">
        <v>1153</v>
      </c>
      <c r="E211" s="223">
        <v>2</v>
      </c>
      <c r="F211" s="210">
        <v>189</v>
      </c>
      <c r="G211" s="2269">
        <f t="shared" si="62"/>
        <v>378</v>
      </c>
      <c r="H211" s="241"/>
      <c r="I211" s="268" t="s">
        <v>1153</v>
      </c>
      <c r="J211" s="223">
        <v>0</v>
      </c>
      <c r="K211" s="2270">
        <f t="shared" si="63"/>
        <v>189</v>
      </c>
      <c r="L211" s="251">
        <f t="shared" si="64"/>
        <v>0</v>
      </c>
      <c r="N211" s="220">
        <f t="shared" si="65"/>
        <v>378</v>
      </c>
    </row>
    <row r="212" spans="1:14" ht="13.8">
      <c r="A212" s="171"/>
      <c r="B212" s="176"/>
      <c r="C212" s="72"/>
      <c r="D212" s="281"/>
      <c r="E212" s="223"/>
      <c r="F212" s="210"/>
      <c r="G212" s="1701"/>
      <c r="H212" s="242"/>
      <c r="I212" s="268"/>
      <c r="J212" s="223"/>
      <c r="K212" s="1701"/>
      <c r="L212" s="2253"/>
      <c r="N212" s="220">
        <f t="shared" si="65"/>
        <v>0</v>
      </c>
    </row>
    <row r="213" spans="1:14" ht="13.8">
      <c r="A213" s="171" t="s">
        <v>1226</v>
      </c>
      <c r="B213" s="172"/>
      <c r="C213" s="72" t="s">
        <v>1155</v>
      </c>
      <c r="D213" s="281" t="s">
        <v>1153</v>
      </c>
      <c r="E213" s="223">
        <v>4</v>
      </c>
      <c r="F213" s="210">
        <v>170</v>
      </c>
      <c r="G213" s="2269">
        <f t="shared" si="62"/>
        <v>680</v>
      </c>
      <c r="H213" s="241"/>
      <c r="I213" s="268" t="s">
        <v>1153</v>
      </c>
      <c r="J213" s="223">
        <v>0</v>
      </c>
      <c r="K213" s="2270">
        <f t="shared" si="63"/>
        <v>170</v>
      </c>
      <c r="L213" s="251">
        <f t="shared" si="64"/>
        <v>0</v>
      </c>
      <c r="N213" s="220">
        <f t="shared" si="65"/>
        <v>680</v>
      </c>
    </row>
    <row r="214" spans="1:14" ht="13.8">
      <c r="A214" s="174"/>
      <c r="B214" s="172"/>
      <c r="C214" s="72"/>
      <c r="D214" s="281"/>
      <c r="E214" s="223"/>
      <c r="F214" s="210"/>
      <c r="G214" s="1701"/>
      <c r="H214" s="242"/>
      <c r="I214" s="268"/>
      <c r="J214" s="223"/>
      <c r="K214" s="1701"/>
      <c r="L214" s="2253"/>
      <c r="N214" s="220"/>
    </row>
    <row r="215" spans="1:14" ht="13.8">
      <c r="A215" s="174"/>
      <c r="B215" s="172"/>
      <c r="C215" s="72"/>
      <c r="D215" s="281"/>
      <c r="E215" s="223"/>
      <c r="F215" s="210"/>
      <c r="G215" s="1701"/>
      <c r="H215" s="242"/>
      <c r="I215" s="268"/>
      <c r="J215" s="223"/>
      <c r="K215" s="1701"/>
      <c r="L215" s="2253"/>
      <c r="N215" s="220"/>
    </row>
    <row r="216" spans="1:14" ht="13.8">
      <c r="A216" s="174"/>
      <c r="B216" s="172"/>
      <c r="C216" s="72"/>
      <c r="D216" s="281"/>
      <c r="E216" s="223"/>
      <c r="F216" s="210"/>
      <c r="G216" s="1701"/>
      <c r="H216" s="242"/>
      <c r="I216" s="268"/>
      <c r="J216" s="223"/>
      <c r="K216" s="1701"/>
      <c r="L216" s="2253"/>
      <c r="N216" s="220"/>
    </row>
    <row r="217" spans="1:14" ht="13.8">
      <c r="A217" s="174"/>
      <c r="B217" s="172"/>
      <c r="C217" s="72"/>
      <c r="D217" s="281"/>
      <c r="E217" s="223"/>
      <c r="F217" s="210"/>
      <c r="G217" s="205"/>
      <c r="H217" s="242"/>
      <c r="I217" s="268"/>
      <c r="J217" s="223"/>
      <c r="K217" s="1701"/>
      <c r="L217" s="2253"/>
      <c r="N217" s="220"/>
    </row>
    <row r="218" spans="1:14" ht="13.8">
      <c r="A218" s="174"/>
      <c r="B218" s="172"/>
      <c r="C218" s="72"/>
      <c r="D218" s="281"/>
      <c r="E218" s="223"/>
      <c r="F218" s="210"/>
      <c r="G218" s="205"/>
      <c r="H218" s="242"/>
      <c r="I218" s="268"/>
      <c r="J218" s="223"/>
      <c r="K218" s="1701"/>
      <c r="L218" s="2253"/>
      <c r="N218" s="220"/>
    </row>
    <row r="219" spans="1:14" ht="13.8">
      <c r="A219" s="174"/>
      <c r="B219" s="172"/>
      <c r="C219" s="72"/>
      <c r="D219" s="281"/>
      <c r="E219" s="223"/>
      <c r="F219" s="210"/>
      <c r="G219" s="205"/>
      <c r="H219" s="242"/>
      <c r="I219" s="268"/>
      <c r="J219" s="223"/>
      <c r="K219" s="1701"/>
      <c r="L219" s="2253"/>
      <c r="N219" s="220"/>
    </row>
    <row r="220" spans="1:14" ht="13.8">
      <c r="A220" s="174"/>
      <c r="B220" s="172"/>
      <c r="C220" s="72"/>
      <c r="D220" s="281"/>
      <c r="E220" s="223"/>
      <c r="F220" s="210"/>
      <c r="G220" s="205"/>
      <c r="H220" s="242"/>
      <c r="I220" s="268"/>
      <c r="J220" s="223"/>
      <c r="K220" s="1701"/>
      <c r="L220" s="2253"/>
      <c r="N220" s="220"/>
    </row>
    <row r="221" spans="1:14">
      <c r="A221" s="1786"/>
      <c r="B221" s="801"/>
      <c r="C221" s="862"/>
      <c r="D221" s="801"/>
      <c r="E221" s="800"/>
      <c r="F221" s="2302"/>
      <c r="G221" s="2303"/>
      <c r="H221" s="2304"/>
      <c r="I221" s="3019"/>
      <c r="J221" s="3022"/>
      <c r="K221" s="2305"/>
      <c r="L221" s="2306"/>
      <c r="N221" s="220"/>
    </row>
    <row r="222" spans="1:14">
      <c r="A222" s="802"/>
      <c r="B222" s="426"/>
      <c r="C222" s="413" t="s">
        <v>289</v>
      </c>
      <c r="D222" s="426"/>
      <c r="E222" s="425"/>
      <c r="F222" s="207"/>
      <c r="G222" s="2307"/>
      <c r="H222" s="217"/>
      <c r="I222" s="3020"/>
      <c r="J222" s="3023"/>
      <c r="K222" s="2308"/>
      <c r="L222" s="252"/>
      <c r="N222" s="220"/>
    </row>
    <row r="223" spans="1:14" ht="13.8">
      <c r="A223" s="174"/>
      <c r="B223" s="172"/>
      <c r="C223" s="34" t="s">
        <v>290</v>
      </c>
      <c r="D223" s="281"/>
      <c r="E223" s="223"/>
      <c r="F223" s="210"/>
      <c r="G223" s="205"/>
      <c r="H223" s="242"/>
      <c r="I223" s="268"/>
      <c r="J223" s="223"/>
      <c r="K223" s="1701"/>
      <c r="L223" s="2253"/>
      <c r="N223" s="220"/>
    </row>
    <row r="224" spans="1:14" ht="13.8">
      <c r="A224" s="174"/>
      <c r="B224" s="172"/>
      <c r="C224" s="72"/>
      <c r="D224" s="281"/>
      <c r="E224" s="223"/>
      <c r="F224" s="210"/>
      <c r="G224" s="205"/>
      <c r="H224" s="242"/>
      <c r="I224" s="268"/>
      <c r="J224" s="223"/>
      <c r="K224" s="1701"/>
      <c r="L224" s="2253"/>
      <c r="N224" s="220"/>
    </row>
    <row r="225" spans="1:14" ht="13.8">
      <c r="A225" s="171" t="s">
        <v>1227</v>
      </c>
      <c r="B225" s="173"/>
      <c r="C225" s="72" t="s">
        <v>1157</v>
      </c>
      <c r="D225" s="281" t="s">
        <v>1153</v>
      </c>
      <c r="E225" s="223">
        <v>2</v>
      </c>
      <c r="F225" s="210">
        <v>208</v>
      </c>
      <c r="G225" s="2269">
        <f t="shared" ref="G225:G239" si="66">F225*E225</f>
        <v>416</v>
      </c>
      <c r="H225" s="241"/>
      <c r="I225" s="268" t="s">
        <v>1153</v>
      </c>
      <c r="J225" s="223">
        <v>0</v>
      </c>
      <c r="K225" s="2270">
        <f t="shared" ref="K225:K239" si="67">F225</f>
        <v>208</v>
      </c>
      <c r="L225" s="251">
        <f t="shared" ref="L225:L239" si="68">K225*J225</f>
        <v>0</v>
      </c>
      <c r="N225" s="220">
        <f t="shared" si="65"/>
        <v>416</v>
      </c>
    </row>
    <row r="226" spans="1:14" ht="13.8">
      <c r="A226" s="171"/>
      <c r="B226" s="173"/>
      <c r="C226" s="72"/>
      <c r="D226" s="281"/>
      <c r="E226" s="223"/>
      <c r="F226" s="210"/>
      <c r="G226" s="1701"/>
      <c r="H226" s="242"/>
      <c r="I226" s="268"/>
      <c r="J226" s="223"/>
      <c r="K226" s="1701"/>
      <c r="L226" s="2253"/>
      <c r="N226" s="220">
        <f t="shared" si="65"/>
        <v>0</v>
      </c>
    </row>
    <row r="227" spans="1:14" ht="13.8">
      <c r="A227" s="171" t="s">
        <v>1228</v>
      </c>
      <c r="B227" s="173"/>
      <c r="C227" s="72" t="s">
        <v>1159</v>
      </c>
      <c r="D227" s="281" t="s">
        <v>1153</v>
      </c>
      <c r="E227" s="223">
        <v>4</v>
      </c>
      <c r="F227" s="210">
        <v>151</v>
      </c>
      <c r="G227" s="2269">
        <f t="shared" si="66"/>
        <v>604</v>
      </c>
      <c r="H227" s="241"/>
      <c r="I227" s="268" t="s">
        <v>1153</v>
      </c>
      <c r="J227" s="223">
        <v>0</v>
      </c>
      <c r="K227" s="2270">
        <f t="shared" si="67"/>
        <v>151</v>
      </c>
      <c r="L227" s="251">
        <f t="shared" si="68"/>
        <v>0</v>
      </c>
      <c r="N227" s="220">
        <f t="shared" si="65"/>
        <v>604</v>
      </c>
    </row>
    <row r="228" spans="1:14" ht="13.8">
      <c r="A228" s="171"/>
      <c r="B228" s="173"/>
      <c r="C228" s="72"/>
      <c r="D228" s="281"/>
      <c r="E228" s="223"/>
      <c r="F228" s="210"/>
      <c r="G228" s="1701"/>
      <c r="H228" s="242"/>
      <c r="I228" s="268"/>
      <c r="J228" s="223"/>
      <c r="K228" s="1701"/>
      <c r="L228" s="2253"/>
      <c r="N228" s="220">
        <f t="shared" si="65"/>
        <v>0</v>
      </c>
    </row>
    <row r="229" spans="1:14" ht="13.8">
      <c r="A229" s="171" t="s">
        <v>1229</v>
      </c>
      <c r="B229" s="175"/>
      <c r="C229" s="72" t="s">
        <v>1161</v>
      </c>
      <c r="D229" s="281" t="s">
        <v>1153</v>
      </c>
      <c r="E229" s="223">
        <v>2</v>
      </c>
      <c r="F229" s="210">
        <v>163</v>
      </c>
      <c r="G229" s="2269">
        <f t="shared" si="66"/>
        <v>326</v>
      </c>
      <c r="H229" s="241"/>
      <c r="I229" s="268" t="s">
        <v>1153</v>
      </c>
      <c r="J229" s="223">
        <v>3</v>
      </c>
      <c r="K229" s="2270">
        <f t="shared" si="67"/>
        <v>163</v>
      </c>
      <c r="L229" s="251">
        <f t="shared" si="68"/>
        <v>489</v>
      </c>
      <c r="N229" s="220">
        <f t="shared" si="65"/>
        <v>-163</v>
      </c>
    </row>
    <row r="230" spans="1:14" ht="13.8">
      <c r="A230" s="171"/>
      <c r="B230" s="175"/>
      <c r="C230" s="72"/>
      <c r="D230" s="281"/>
      <c r="E230" s="223"/>
      <c r="F230" s="210"/>
      <c r="G230" s="1701"/>
      <c r="H230" s="242"/>
      <c r="I230" s="268"/>
      <c r="J230" s="223"/>
      <c r="K230" s="1701"/>
      <c r="L230" s="2253"/>
      <c r="N230" s="220">
        <f t="shared" si="65"/>
        <v>0</v>
      </c>
    </row>
    <row r="231" spans="1:14" ht="13.8">
      <c r="A231" s="145" t="s">
        <v>1230</v>
      </c>
      <c r="B231" s="143"/>
      <c r="C231" s="72" t="s">
        <v>1163</v>
      </c>
      <c r="D231" s="281" t="s">
        <v>1153</v>
      </c>
      <c r="E231" s="223">
        <v>4</v>
      </c>
      <c r="F231" s="210">
        <v>141</v>
      </c>
      <c r="G231" s="2269">
        <f t="shared" si="66"/>
        <v>564</v>
      </c>
      <c r="H231" s="241"/>
      <c r="I231" s="268" t="s">
        <v>1153</v>
      </c>
      <c r="J231" s="223">
        <v>2</v>
      </c>
      <c r="K231" s="2270">
        <f t="shared" si="67"/>
        <v>141</v>
      </c>
      <c r="L231" s="251">
        <f t="shared" si="68"/>
        <v>282</v>
      </c>
      <c r="N231" s="220">
        <f t="shared" si="65"/>
        <v>282</v>
      </c>
    </row>
    <row r="232" spans="1:14" ht="13.8">
      <c r="A232" s="145"/>
      <c r="B232" s="143"/>
      <c r="C232" s="72"/>
      <c r="D232" s="2309"/>
      <c r="E232" s="223"/>
      <c r="F232" s="210"/>
      <c r="G232" s="1701"/>
      <c r="I232" s="268"/>
      <c r="J232" s="223"/>
      <c r="K232" s="1701"/>
      <c r="L232" s="2253"/>
      <c r="N232" s="220">
        <f t="shared" si="65"/>
        <v>0</v>
      </c>
    </row>
    <row r="233" spans="1:14" ht="13.8">
      <c r="A233" s="171" t="s">
        <v>1231</v>
      </c>
      <c r="B233" s="173"/>
      <c r="C233" s="72" t="s">
        <v>1165</v>
      </c>
      <c r="D233" s="281" t="s">
        <v>1153</v>
      </c>
      <c r="E233" s="223">
        <v>4</v>
      </c>
      <c r="F233" s="210">
        <v>128</v>
      </c>
      <c r="G233" s="2269">
        <f t="shared" si="66"/>
        <v>512</v>
      </c>
      <c r="H233" s="241"/>
      <c r="I233" s="268" t="s">
        <v>1153</v>
      </c>
      <c r="J233" s="223">
        <v>2</v>
      </c>
      <c r="K233" s="2270">
        <f t="shared" si="67"/>
        <v>128</v>
      </c>
      <c r="L233" s="251">
        <f t="shared" si="68"/>
        <v>256</v>
      </c>
      <c r="N233" s="220">
        <f t="shared" si="65"/>
        <v>256</v>
      </c>
    </row>
    <row r="234" spans="1:14" ht="13.8">
      <c r="A234" s="171"/>
      <c r="B234" s="173"/>
      <c r="C234" s="72"/>
      <c r="D234" s="281"/>
      <c r="E234" s="223"/>
      <c r="F234" s="210"/>
      <c r="G234" s="1701"/>
      <c r="H234" s="242"/>
      <c r="I234" s="268"/>
      <c r="J234" s="223"/>
      <c r="K234" s="1701"/>
      <c r="L234" s="2253"/>
      <c r="N234" s="220">
        <f t="shared" si="65"/>
        <v>0</v>
      </c>
    </row>
    <row r="235" spans="1:14" ht="13.8">
      <c r="A235" s="145" t="s">
        <v>1232</v>
      </c>
      <c r="B235" s="143"/>
      <c r="C235" s="72" t="s">
        <v>1167</v>
      </c>
      <c r="D235" s="281" t="s">
        <v>1153</v>
      </c>
      <c r="E235" s="223">
        <v>8</v>
      </c>
      <c r="F235" s="210">
        <v>115</v>
      </c>
      <c r="G235" s="2269">
        <f t="shared" si="66"/>
        <v>920</v>
      </c>
      <c r="H235" s="241"/>
      <c r="I235" s="268" t="s">
        <v>1153</v>
      </c>
      <c r="J235" s="223">
        <v>8</v>
      </c>
      <c r="K235" s="2270">
        <f t="shared" si="67"/>
        <v>115</v>
      </c>
      <c r="L235" s="251">
        <f t="shared" si="68"/>
        <v>920</v>
      </c>
      <c r="N235" s="220">
        <f t="shared" si="65"/>
        <v>0</v>
      </c>
    </row>
    <row r="236" spans="1:14" ht="13.8">
      <c r="A236" s="145"/>
      <c r="B236" s="143"/>
      <c r="C236" s="72"/>
      <c r="D236" s="281"/>
      <c r="E236" s="223"/>
      <c r="F236" s="210"/>
      <c r="G236" s="1701"/>
      <c r="H236" s="242"/>
      <c r="I236" s="268"/>
      <c r="J236" s="223"/>
      <c r="K236" s="1701"/>
      <c r="L236" s="2253"/>
      <c r="N236" s="220">
        <f t="shared" si="65"/>
        <v>0</v>
      </c>
    </row>
    <row r="237" spans="1:14" ht="13.8">
      <c r="A237" s="145" t="s">
        <v>1233</v>
      </c>
      <c r="B237" s="143"/>
      <c r="C237" s="72" t="s">
        <v>1169</v>
      </c>
      <c r="D237" s="281" t="s">
        <v>1153</v>
      </c>
      <c r="E237" s="223">
        <v>6</v>
      </c>
      <c r="F237" s="210">
        <v>115</v>
      </c>
      <c r="G237" s="2269">
        <f t="shared" si="66"/>
        <v>690</v>
      </c>
      <c r="H237" s="241"/>
      <c r="I237" s="268" t="s">
        <v>1153</v>
      </c>
      <c r="J237" s="223">
        <v>0</v>
      </c>
      <c r="K237" s="2270">
        <f t="shared" si="67"/>
        <v>115</v>
      </c>
      <c r="L237" s="251">
        <f t="shared" si="68"/>
        <v>0</v>
      </c>
      <c r="N237" s="220">
        <f t="shared" si="65"/>
        <v>690</v>
      </c>
    </row>
    <row r="238" spans="1:14" ht="13.8">
      <c r="A238" s="145"/>
      <c r="B238" s="143"/>
      <c r="C238" s="72"/>
      <c r="D238" s="281"/>
      <c r="E238" s="223"/>
      <c r="F238" s="210"/>
      <c r="G238" s="1701"/>
      <c r="H238" s="242"/>
      <c r="I238" s="268"/>
      <c r="J238" s="223"/>
      <c r="K238" s="1701"/>
      <c r="L238" s="2253"/>
      <c r="N238" s="220">
        <f t="shared" si="65"/>
        <v>0</v>
      </c>
    </row>
    <row r="239" spans="1:14" ht="13.8">
      <c r="A239" s="145" t="s">
        <v>1234</v>
      </c>
      <c r="B239" s="143"/>
      <c r="C239" s="72" t="s">
        <v>1171</v>
      </c>
      <c r="D239" s="281" t="s">
        <v>1153</v>
      </c>
      <c r="E239" s="224">
        <v>10</v>
      </c>
      <c r="F239" s="210">
        <v>108</v>
      </c>
      <c r="G239" s="2269">
        <f t="shared" si="66"/>
        <v>1080</v>
      </c>
      <c r="H239" s="241"/>
      <c r="I239" s="268" t="s">
        <v>1153</v>
      </c>
      <c r="J239" s="224">
        <v>0</v>
      </c>
      <c r="K239" s="2270">
        <f t="shared" si="67"/>
        <v>108</v>
      </c>
      <c r="L239" s="251">
        <f t="shared" si="68"/>
        <v>0</v>
      </c>
      <c r="N239" s="220">
        <f t="shared" si="65"/>
        <v>1080</v>
      </c>
    </row>
    <row r="240" spans="1:14" ht="13.8">
      <c r="A240" s="145"/>
      <c r="B240" s="143"/>
      <c r="C240" s="71"/>
      <c r="D240" s="141"/>
      <c r="E240" s="2295"/>
      <c r="F240" s="210"/>
      <c r="G240" s="1701"/>
      <c r="H240" s="242"/>
      <c r="I240" s="255"/>
      <c r="J240" s="2295"/>
      <c r="K240" s="1701"/>
      <c r="L240" s="2253"/>
      <c r="N240" s="220">
        <f t="shared" si="65"/>
        <v>0</v>
      </c>
    </row>
    <row r="241" spans="1:16" ht="13.8">
      <c r="A241" s="161">
        <v>10.130000000000001</v>
      </c>
      <c r="B241" s="143"/>
      <c r="C241" s="53" t="s">
        <v>1235</v>
      </c>
      <c r="D241" s="141"/>
      <c r="E241" s="2295"/>
      <c r="F241" s="210"/>
      <c r="G241" s="1701"/>
      <c r="H241" s="242"/>
      <c r="I241" s="255"/>
      <c r="J241" s="2295"/>
      <c r="K241" s="1701"/>
      <c r="L241" s="251"/>
      <c r="N241" s="220">
        <f t="shared" si="65"/>
        <v>0</v>
      </c>
    </row>
    <row r="242" spans="1:16" ht="13.8">
      <c r="A242" s="145" t="s">
        <v>1236</v>
      </c>
      <c r="B242" s="143"/>
      <c r="C242" s="139" t="s">
        <v>1182</v>
      </c>
      <c r="D242" s="141" t="s">
        <v>561</v>
      </c>
      <c r="E242" s="226">
        <v>200</v>
      </c>
      <c r="F242" s="210">
        <v>196</v>
      </c>
      <c r="G242" s="2269">
        <f t="shared" ref="G242" si="69">F242*E242</f>
        <v>39200</v>
      </c>
      <c r="H242" s="241"/>
      <c r="I242" s="255" t="s">
        <v>561</v>
      </c>
      <c r="J242" s="226">
        <v>64</v>
      </c>
      <c r="K242" s="2270">
        <f t="shared" ref="K242" si="70">F242</f>
        <v>196</v>
      </c>
      <c r="L242" s="251">
        <f>K242*J242</f>
        <v>12544</v>
      </c>
      <c r="N242" s="220">
        <f t="shared" si="65"/>
        <v>26656</v>
      </c>
    </row>
    <row r="243" spans="1:16" ht="13.8">
      <c r="A243" s="145"/>
      <c r="B243" s="143"/>
      <c r="C243" s="72"/>
      <c r="D243" s="2309"/>
      <c r="E243" s="223"/>
      <c r="F243" s="210"/>
      <c r="G243" s="1715"/>
      <c r="I243" s="268"/>
      <c r="J243" s="223"/>
      <c r="K243" s="1701"/>
      <c r="L243" s="2253"/>
      <c r="N243" s="220"/>
    </row>
    <row r="244" spans="1:16" ht="13.8">
      <c r="A244" s="177"/>
      <c r="B244" s="178"/>
      <c r="C244" s="79" t="s">
        <v>1237</v>
      </c>
      <c r="D244" s="85"/>
      <c r="E244" s="84"/>
      <c r="F244" s="210"/>
      <c r="G244" s="1701"/>
      <c r="H244" s="242"/>
      <c r="I244" s="272"/>
      <c r="J244" s="84"/>
      <c r="K244" s="1701"/>
      <c r="L244" s="2253"/>
      <c r="N244" s="220"/>
    </row>
    <row r="245" spans="1:16" ht="13.8">
      <c r="A245" s="83"/>
      <c r="B245" s="179"/>
      <c r="C245" s="81"/>
      <c r="D245" s="85"/>
      <c r="E245" s="84"/>
      <c r="F245" s="210"/>
      <c r="G245" s="1701"/>
      <c r="H245" s="242"/>
      <c r="I245" s="272"/>
      <c r="J245" s="84"/>
      <c r="K245" s="1701"/>
      <c r="L245" s="2253"/>
      <c r="N245" s="220"/>
    </row>
    <row r="246" spans="1:16" ht="13.8">
      <c r="A246" s="144"/>
      <c r="B246" s="143"/>
      <c r="C246" s="82" t="s">
        <v>1238</v>
      </c>
      <c r="D246" s="141"/>
      <c r="E246" s="2295"/>
      <c r="F246" s="210"/>
      <c r="G246" s="1701"/>
      <c r="H246" s="242"/>
      <c r="I246" s="255"/>
      <c r="J246" s="2295"/>
      <c r="K246" s="1701"/>
      <c r="L246" s="2253"/>
      <c r="N246" s="220"/>
    </row>
    <row r="247" spans="1:16" ht="13.8">
      <c r="A247" s="177">
        <v>10.14</v>
      </c>
      <c r="B247" s="87"/>
      <c r="C247" s="76" t="s">
        <v>1239</v>
      </c>
      <c r="D247" s="85"/>
      <c r="E247" s="84"/>
      <c r="F247" s="210"/>
      <c r="G247" s="1701"/>
      <c r="H247" s="242"/>
      <c r="I247" s="272"/>
      <c r="J247" s="84"/>
      <c r="K247" s="1701"/>
      <c r="L247" s="2253"/>
      <c r="N247" s="220"/>
    </row>
    <row r="248" spans="1:16" ht="13.8">
      <c r="A248" s="177"/>
      <c r="B248" s="87"/>
      <c r="C248" s="76"/>
      <c r="D248" s="85"/>
      <c r="E248" s="84"/>
      <c r="F248" s="210"/>
      <c r="G248" s="1701"/>
      <c r="H248" s="242"/>
      <c r="I248" s="272"/>
      <c r="J248" s="84"/>
      <c r="K248" s="1701"/>
      <c r="L248" s="2253"/>
      <c r="N248" s="220"/>
    </row>
    <row r="249" spans="1:16" ht="13.8">
      <c r="A249" s="180"/>
      <c r="B249" s="87"/>
      <c r="C249" s="78"/>
      <c r="D249" s="85"/>
      <c r="E249" s="75"/>
      <c r="F249" s="210"/>
      <c r="G249" s="1701"/>
      <c r="H249" s="242"/>
      <c r="I249" s="272"/>
      <c r="J249" s="75"/>
      <c r="K249" s="1701"/>
      <c r="L249" s="2253"/>
      <c r="N249" s="220"/>
    </row>
    <row r="250" spans="1:16" ht="13.8">
      <c r="A250" s="181" t="s">
        <v>1240</v>
      </c>
      <c r="B250" s="87" t="s">
        <v>1241</v>
      </c>
      <c r="C250" s="77" t="s">
        <v>1242</v>
      </c>
      <c r="D250" s="85" t="s">
        <v>273</v>
      </c>
      <c r="E250" s="85">
        <v>1</v>
      </c>
      <c r="F250" s="210">
        <v>896555</v>
      </c>
      <c r="G250" s="2269">
        <f t="shared" ref="G250:G260" si="71">F250*E250</f>
        <v>896555</v>
      </c>
      <c r="H250" s="241"/>
      <c r="I250" s="272" t="s">
        <v>273</v>
      </c>
      <c r="J250" s="85">
        <v>1</v>
      </c>
      <c r="K250" s="288">
        <v>641924.47</v>
      </c>
      <c r="L250" s="251">
        <f>K250*J250</f>
        <v>641924.47</v>
      </c>
      <c r="N250" s="220">
        <f t="shared" si="65"/>
        <v>254630.53000000003</v>
      </c>
      <c r="P250" s="240"/>
    </row>
    <row r="251" spans="1:16" ht="13.8">
      <c r="A251" s="180"/>
      <c r="B251" s="87"/>
      <c r="C251" s="78"/>
      <c r="D251" s="85"/>
      <c r="E251" s="75"/>
      <c r="F251" s="210"/>
      <c r="G251" s="1701"/>
      <c r="H251" s="242"/>
      <c r="I251" s="272"/>
      <c r="J251" s="75"/>
      <c r="K251" s="1701"/>
      <c r="L251" s="2253"/>
      <c r="N251" s="220"/>
    </row>
    <row r="252" spans="1:16" ht="13.8">
      <c r="A252" s="181" t="s">
        <v>1243</v>
      </c>
      <c r="B252" s="87" t="s">
        <v>1241</v>
      </c>
      <c r="C252" s="77" t="s">
        <v>1244</v>
      </c>
      <c r="D252" s="85" t="s">
        <v>273</v>
      </c>
      <c r="E252" s="88">
        <v>1</v>
      </c>
      <c r="F252" s="210">
        <v>272601</v>
      </c>
      <c r="G252" s="2269">
        <f t="shared" si="71"/>
        <v>272601</v>
      </c>
      <c r="H252" s="241"/>
      <c r="I252" s="272" t="s">
        <v>273</v>
      </c>
      <c r="J252" s="88">
        <v>1</v>
      </c>
      <c r="K252" s="2270">
        <f t="shared" ref="K252:K270" si="72">F252</f>
        <v>272601</v>
      </c>
      <c r="L252" s="251">
        <f t="shared" ref="L252" si="73">K252*J252</f>
        <v>272601</v>
      </c>
      <c r="N252" s="220">
        <f t="shared" si="65"/>
        <v>0</v>
      </c>
    </row>
    <row r="253" spans="1:16" ht="13.8">
      <c r="A253" s="180"/>
      <c r="B253" s="87"/>
      <c r="C253" s="77"/>
      <c r="D253" s="85"/>
      <c r="E253" s="88"/>
      <c r="F253" s="210"/>
      <c r="G253" s="1701"/>
      <c r="H253" s="242"/>
      <c r="I253" s="272"/>
      <c r="J253" s="88"/>
      <c r="K253" s="1701"/>
      <c r="L253" s="2253"/>
      <c r="N253" s="220"/>
    </row>
    <row r="254" spans="1:16" ht="13.8">
      <c r="A254" s="181" t="s">
        <v>1245</v>
      </c>
      <c r="B254" s="87" t="s">
        <v>1241</v>
      </c>
      <c r="C254" s="77" t="s">
        <v>1246</v>
      </c>
      <c r="D254" s="85" t="s">
        <v>273</v>
      </c>
      <c r="E254" s="89">
        <v>12</v>
      </c>
      <c r="F254" s="210">
        <v>5471</v>
      </c>
      <c r="G254" s="2269">
        <f t="shared" si="71"/>
        <v>65652</v>
      </c>
      <c r="H254" s="241"/>
      <c r="I254" s="272" t="s">
        <v>273</v>
      </c>
      <c r="J254" s="89">
        <v>13</v>
      </c>
      <c r="K254" s="2270">
        <f t="shared" si="72"/>
        <v>5471</v>
      </c>
      <c r="L254" s="251">
        <f t="shared" ref="L254" si="74">K254*J254</f>
        <v>71123</v>
      </c>
      <c r="N254" s="220">
        <f t="shared" si="65"/>
        <v>-5471</v>
      </c>
    </row>
    <row r="255" spans="1:16" ht="13.8">
      <c r="A255" s="180"/>
      <c r="B255" s="87"/>
      <c r="C255" s="77"/>
      <c r="D255" s="85"/>
      <c r="E255" s="88"/>
      <c r="F255" s="210"/>
      <c r="G255" s="1701"/>
      <c r="H255" s="242"/>
      <c r="I255" s="272"/>
      <c r="J255" s="88"/>
      <c r="K255" s="1701"/>
      <c r="L255" s="2253"/>
      <c r="N255" s="220"/>
    </row>
    <row r="256" spans="1:16" ht="13.8">
      <c r="A256" s="181" t="s">
        <v>1247</v>
      </c>
      <c r="B256" s="87" t="s">
        <v>1241</v>
      </c>
      <c r="C256" s="77" t="s">
        <v>1248</v>
      </c>
      <c r="D256" s="85" t="s">
        <v>273</v>
      </c>
      <c r="E256" s="89">
        <v>1</v>
      </c>
      <c r="F256" s="210">
        <v>4736</v>
      </c>
      <c r="G256" s="2269">
        <f t="shared" si="71"/>
        <v>4736</v>
      </c>
      <c r="H256" s="241"/>
      <c r="I256" s="272" t="s">
        <v>273</v>
      </c>
      <c r="J256" s="89">
        <v>1</v>
      </c>
      <c r="K256" s="2270">
        <f t="shared" si="72"/>
        <v>4736</v>
      </c>
      <c r="L256" s="251">
        <f t="shared" ref="L256" si="75">K256*J256</f>
        <v>4736</v>
      </c>
      <c r="N256" s="220">
        <f t="shared" si="65"/>
        <v>0</v>
      </c>
    </row>
    <row r="257" spans="1:14" ht="13.8">
      <c r="A257" s="180"/>
      <c r="B257" s="87"/>
      <c r="C257" s="77"/>
      <c r="D257" s="85"/>
      <c r="E257" s="88"/>
      <c r="F257" s="210"/>
      <c r="G257" s="1701"/>
      <c r="H257" s="242"/>
      <c r="I257" s="272"/>
      <c r="J257" s="88"/>
      <c r="K257" s="1701"/>
      <c r="L257" s="2253"/>
      <c r="N257" s="220"/>
    </row>
    <row r="258" spans="1:14" ht="13.8">
      <c r="A258" s="181" t="s">
        <v>1249</v>
      </c>
      <c r="B258" s="87" t="s">
        <v>1241</v>
      </c>
      <c r="C258" s="77" t="s">
        <v>1250</v>
      </c>
      <c r="D258" s="85" t="s">
        <v>273</v>
      </c>
      <c r="E258" s="89">
        <v>1</v>
      </c>
      <c r="F258" s="210">
        <v>13370</v>
      </c>
      <c r="G258" s="2269">
        <f t="shared" si="71"/>
        <v>13370</v>
      </c>
      <c r="H258" s="241"/>
      <c r="I258" s="272" t="s">
        <v>273</v>
      </c>
      <c r="J258" s="89">
        <v>0</v>
      </c>
      <c r="K258" s="2270">
        <f t="shared" si="72"/>
        <v>13370</v>
      </c>
      <c r="L258" s="251">
        <f t="shared" ref="L258" si="76">K258*J258</f>
        <v>0</v>
      </c>
      <c r="N258" s="220">
        <f t="shared" si="65"/>
        <v>13370</v>
      </c>
    </row>
    <row r="259" spans="1:14" ht="13.8">
      <c r="A259" s="180"/>
      <c r="B259" s="87"/>
      <c r="C259" s="78"/>
      <c r="D259" s="85"/>
      <c r="E259" s="75"/>
      <c r="F259" s="210"/>
      <c r="G259" s="1701"/>
      <c r="H259" s="242"/>
      <c r="I259" s="272"/>
      <c r="J259" s="75"/>
      <c r="K259" s="1701"/>
      <c r="L259" s="2253"/>
      <c r="N259" s="220"/>
    </row>
    <row r="260" spans="1:14" ht="13.8">
      <c r="A260" s="181" t="s">
        <v>1251</v>
      </c>
      <c r="B260" s="87" t="s">
        <v>1241</v>
      </c>
      <c r="C260" s="77" t="s">
        <v>1250</v>
      </c>
      <c r="D260" s="85" t="s">
        <v>273</v>
      </c>
      <c r="E260" s="89">
        <v>1</v>
      </c>
      <c r="F260" s="210">
        <v>13370</v>
      </c>
      <c r="G260" s="2269">
        <f t="shared" si="71"/>
        <v>13370</v>
      </c>
      <c r="H260" s="241"/>
      <c r="I260" s="272" t="s">
        <v>273</v>
      </c>
      <c r="J260" s="89">
        <v>0</v>
      </c>
      <c r="K260" s="2270">
        <f t="shared" si="72"/>
        <v>13370</v>
      </c>
      <c r="L260" s="251">
        <f t="shared" ref="L260" si="77">K260*J260</f>
        <v>0</v>
      </c>
      <c r="N260" s="220">
        <f t="shared" si="65"/>
        <v>13370</v>
      </c>
    </row>
    <row r="261" spans="1:14" ht="13.8">
      <c r="A261" s="181"/>
      <c r="B261" s="87"/>
      <c r="C261" s="77"/>
      <c r="D261" s="85"/>
      <c r="E261" s="89"/>
      <c r="F261" s="210"/>
      <c r="G261" s="2269"/>
      <c r="H261" s="241"/>
      <c r="I261" s="272"/>
      <c r="J261" s="89"/>
      <c r="K261" s="2270"/>
      <c r="L261" s="251"/>
      <c r="N261" s="220"/>
    </row>
    <row r="262" spans="1:14" ht="13.8">
      <c r="A262" s="181"/>
      <c r="B262" s="87"/>
      <c r="C262" s="239" t="s">
        <v>1252</v>
      </c>
      <c r="D262" s="85" t="s">
        <v>273</v>
      </c>
      <c r="E262" s="89">
        <v>1</v>
      </c>
      <c r="F262" s="289">
        <v>0</v>
      </c>
      <c r="G262" s="2289">
        <v>0</v>
      </c>
      <c r="H262" s="241"/>
      <c r="I262" s="287" t="s">
        <v>273</v>
      </c>
      <c r="J262" s="286">
        <v>1</v>
      </c>
      <c r="K262" s="2291">
        <v>10350</v>
      </c>
      <c r="L262" s="278">
        <f t="shared" ref="L262" si="78">K262*J262</f>
        <v>10350</v>
      </c>
      <c r="N262" s="220">
        <f t="shared" ref="N262" si="79">G262-L262</f>
        <v>-10350</v>
      </c>
    </row>
    <row r="263" spans="1:14" ht="13.8">
      <c r="A263" s="181"/>
      <c r="B263" s="87"/>
      <c r="C263" s="77"/>
      <c r="D263" s="85"/>
      <c r="E263" s="89"/>
      <c r="F263" s="210"/>
      <c r="G263" s="2269"/>
      <c r="H263" s="241"/>
      <c r="I263" s="272"/>
      <c r="J263" s="89"/>
      <c r="K263" s="2270"/>
      <c r="L263" s="251"/>
      <c r="N263" s="220"/>
    </row>
    <row r="264" spans="1:14" ht="13.8">
      <c r="A264" s="180"/>
      <c r="B264" s="87"/>
      <c r="C264" s="78"/>
      <c r="D264" s="85"/>
      <c r="E264" s="75"/>
      <c r="F264" s="210"/>
      <c r="G264" s="1701"/>
      <c r="H264" s="242"/>
      <c r="I264" s="272"/>
      <c r="J264" s="75"/>
      <c r="K264" s="1701"/>
      <c r="L264" s="2253"/>
      <c r="N264" s="220"/>
    </row>
    <row r="265" spans="1:14" ht="13.8">
      <c r="A265" s="144"/>
      <c r="B265" s="143"/>
      <c r="C265" s="82" t="s">
        <v>1253</v>
      </c>
      <c r="D265" s="141"/>
      <c r="E265" s="2295"/>
      <c r="F265" s="210"/>
      <c r="G265" s="1701"/>
      <c r="H265" s="242"/>
      <c r="I265" s="255"/>
      <c r="J265" s="2295"/>
      <c r="K265" s="1701"/>
      <c r="L265" s="2253"/>
      <c r="N265" s="220"/>
    </row>
    <row r="266" spans="1:14" ht="13.8">
      <c r="A266" s="177">
        <v>10.15</v>
      </c>
      <c r="B266" s="87"/>
      <c r="C266" s="76" t="s">
        <v>1239</v>
      </c>
      <c r="D266" s="85"/>
      <c r="E266" s="84"/>
      <c r="F266" s="210"/>
      <c r="G266" s="1701"/>
      <c r="H266" s="242"/>
      <c r="I266" s="272"/>
      <c r="J266" s="84"/>
      <c r="K266" s="1701"/>
      <c r="L266" s="2253"/>
      <c r="N266" s="220"/>
    </row>
    <row r="267" spans="1:14" ht="13.8">
      <c r="A267" s="181"/>
      <c r="B267" s="182"/>
      <c r="C267" s="77"/>
      <c r="D267" s="85"/>
      <c r="E267" s="85"/>
      <c r="F267" s="210"/>
      <c r="G267" s="1701"/>
      <c r="H267" s="242"/>
      <c r="I267" s="272"/>
      <c r="J267" s="85"/>
      <c r="K267" s="1701"/>
      <c r="L267" s="2253"/>
      <c r="N267" s="220"/>
    </row>
    <row r="268" spans="1:14" ht="13.8">
      <c r="A268" s="181" t="s">
        <v>1254</v>
      </c>
      <c r="B268" s="182" t="s">
        <v>1255</v>
      </c>
      <c r="C268" s="74" t="s">
        <v>1256</v>
      </c>
      <c r="D268" s="85" t="s">
        <v>273</v>
      </c>
      <c r="E268" s="85">
        <v>1</v>
      </c>
      <c r="F268" s="210">
        <v>15447</v>
      </c>
      <c r="G268" s="2269">
        <f t="shared" ref="G268" si="80">F268*E268</f>
        <v>15447</v>
      </c>
      <c r="H268" s="241"/>
      <c r="I268" s="272" t="s">
        <v>273</v>
      </c>
      <c r="J268" s="85">
        <v>1</v>
      </c>
      <c r="K268" s="2270">
        <f t="shared" si="72"/>
        <v>15447</v>
      </c>
      <c r="L268" s="251">
        <f t="shared" ref="L268" si="81">K268*J268</f>
        <v>15447</v>
      </c>
      <c r="N268" s="220">
        <f t="shared" si="65"/>
        <v>0</v>
      </c>
    </row>
    <row r="269" spans="1:14" ht="13.8">
      <c r="A269" s="181"/>
      <c r="B269" s="182"/>
      <c r="C269" s="74"/>
      <c r="D269" s="85"/>
      <c r="E269" s="85"/>
      <c r="F269" s="210"/>
      <c r="G269" s="1701"/>
      <c r="H269" s="242"/>
      <c r="I269" s="272"/>
      <c r="J269" s="85"/>
      <c r="K269" s="1701"/>
      <c r="L269" s="2253"/>
      <c r="N269" s="220"/>
    </row>
    <row r="270" spans="1:14" ht="13.8">
      <c r="A270" s="181" t="s">
        <v>1257</v>
      </c>
      <c r="B270" s="182" t="s">
        <v>1255</v>
      </c>
      <c r="C270" s="74" t="s">
        <v>1258</v>
      </c>
      <c r="D270" s="85" t="s">
        <v>273</v>
      </c>
      <c r="E270" s="85">
        <v>1</v>
      </c>
      <c r="F270" s="210">
        <v>13659</v>
      </c>
      <c r="G270" s="2269">
        <f t="shared" ref="G270" si="82">F270*E270</f>
        <v>13659</v>
      </c>
      <c r="H270" s="241"/>
      <c r="I270" s="272" t="s">
        <v>273</v>
      </c>
      <c r="J270" s="85">
        <v>1</v>
      </c>
      <c r="K270" s="2270">
        <f t="shared" si="72"/>
        <v>13659</v>
      </c>
      <c r="L270" s="251">
        <f t="shared" ref="L270" si="83">K270*J270</f>
        <v>13659</v>
      </c>
      <c r="N270" s="220">
        <f t="shared" si="65"/>
        <v>0</v>
      </c>
    </row>
    <row r="271" spans="1:14" ht="13.8">
      <c r="A271" s="181"/>
      <c r="B271" s="182"/>
      <c r="C271" s="74"/>
      <c r="D271" s="85"/>
      <c r="E271" s="85"/>
      <c r="F271" s="210"/>
      <c r="G271" s="1701"/>
      <c r="H271" s="242"/>
      <c r="I271" s="272"/>
      <c r="J271" s="85"/>
      <c r="K271" s="1701"/>
      <c r="L271" s="2253"/>
      <c r="N271" s="220"/>
    </row>
    <row r="272" spans="1:14" ht="13.8">
      <c r="A272" s="181"/>
      <c r="B272" s="182"/>
      <c r="C272" s="74"/>
      <c r="D272" s="85"/>
      <c r="E272" s="85"/>
      <c r="F272" s="210"/>
      <c r="G272" s="1701"/>
      <c r="H272" s="242"/>
      <c r="I272" s="272"/>
      <c r="J272" s="85"/>
      <c r="K272" s="1701"/>
      <c r="L272" s="2253"/>
      <c r="N272" s="220"/>
    </row>
    <row r="273" spans="1:14" ht="13.8">
      <c r="A273" s="145"/>
      <c r="B273" s="143"/>
      <c r="C273" s="72"/>
      <c r="D273" s="2309"/>
      <c r="E273" s="223"/>
      <c r="F273" s="210"/>
      <c r="G273" s="1715"/>
      <c r="I273" s="268"/>
      <c r="J273" s="223"/>
      <c r="K273" s="1701"/>
      <c r="L273" s="2253"/>
      <c r="N273" s="220"/>
    </row>
    <row r="274" spans="1:14" ht="13.8">
      <c r="A274" s="177"/>
      <c r="B274" s="178"/>
      <c r="C274" s="79" t="s">
        <v>1237</v>
      </c>
      <c r="D274" s="85"/>
      <c r="E274" s="84"/>
      <c r="F274" s="210"/>
      <c r="G274" s="1701"/>
      <c r="H274" s="242"/>
      <c r="I274" s="272"/>
      <c r="J274" s="84"/>
      <c r="K274" s="1701"/>
      <c r="L274" s="2253"/>
      <c r="N274" s="220"/>
    </row>
    <row r="275" spans="1:14" ht="13.8">
      <c r="A275" s="83"/>
      <c r="B275" s="179"/>
      <c r="C275" s="81"/>
      <c r="D275" s="85"/>
      <c r="E275" s="84"/>
      <c r="F275" s="210"/>
      <c r="G275" s="1701"/>
      <c r="H275" s="242"/>
      <c r="I275" s="272"/>
      <c r="J275" s="84"/>
      <c r="K275" s="1701"/>
      <c r="L275" s="2253"/>
      <c r="N275" s="220"/>
    </row>
    <row r="276" spans="1:14" ht="13.8">
      <c r="A276" s="144"/>
      <c r="B276" s="143"/>
      <c r="C276" s="82" t="s">
        <v>1259</v>
      </c>
      <c r="D276" s="141"/>
      <c r="E276" s="2295"/>
      <c r="F276" s="210"/>
      <c r="G276" s="1701"/>
      <c r="H276" s="242"/>
      <c r="I276" s="255"/>
      <c r="J276" s="2295"/>
      <c r="K276" s="1701"/>
      <c r="L276" s="2253"/>
      <c r="N276" s="220"/>
    </row>
    <row r="277" spans="1:14" ht="13.8">
      <c r="A277" s="177">
        <v>10.16</v>
      </c>
      <c r="B277" s="87"/>
      <c r="C277" s="76" t="s">
        <v>1239</v>
      </c>
      <c r="D277" s="85"/>
      <c r="E277" s="84"/>
      <c r="F277" s="210"/>
      <c r="G277" s="1701"/>
      <c r="H277" s="242"/>
      <c r="I277" s="272"/>
      <c r="J277" s="84"/>
      <c r="K277" s="1701"/>
      <c r="L277" s="2253"/>
      <c r="N277" s="220"/>
    </row>
    <row r="278" spans="1:14" ht="13.8">
      <c r="A278" s="181"/>
      <c r="B278" s="182"/>
      <c r="C278" s="74"/>
      <c r="D278" s="85"/>
      <c r="E278" s="85"/>
      <c r="F278" s="210"/>
      <c r="G278" s="1701"/>
      <c r="H278" s="242"/>
      <c r="I278" s="272"/>
      <c r="J278" s="85"/>
      <c r="K278" s="1701"/>
      <c r="L278" s="2253"/>
      <c r="N278" s="220"/>
    </row>
    <row r="279" spans="1:14" ht="13.8">
      <c r="A279" s="181" t="s">
        <v>1260</v>
      </c>
      <c r="B279" s="182" t="s">
        <v>1261</v>
      </c>
      <c r="C279" s="49" t="s">
        <v>1262</v>
      </c>
      <c r="D279" s="85" t="s">
        <v>273</v>
      </c>
      <c r="E279" s="85">
        <v>1</v>
      </c>
      <c r="F279" s="210">
        <v>16293</v>
      </c>
      <c r="G279" s="2269">
        <f t="shared" ref="G279:G285" si="84">F279*E279</f>
        <v>16293</v>
      </c>
      <c r="H279" s="241"/>
      <c r="I279" s="272" t="s">
        <v>273</v>
      </c>
      <c r="J279" s="85">
        <v>1</v>
      </c>
      <c r="K279" s="2270">
        <f t="shared" ref="K279:K285" si="85">F279</f>
        <v>16293</v>
      </c>
      <c r="L279" s="251">
        <f t="shared" ref="L279" si="86">K279*J279</f>
        <v>16293</v>
      </c>
      <c r="N279" s="220">
        <f t="shared" ref="N279:N334" si="87">G279-L279</f>
        <v>0</v>
      </c>
    </row>
    <row r="280" spans="1:14" ht="13.8">
      <c r="A280" s="145"/>
      <c r="B280" s="143"/>
      <c r="C280" s="49"/>
      <c r="D280" s="2309"/>
      <c r="E280" s="223"/>
      <c r="F280" s="210"/>
      <c r="G280" s="1715"/>
      <c r="I280" s="268"/>
      <c r="J280" s="223"/>
      <c r="K280" s="1701"/>
      <c r="L280" s="2253"/>
      <c r="N280" s="220"/>
    </row>
    <row r="281" spans="1:14" ht="13.8">
      <c r="A281" s="181" t="s">
        <v>1263</v>
      </c>
      <c r="B281" s="182" t="s">
        <v>1261</v>
      </c>
      <c r="C281" s="49" t="s">
        <v>1264</v>
      </c>
      <c r="D281" s="85" t="s">
        <v>273</v>
      </c>
      <c r="E281" s="85">
        <v>1</v>
      </c>
      <c r="F281" s="210">
        <v>16293</v>
      </c>
      <c r="G281" s="2269">
        <f t="shared" si="84"/>
        <v>16293</v>
      </c>
      <c r="H281" s="241"/>
      <c r="I281" s="272" t="s">
        <v>273</v>
      </c>
      <c r="J281" s="85">
        <v>1</v>
      </c>
      <c r="K281" s="2270">
        <f t="shared" si="85"/>
        <v>16293</v>
      </c>
      <c r="L281" s="251">
        <f t="shared" ref="L281" si="88">K281*J281</f>
        <v>16293</v>
      </c>
      <c r="N281" s="220">
        <f t="shared" si="87"/>
        <v>0</v>
      </c>
    </row>
    <row r="282" spans="1:14" ht="13.8">
      <c r="A282" s="181"/>
      <c r="B282" s="182"/>
      <c r="C282" s="77"/>
      <c r="D282" s="85"/>
      <c r="E282" s="85"/>
      <c r="F282" s="210"/>
      <c r="G282" s="1715"/>
      <c r="I282" s="272"/>
      <c r="J282" s="85"/>
      <c r="K282" s="1701"/>
      <c r="L282" s="2253"/>
      <c r="N282" s="220"/>
    </row>
    <row r="283" spans="1:14" ht="27.6">
      <c r="A283" s="181" t="s">
        <v>1265</v>
      </c>
      <c r="B283" s="182" t="s">
        <v>1261</v>
      </c>
      <c r="C283" s="139" t="s">
        <v>1266</v>
      </c>
      <c r="D283" s="85" t="s">
        <v>273</v>
      </c>
      <c r="E283" s="85">
        <v>4</v>
      </c>
      <c r="F283" s="210">
        <v>3521</v>
      </c>
      <c r="G283" s="2269">
        <f t="shared" si="84"/>
        <v>14084</v>
      </c>
      <c r="H283" s="241"/>
      <c r="I283" s="272" t="s">
        <v>273</v>
      </c>
      <c r="J283" s="85">
        <v>3</v>
      </c>
      <c r="K283" s="2270">
        <f t="shared" si="85"/>
        <v>3521</v>
      </c>
      <c r="L283" s="251">
        <f t="shared" ref="L283" si="89">K283*J283</f>
        <v>10563</v>
      </c>
      <c r="N283" s="220">
        <f t="shared" si="87"/>
        <v>3521</v>
      </c>
    </row>
    <row r="284" spans="1:14" ht="13.8">
      <c r="A284" s="145"/>
      <c r="B284" s="143"/>
      <c r="C284" s="72"/>
      <c r="D284" s="2309"/>
      <c r="E284" s="223"/>
      <c r="F284" s="210"/>
      <c r="G284" s="1715"/>
      <c r="I284" s="268"/>
      <c r="J284" s="223"/>
      <c r="K284" s="1701"/>
      <c r="L284" s="2253"/>
      <c r="N284" s="220"/>
    </row>
    <row r="285" spans="1:14" ht="27.6">
      <c r="A285" s="181" t="s">
        <v>1267</v>
      </c>
      <c r="B285" s="182" t="s">
        <v>1261</v>
      </c>
      <c r="C285" s="139" t="s">
        <v>1268</v>
      </c>
      <c r="D285" s="141" t="s">
        <v>273</v>
      </c>
      <c r="E285" s="2295">
        <v>4</v>
      </c>
      <c r="F285" s="210">
        <v>1256</v>
      </c>
      <c r="G285" s="2269">
        <f t="shared" si="84"/>
        <v>5024</v>
      </c>
      <c r="H285" s="241"/>
      <c r="I285" s="255" t="s">
        <v>273</v>
      </c>
      <c r="J285" s="2295">
        <v>0</v>
      </c>
      <c r="K285" s="2270">
        <f t="shared" si="85"/>
        <v>1256</v>
      </c>
      <c r="L285" s="251">
        <f t="shared" ref="L285" si="90">K285*J285</f>
        <v>0</v>
      </c>
      <c r="N285" s="220">
        <f t="shared" si="87"/>
        <v>5024</v>
      </c>
    </row>
    <row r="286" spans="1:14" ht="13.5" customHeight="1">
      <c r="A286" s="15"/>
      <c r="B286" s="11"/>
      <c r="C286" s="13"/>
      <c r="D286" s="874"/>
      <c r="E286" s="16"/>
      <c r="F286" s="206"/>
      <c r="G286" s="2252"/>
      <c r="H286" s="243"/>
      <c r="I286" s="253"/>
      <c r="J286" s="16"/>
      <c r="K286" s="1701"/>
      <c r="L286" s="2253"/>
      <c r="N286" s="220"/>
    </row>
    <row r="287" spans="1:14">
      <c r="A287" s="1786"/>
      <c r="B287" s="801"/>
      <c r="C287" s="862"/>
      <c r="D287" s="801"/>
      <c r="E287" s="800"/>
      <c r="F287" s="2302"/>
      <c r="G287" s="2303"/>
      <c r="H287" s="2304"/>
      <c r="I287" s="3019"/>
      <c r="J287" s="3022"/>
      <c r="K287" s="2305"/>
      <c r="L287" s="2306"/>
      <c r="N287" s="220"/>
    </row>
    <row r="288" spans="1:14">
      <c r="A288" s="802"/>
      <c r="B288" s="426"/>
      <c r="C288" s="413" t="s">
        <v>289</v>
      </c>
      <c r="D288" s="426"/>
      <c r="E288" s="425"/>
      <c r="F288" s="207"/>
      <c r="G288" s="2307"/>
      <c r="H288" s="217"/>
      <c r="I288" s="3020"/>
      <c r="J288" s="3023"/>
      <c r="K288" s="2308"/>
      <c r="L288" s="252"/>
      <c r="N288" s="220"/>
    </row>
    <row r="289" spans="1:14">
      <c r="A289" s="17"/>
      <c r="B289" s="11"/>
      <c r="C289" s="34" t="s">
        <v>290</v>
      </c>
      <c r="D289" s="874"/>
      <c r="E289" s="16"/>
      <c r="F289" s="206"/>
      <c r="G289" s="203"/>
      <c r="H289" s="244"/>
      <c r="I289" s="253"/>
      <c r="J289" s="16"/>
      <c r="K289" s="1701"/>
      <c r="L289" s="2253"/>
      <c r="N289" s="220"/>
    </row>
    <row r="290" spans="1:14" ht="13.8">
      <c r="A290" s="145"/>
      <c r="B290" s="143"/>
      <c r="C290" s="139"/>
      <c r="D290" s="141"/>
      <c r="E290" s="226"/>
      <c r="F290" s="210"/>
      <c r="G290" s="1701"/>
      <c r="H290" s="242"/>
      <c r="I290" s="255"/>
      <c r="J290" s="226"/>
      <c r="K290" s="1701"/>
      <c r="L290" s="2253"/>
      <c r="N290" s="220"/>
    </row>
    <row r="291" spans="1:14" ht="27.6">
      <c r="A291" s="181" t="s">
        <v>1269</v>
      </c>
      <c r="B291" s="182" t="s">
        <v>1261</v>
      </c>
      <c r="C291" s="139" t="s">
        <v>1270</v>
      </c>
      <c r="D291" s="141" t="s">
        <v>273</v>
      </c>
      <c r="E291" s="2295">
        <v>10</v>
      </c>
      <c r="F291" s="210">
        <v>541</v>
      </c>
      <c r="G291" s="2269">
        <f t="shared" ref="G291:G309" si="91">F291*E291</f>
        <v>5410</v>
      </c>
      <c r="H291" s="241"/>
      <c r="I291" s="255" t="s">
        <v>273</v>
      </c>
      <c r="J291" s="2295">
        <v>7</v>
      </c>
      <c r="K291" s="2270">
        <f t="shared" ref="K291:K309" si="92">F291</f>
        <v>541</v>
      </c>
      <c r="L291" s="251">
        <f t="shared" ref="L291:L309" si="93">K291*J291</f>
        <v>3787</v>
      </c>
      <c r="N291" s="220">
        <f t="shared" si="87"/>
        <v>1623</v>
      </c>
    </row>
    <row r="292" spans="1:14" ht="13.8">
      <c r="A292" s="181"/>
      <c r="B292" s="143"/>
      <c r="C292" s="71"/>
      <c r="D292" s="141"/>
      <c r="E292" s="2295"/>
      <c r="F292" s="210"/>
      <c r="G292" s="1701"/>
      <c r="H292" s="242"/>
      <c r="I292" s="255"/>
      <c r="J292" s="2295"/>
      <c r="K292" s="1701"/>
      <c r="L292" s="2253"/>
      <c r="N292" s="220"/>
    </row>
    <row r="293" spans="1:14" ht="27.6">
      <c r="A293" s="181" t="s">
        <v>1271</v>
      </c>
      <c r="B293" s="182" t="s">
        <v>1261</v>
      </c>
      <c r="C293" s="139" t="s">
        <v>1272</v>
      </c>
      <c r="D293" s="141" t="s">
        <v>273</v>
      </c>
      <c r="E293" s="2295">
        <v>2</v>
      </c>
      <c r="F293" s="210">
        <v>1058</v>
      </c>
      <c r="G293" s="2269">
        <f t="shared" si="91"/>
        <v>2116</v>
      </c>
      <c r="H293" s="241"/>
      <c r="I293" s="255" t="s">
        <v>273</v>
      </c>
      <c r="J293" s="2295">
        <v>2</v>
      </c>
      <c r="K293" s="2270">
        <f t="shared" si="92"/>
        <v>1058</v>
      </c>
      <c r="L293" s="251">
        <f t="shared" si="93"/>
        <v>2116</v>
      </c>
      <c r="N293" s="220">
        <f t="shared" si="87"/>
        <v>0</v>
      </c>
    </row>
    <row r="294" spans="1:14" ht="13.8">
      <c r="A294" s="181"/>
      <c r="B294" s="143"/>
      <c r="C294" s="139"/>
      <c r="D294" s="141"/>
      <c r="E294" s="142"/>
      <c r="F294" s="210"/>
      <c r="G294" s="1701"/>
      <c r="H294" s="242"/>
      <c r="I294" s="255"/>
      <c r="J294" s="142"/>
      <c r="K294" s="1701"/>
      <c r="L294" s="2253"/>
      <c r="N294" s="220"/>
    </row>
    <row r="295" spans="1:14" ht="13.8">
      <c r="A295" s="181" t="s">
        <v>1273</v>
      </c>
      <c r="B295" s="182" t="s">
        <v>1261</v>
      </c>
      <c r="C295" s="83" t="s">
        <v>1274</v>
      </c>
      <c r="D295" s="141" t="s">
        <v>273</v>
      </c>
      <c r="E295" s="88">
        <v>2</v>
      </c>
      <c r="F295" s="210">
        <v>215</v>
      </c>
      <c r="G295" s="2269">
        <f t="shared" si="91"/>
        <v>430</v>
      </c>
      <c r="H295" s="241"/>
      <c r="I295" s="255" t="s">
        <v>273</v>
      </c>
      <c r="J295" s="88">
        <v>1</v>
      </c>
      <c r="K295" s="2270">
        <f t="shared" si="92"/>
        <v>215</v>
      </c>
      <c r="L295" s="251">
        <f t="shared" si="93"/>
        <v>215</v>
      </c>
      <c r="N295" s="220">
        <f t="shared" si="87"/>
        <v>215</v>
      </c>
    </row>
    <row r="296" spans="1:14" ht="13.8">
      <c r="A296" s="181"/>
      <c r="B296" s="182"/>
      <c r="C296" s="83"/>
      <c r="D296" s="141"/>
      <c r="E296" s="88"/>
      <c r="F296" s="210"/>
      <c r="G296" s="1701"/>
      <c r="H296" s="242"/>
      <c r="I296" s="255"/>
      <c r="J296" s="88"/>
      <c r="K296" s="1701"/>
      <c r="L296" s="2253"/>
      <c r="N296" s="220"/>
    </row>
    <row r="297" spans="1:14" ht="13.8">
      <c r="A297" s="181" t="s">
        <v>1275</v>
      </c>
      <c r="B297" s="182" t="s">
        <v>1261</v>
      </c>
      <c r="C297" s="80" t="s">
        <v>1276</v>
      </c>
      <c r="D297" s="141" t="s">
        <v>273</v>
      </c>
      <c r="E297" s="84">
        <v>2</v>
      </c>
      <c r="F297" s="210">
        <v>76</v>
      </c>
      <c r="G297" s="2269">
        <f t="shared" si="91"/>
        <v>152</v>
      </c>
      <c r="H297" s="241"/>
      <c r="I297" s="255" t="s">
        <v>273</v>
      </c>
      <c r="J297" s="84">
        <v>1</v>
      </c>
      <c r="K297" s="2270">
        <f t="shared" si="92"/>
        <v>76</v>
      </c>
      <c r="L297" s="251">
        <f t="shared" si="93"/>
        <v>76</v>
      </c>
      <c r="N297" s="220">
        <f t="shared" si="87"/>
        <v>76</v>
      </c>
    </row>
    <row r="298" spans="1:14" ht="13.8">
      <c r="A298" s="181"/>
      <c r="B298" s="182"/>
      <c r="C298" s="80"/>
      <c r="D298" s="141"/>
      <c r="E298" s="84"/>
      <c r="F298" s="210"/>
      <c r="G298" s="1701"/>
      <c r="H298" s="242"/>
      <c r="I298" s="255"/>
      <c r="J298" s="84"/>
      <c r="K298" s="1701"/>
      <c r="L298" s="2253"/>
      <c r="N298" s="220">
        <f t="shared" si="87"/>
        <v>0</v>
      </c>
    </row>
    <row r="299" spans="1:14" ht="13.8">
      <c r="A299" s="181" t="s">
        <v>1277</v>
      </c>
      <c r="B299" s="182" t="s">
        <v>1261</v>
      </c>
      <c r="C299" s="80" t="s">
        <v>1278</v>
      </c>
      <c r="D299" s="85" t="s">
        <v>273</v>
      </c>
      <c r="E299" s="88">
        <v>2</v>
      </c>
      <c r="F299" s="210">
        <v>76</v>
      </c>
      <c r="G299" s="2269">
        <f t="shared" si="91"/>
        <v>152</v>
      </c>
      <c r="H299" s="241"/>
      <c r="I299" s="272" t="s">
        <v>273</v>
      </c>
      <c r="J299" s="88">
        <v>0</v>
      </c>
      <c r="K299" s="2270">
        <f t="shared" si="92"/>
        <v>76</v>
      </c>
      <c r="L299" s="251">
        <f t="shared" si="93"/>
        <v>0</v>
      </c>
      <c r="N299" s="220">
        <f t="shared" si="87"/>
        <v>152</v>
      </c>
    </row>
    <row r="300" spans="1:14" ht="13.8">
      <c r="A300" s="181"/>
      <c r="B300" s="182"/>
      <c r="C300" s="139"/>
      <c r="D300" s="141"/>
      <c r="E300" s="2295"/>
      <c r="F300" s="210"/>
      <c r="G300" s="1701"/>
      <c r="H300" s="242"/>
      <c r="I300" s="255"/>
      <c r="J300" s="2295"/>
      <c r="K300" s="1701"/>
      <c r="L300" s="2253"/>
      <c r="N300" s="220">
        <f t="shared" si="87"/>
        <v>0</v>
      </c>
    </row>
    <row r="301" spans="1:14" ht="13.8">
      <c r="A301" s="181" t="s">
        <v>1279</v>
      </c>
      <c r="B301" s="182" t="s">
        <v>1261</v>
      </c>
      <c r="C301" s="80" t="s">
        <v>1280</v>
      </c>
      <c r="D301" s="85" t="s">
        <v>273</v>
      </c>
      <c r="E301" s="84">
        <v>2</v>
      </c>
      <c r="F301" s="210">
        <v>90</v>
      </c>
      <c r="G301" s="2269">
        <f t="shared" si="91"/>
        <v>180</v>
      </c>
      <c r="H301" s="241"/>
      <c r="I301" s="272" t="s">
        <v>273</v>
      </c>
      <c r="J301" s="84">
        <v>0</v>
      </c>
      <c r="K301" s="2270">
        <f t="shared" si="92"/>
        <v>90</v>
      </c>
      <c r="L301" s="251">
        <f t="shared" si="93"/>
        <v>0</v>
      </c>
      <c r="N301" s="220">
        <f t="shared" si="87"/>
        <v>180</v>
      </c>
    </row>
    <row r="302" spans="1:14" ht="13.8">
      <c r="A302" s="181"/>
      <c r="B302" s="182"/>
      <c r="C302" s="86"/>
      <c r="D302" s="85"/>
      <c r="E302" s="84"/>
      <c r="F302" s="210"/>
      <c r="G302" s="1701"/>
      <c r="H302" s="242"/>
      <c r="I302" s="272"/>
      <c r="J302" s="84"/>
      <c r="K302" s="1701"/>
      <c r="L302" s="2253"/>
      <c r="N302" s="220">
        <f t="shared" si="87"/>
        <v>0</v>
      </c>
    </row>
    <row r="303" spans="1:14" ht="13.8">
      <c r="A303" s="181" t="s">
        <v>1281</v>
      </c>
      <c r="B303" s="182" t="s">
        <v>1261</v>
      </c>
      <c r="C303" s="83" t="s">
        <v>1282</v>
      </c>
      <c r="D303" s="85" t="s">
        <v>273</v>
      </c>
      <c r="E303" s="84">
        <v>2</v>
      </c>
      <c r="F303" s="210">
        <v>1893</v>
      </c>
      <c r="G303" s="2269">
        <f t="shared" si="91"/>
        <v>3786</v>
      </c>
      <c r="H303" s="241"/>
      <c r="I303" s="272" t="s">
        <v>273</v>
      </c>
      <c r="J303" s="84">
        <v>1</v>
      </c>
      <c r="K303" s="2270">
        <f t="shared" si="92"/>
        <v>1893</v>
      </c>
      <c r="L303" s="251">
        <f t="shared" si="93"/>
        <v>1893</v>
      </c>
      <c r="N303" s="220">
        <f t="shared" si="87"/>
        <v>1893</v>
      </c>
    </row>
    <row r="304" spans="1:14" ht="13.8">
      <c r="A304" s="181"/>
      <c r="B304" s="182"/>
      <c r="C304" s="83"/>
      <c r="D304" s="85"/>
      <c r="E304" s="84"/>
      <c r="F304" s="210"/>
      <c r="G304" s="1701"/>
      <c r="H304" s="242"/>
      <c r="I304" s="272"/>
      <c r="J304" s="84"/>
      <c r="K304" s="1701"/>
      <c r="L304" s="2253"/>
      <c r="N304" s="220">
        <f t="shared" si="87"/>
        <v>0</v>
      </c>
    </row>
    <row r="305" spans="1:14" ht="13.8">
      <c r="A305" s="181" t="s">
        <v>1283</v>
      </c>
      <c r="B305" s="182" t="s">
        <v>1261</v>
      </c>
      <c r="C305" s="83" t="s">
        <v>1284</v>
      </c>
      <c r="D305" s="85" t="s">
        <v>273</v>
      </c>
      <c r="E305" s="84">
        <v>2</v>
      </c>
      <c r="F305" s="210">
        <v>54</v>
      </c>
      <c r="G305" s="2269">
        <f t="shared" si="91"/>
        <v>108</v>
      </c>
      <c r="H305" s="241"/>
      <c r="I305" s="272" t="s">
        <v>273</v>
      </c>
      <c r="J305" s="84">
        <v>1</v>
      </c>
      <c r="K305" s="2270">
        <f t="shared" si="92"/>
        <v>54</v>
      </c>
      <c r="L305" s="251">
        <f t="shared" si="93"/>
        <v>54</v>
      </c>
      <c r="N305" s="220">
        <f t="shared" si="87"/>
        <v>54</v>
      </c>
    </row>
    <row r="306" spans="1:14" ht="13.8">
      <c r="A306" s="181"/>
      <c r="B306" s="182"/>
      <c r="C306" s="83"/>
      <c r="D306" s="85"/>
      <c r="E306" s="84"/>
      <c r="F306" s="210"/>
      <c r="G306" s="1701"/>
      <c r="H306" s="242"/>
      <c r="I306" s="272"/>
      <c r="J306" s="84"/>
      <c r="K306" s="1701"/>
      <c r="L306" s="2253"/>
      <c r="N306" s="220">
        <f t="shared" si="87"/>
        <v>0</v>
      </c>
    </row>
    <row r="307" spans="1:14" ht="13.8">
      <c r="A307" s="181" t="s">
        <v>1285</v>
      </c>
      <c r="B307" s="182" t="s">
        <v>1261</v>
      </c>
      <c r="C307" s="83" t="s">
        <v>1286</v>
      </c>
      <c r="D307" s="85" t="s">
        <v>273</v>
      </c>
      <c r="E307" s="88">
        <v>2</v>
      </c>
      <c r="F307" s="210">
        <v>49</v>
      </c>
      <c r="G307" s="2269">
        <f t="shared" si="91"/>
        <v>98</v>
      </c>
      <c r="H307" s="241"/>
      <c r="I307" s="272" t="s">
        <v>273</v>
      </c>
      <c r="J307" s="88">
        <v>1</v>
      </c>
      <c r="K307" s="2270">
        <f t="shared" si="92"/>
        <v>49</v>
      </c>
      <c r="L307" s="251">
        <f t="shared" si="93"/>
        <v>49</v>
      </c>
      <c r="N307" s="220">
        <f t="shared" si="87"/>
        <v>49</v>
      </c>
    </row>
    <row r="308" spans="1:14" ht="13.8">
      <c r="A308" s="181"/>
      <c r="B308" s="182"/>
      <c r="C308" s="83"/>
      <c r="D308" s="85"/>
      <c r="E308" s="84"/>
      <c r="F308" s="210"/>
      <c r="G308" s="1701"/>
      <c r="H308" s="242"/>
      <c r="I308" s="272"/>
      <c r="J308" s="84"/>
      <c r="K308" s="1701"/>
      <c r="L308" s="2253"/>
      <c r="N308" s="220">
        <f t="shared" si="87"/>
        <v>0</v>
      </c>
    </row>
    <row r="309" spans="1:14" ht="27.6">
      <c r="A309" s="183" t="s">
        <v>1287</v>
      </c>
      <c r="B309" s="179" t="s">
        <v>1261</v>
      </c>
      <c r="C309" s="87" t="s">
        <v>1288</v>
      </c>
      <c r="D309" s="90" t="s">
        <v>561</v>
      </c>
      <c r="E309" s="91">
        <v>100</v>
      </c>
      <c r="F309" s="210">
        <v>37.9</v>
      </c>
      <c r="G309" s="2269">
        <f t="shared" si="91"/>
        <v>3790</v>
      </c>
      <c r="H309" s="241"/>
      <c r="I309" s="273" t="s">
        <v>561</v>
      </c>
      <c r="J309" s="91">
        <v>40</v>
      </c>
      <c r="K309" s="2270">
        <f t="shared" si="92"/>
        <v>37.9</v>
      </c>
      <c r="L309" s="251">
        <f t="shared" si="93"/>
        <v>1516</v>
      </c>
      <c r="N309" s="220">
        <f t="shared" si="87"/>
        <v>2274</v>
      </c>
    </row>
    <row r="310" spans="1:14" ht="13.8">
      <c r="A310" s="181"/>
      <c r="B310" s="87"/>
      <c r="C310" s="83"/>
      <c r="D310" s="85"/>
      <c r="E310" s="84"/>
      <c r="F310" s="210"/>
      <c r="G310" s="1701"/>
      <c r="H310" s="242"/>
      <c r="I310" s="272"/>
      <c r="J310" s="84"/>
      <c r="K310" s="1701"/>
      <c r="L310" s="2253"/>
      <c r="N310" s="220"/>
    </row>
    <row r="311" spans="1:14" ht="13.8">
      <c r="A311" s="184"/>
      <c r="B311" s="185"/>
      <c r="C311" s="93" t="s">
        <v>1237</v>
      </c>
      <c r="D311" s="97"/>
      <c r="E311" s="96"/>
      <c r="F311" s="210"/>
      <c r="G311" s="1701"/>
      <c r="H311" s="242"/>
      <c r="I311" s="274"/>
      <c r="J311" s="96"/>
      <c r="K311" s="1701"/>
      <c r="L311" s="2253"/>
      <c r="N311" s="220"/>
    </row>
    <row r="312" spans="1:14" ht="13.8">
      <c r="A312" s="186"/>
      <c r="B312" s="187"/>
      <c r="C312" s="94"/>
      <c r="D312" s="97"/>
      <c r="E312" s="96"/>
      <c r="F312" s="210"/>
      <c r="G312" s="1701"/>
      <c r="H312" s="242"/>
      <c r="I312" s="274"/>
      <c r="J312" s="96"/>
      <c r="K312" s="1701"/>
      <c r="L312" s="2253"/>
      <c r="N312" s="220"/>
    </row>
    <row r="313" spans="1:14" ht="13.8">
      <c r="A313" s="144"/>
      <c r="B313" s="143"/>
      <c r="C313" s="95" t="s">
        <v>1289</v>
      </c>
      <c r="D313" s="141"/>
      <c r="E313" s="2295"/>
      <c r="F313" s="210"/>
      <c r="G313" s="1701"/>
      <c r="H313" s="242"/>
      <c r="I313" s="255"/>
      <c r="J313" s="2295"/>
      <c r="K313" s="1701"/>
      <c r="L313" s="2253"/>
      <c r="N313" s="220"/>
    </row>
    <row r="314" spans="1:14" ht="13.8">
      <c r="A314" s="184">
        <v>10.17</v>
      </c>
      <c r="B314" s="98"/>
      <c r="C314" s="92" t="s">
        <v>1290</v>
      </c>
      <c r="D314" s="97"/>
      <c r="E314" s="96"/>
      <c r="F314" s="210"/>
      <c r="G314" s="1701"/>
      <c r="H314" s="242"/>
      <c r="I314" s="274"/>
      <c r="J314" s="96"/>
      <c r="K314" s="1701"/>
      <c r="L314" s="2253"/>
      <c r="N314" s="220"/>
    </row>
    <row r="315" spans="1:14" ht="13.8">
      <c r="A315" s="144"/>
      <c r="B315" s="188"/>
      <c r="C315" s="98"/>
      <c r="D315" s="97"/>
      <c r="E315" s="99"/>
      <c r="F315" s="210"/>
      <c r="G315" s="1701"/>
      <c r="H315" s="242"/>
      <c r="I315" s="274"/>
      <c r="J315" s="99"/>
      <c r="K315" s="1701"/>
      <c r="L315" s="2253"/>
      <c r="N315" s="220"/>
    </row>
    <row r="316" spans="1:14" ht="13.8">
      <c r="A316" s="144" t="s">
        <v>1291</v>
      </c>
      <c r="B316" s="188" t="s">
        <v>1292</v>
      </c>
      <c r="C316" s="98" t="s">
        <v>1293</v>
      </c>
      <c r="D316" s="97" t="s">
        <v>561</v>
      </c>
      <c r="E316" s="99">
        <v>20</v>
      </c>
      <c r="F316" s="210">
        <v>1021</v>
      </c>
      <c r="G316" s="2269">
        <f t="shared" ref="G316:G334" si="94">F316*E316</f>
        <v>20420</v>
      </c>
      <c r="H316" s="241"/>
      <c r="I316" s="274" t="s">
        <v>561</v>
      </c>
      <c r="J316" s="99">
        <v>0</v>
      </c>
      <c r="K316" s="2270">
        <f t="shared" ref="K316:K334" si="95">F316</f>
        <v>1021</v>
      </c>
      <c r="L316" s="251">
        <f t="shared" ref="L316:L334" si="96">K316*J316</f>
        <v>0</v>
      </c>
      <c r="N316" s="220">
        <f t="shared" si="87"/>
        <v>20420</v>
      </c>
    </row>
    <row r="317" spans="1:14" ht="13.8">
      <c r="A317" s="144"/>
      <c r="B317" s="188"/>
      <c r="C317" s="98"/>
      <c r="D317" s="97"/>
      <c r="E317" s="99"/>
      <c r="F317" s="210"/>
      <c r="G317" s="1701"/>
      <c r="H317" s="242"/>
      <c r="I317" s="274"/>
      <c r="J317" s="99"/>
      <c r="K317" s="1701"/>
      <c r="L317" s="2253"/>
      <c r="N317" s="220">
        <f t="shared" si="87"/>
        <v>0</v>
      </c>
    </row>
    <row r="318" spans="1:14" ht="13.8">
      <c r="A318" s="144" t="s">
        <v>1294</v>
      </c>
      <c r="B318" s="188" t="s">
        <v>1292</v>
      </c>
      <c r="C318" s="98" t="s">
        <v>1295</v>
      </c>
      <c r="D318" s="97" t="s">
        <v>273</v>
      </c>
      <c r="E318" s="99">
        <v>5</v>
      </c>
      <c r="F318" s="210">
        <v>2929</v>
      </c>
      <c r="G318" s="2269">
        <f t="shared" si="94"/>
        <v>14645</v>
      </c>
      <c r="H318" s="241"/>
      <c r="I318" s="274" t="s">
        <v>273</v>
      </c>
      <c r="J318" s="99">
        <v>0</v>
      </c>
      <c r="K318" s="2270">
        <f t="shared" si="95"/>
        <v>2929</v>
      </c>
      <c r="L318" s="251">
        <f t="shared" si="96"/>
        <v>0</v>
      </c>
      <c r="N318" s="220">
        <f t="shared" si="87"/>
        <v>14645</v>
      </c>
    </row>
    <row r="319" spans="1:14" ht="13.8">
      <c r="A319" s="144"/>
      <c r="B319" s="188"/>
      <c r="C319" s="98"/>
      <c r="D319" s="97"/>
      <c r="E319" s="99"/>
      <c r="F319" s="210"/>
      <c r="G319" s="1701"/>
      <c r="H319" s="242"/>
      <c r="I319" s="274"/>
      <c r="J319" s="99"/>
      <c r="K319" s="1701"/>
      <c r="L319" s="2253"/>
      <c r="N319" s="220">
        <f t="shared" si="87"/>
        <v>0</v>
      </c>
    </row>
    <row r="320" spans="1:14" ht="16.2">
      <c r="A320" s="144" t="s">
        <v>1296</v>
      </c>
      <c r="B320" s="188" t="s">
        <v>1292</v>
      </c>
      <c r="C320" s="98" t="s">
        <v>1297</v>
      </c>
      <c r="D320" s="97" t="s">
        <v>273</v>
      </c>
      <c r="E320" s="99">
        <v>3</v>
      </c>
      <c r="F320" s="210">
        <v>1819</v>
      </c>
      <c r="G320" s="2269">
        <f t="shared" si="94"/>
        <v>5457</v>
      </c>
      <c r="H320" s="241"/>
      <c r="I320" s="274" t="s">
        <v>273</v>
      </c>
      <c r="J320" s="99">
        <v>0</v>
      </c>
      <c r="K320" s="2270">
        <f t="shared" si="95"/>
        <v>1819</v>
      </c>
      <c r="L320" s="251">
        <f t="shared" si="96"/>
        <v>0</v>
      </c>
      <c r="N320" s="220">
        <f t="shared" si="87"/>
        <v>5457</v>
      </c>
    </row>
    <row r="321" spans="1:14" ht="13.8">
      <c r="A321" s="144"/>
      <c r="B321" s="188"/>
      <c r="C321" s="98"/>
      <c r="D321" s="97"/>
      <c r="E321" s="99"/>
      <c r="F321" s="210"/>
      <c r="G321" s="1701"/>
      <c r="H321" s="242"/>
      <c r="I321" s="274"/>
      <c r="J321" s="99"/>
      <c r="K321" s="1701"/>
      <c r="L321" s="2253"/>
      <c r="N321" s="220">
        <f t="shared" si="87"/>
        <v>0</v>
      </c>
    </row>
    <row r="322" spans="1:14" ht="13.8">
      <c r="A322" s="144" t="s">
        <v>1298</v>
      </c>
      <c r="B322" s="188" t="s">
        <v>1292</v>
      </c>
      <c r="C322" s="98" t="s">
        <v>1299</v>
      </c>
      <c r="D322" s="97" t="s">
        <v>561</v>
      </c>
      <c r="E322" s="99">
        <v>40</v>
      </c>
      <c r="F322" s="210">
        <v>861</v>
      </c>
      <c r="G322" s="2269">
        <f t="shared" si="94"/>
        <v>34440</v>
      </c>
      <c r="H322" s="241"/>
      <c r="I322" s="274" t="s">
        <v>561</v>
      </c>
      <c r="J322" s="99">
        <v>0</v>
      </c>
      <c r="K322" s="2270">
        <f t="shared" si="95"/>
        <v>861</v>
      </c>
      <c r="L322" s="251">
        <f t="shared" si="96"/>
        <v>0</v>
      </c>
      <c r="N322" s="220">
        <f t="shared" si="87"/>
        <v>34440</v>
      </c>
    </row>
    <row r="323" spans="1:14" ht="13.8">
      <c r="A323" s="144"/>
      <c r="B323" s="188"/>
      <c r="C323" s="98"/>
      <c r="D323" s="97"/>
      <c r="E323" s="99"/>
      <c r="F323" s="210"/>
      <c r="G323" s="1701"/>
      <c r="H323" s="242"/>
      <c r="I323" s="274"/>
      <c r="J323" s="99"/>
      <c r="K323" s="1701"/>
      <c r="L323" s="2253"/>
      <c r="N323" s="220">
        <f t="shared" si="87"/>
        <v>0</v>
      </c>
    </row>
    <row r="324" spans="1:14" ht="13.8">
      <c r="A324" s="144" t="s">
        <v>1300</v>
      </c>
      <c r="B324" s="188" t="s">
        <v>1292</v>
      </c>
      <c r="C324" s="98" t="s">
        <v>1301</v>
      </c>
      <c r="D324" s="97" t="s">
        <v>273</v>
      </c>
      <c r="E324" s="99">
        <v>2</v>
      </c>
      <c r="F324" s="210">
        <v>2119</v>
      </c>
      <c r="G324" s="2269">
        <f t="shared" si="94"/>
        <v>4238</v>
      </c>
      <c r="H324" s="241"/>
      <c r="I324" s="274" t="s">
        <v>273</v>
      </c>
      <c r="J324" s="99">
        <v>0</v>
      </c>
      <c r="K324" s="2270">
        <f t="shared" si="95"/>
        <v>2119</v>
      </c>
      <c r="L324" s="251">
        <f t="shared" si="96"/>
        <v>0</v>
      </c>
      <c r="N324" s="220">
        <f t="shared" si="87"/>
        <v>4238</v>
      </c>
    </row>
    <row r="325" spans="1:14" ht="13.8">
      <c r="A325" s="144"/>
      <c r="B325" s="188"/>
      <c r="C325" s="98"/>
      <c r="D325" s="97"/>
      <c r="E325" s="99"/>
      <c r="F325" s="210"/>
      <c r="G325" s="1701"/>
      <c r="H325" s="242"/>
      <c r="I325" s="274"/>
      <c r="J325" s="99"/>
      <c r="K325" s="1701"/>
      <c r="L325" s="2253"/>
      <c r="N325" s="220">
        <f t="shared" si="87"/>
        <v>0</v>
      </c>
    </row>
    <row r="326" spans="1:14" ht="16.2">
      <c r="A326" s="144" t="s">
        <v>1302</v>
      </c>
      <c r="B326" s="188" t="s">
        <v>1292</v>
      </c>
      <c r="C326" s="98" t="s">
        <v>1303</v>
      </c>
      <c r="D326" s="97" t="s">
        <v>273</v>
      </c>
      <c r="E326" s="99">
        <v>3</v>
      </c>
      <c r="F326" s="210">
        <v>1254</v>
      </c>
      <c r="G326" s="2269">
        <f t="shared" si="94"/>
        <v>3762</v>
      </c>
      <c r="H326" s="241"/>
      <c r="I326" s="274" t="s">
        <v>273</v>
      </c>
      <c r="J326" s="99">
        <v>0</v>
      </c>
      <c r="K326" s="2270">
        <f t="shared" si="95"/>
        <v>1254</v>
      </c>
      <c r="L326" s="251">
        <f t="shared" si="96"/>
        <v>0</v>
      </c>
      <c r="N326" s="220">
        <f t="shared" si="87"/>
        <v>3762</v>
      </c>
    </row>
    <row r="327" spans="1:14" ht="13.8">
      <c r="A327" s="144"/>
      <c r="B327" s="188"/>
      <c r="C327" s="98"/>
      <c r="D327" s="97"/>
      <c r="E327" s="99"/>
      <c r="F327" s="210"/>
      <c r="G327" s="1701"/>
      <c r="H327" s="242"/>
      <c r="I327" s="274"/>
      <c r="J327" s="99"/>
      <c r="K327" s="1701"/>
      <c r="L327" s="2253"/>
      <c r="N327" s="220">
        <f t="shared" si="87"/>
        <v>0</v>
      </c>
    </row>
    <row r="328" spans="1:14" ht="13.8">
      <c r="A328" s="144" t="s">
        <v>1304</v>
      </c>
      <c r="B328" s="188" t="s">
        <v>1292</v>
      </c>
      <c r="C328" s="98" t="s">
        <v>1305</v>
      </c>
      <c r="D328" s="97" t="s">
        <v>561</v>
      </c>
      <c r="E328" s="99">
        <v>50</v>
      </c>
      <c r="F328" s="210">
        <v>806</v>
      </c>
      <c r="G328" s="2269">
        <f t="shared" si="94"/>
        <v>40300</v>
      </c>
      <c r="H328" s="241"/>
      <c r="I328" s="274" t="s">
        <v>561</v>
      </c>
      <c r="J328" s="99">
        <v>0</v>
      </c>
      <c r="K328" s="2270">
        <f t="shared" si="95"/>
        <v>806</v>
      </c>
      <c r="L328" s="251">
        <f t="shared" si="96"/>
        <v>0</v>
      </c>
      <c r="N328" s="220">
        <f t="shared" si="87"/>
        <v>40300</v>
      </c>
    </row>
    <row r="329" spans="1:14" ht="13.8">
      <c r="A329" s="144"/>
      <c r="B329" s="188"/>
      <c r="C329" s="98"/>
      <c r="D329" s="97"/>
      <c r="E329" s="99"/>
      <c r="F329" s="210"/>
      <c r="G329" s="1701"/>
      <c r="H329" s="242"/>
      <c r="I329" s="274"/>
      <c r="J329" s="99"/>
      <c r="K329" s="1701"/>
      <c r="L329" s="2253"/>
      <c r="N329" s="220">
        <f t="shared" si="87"/>
        <v>0</v>
      </c>
    </row>
    <row r="330" spans="1:14" ht="13.8">
      <c r="A330" s="144" t="s">
        <v>1306</v>
      </c>
      <c r="B330" s="188" t="s">
        <v>1292</v>
      </c>
      <c r="C330" s="98" t="s">
        <v>1307</v>
      </c>
      <c r="D330" s="97" t="s">
        <v>273</v>
      </c>
      <c r="E330" s="99">
        <v>6</v>
      </c>
      <c r="F330" s="210">
        <v>2064</v>
      </c>
      <c r="G330" s="2269">
        <f t="shared" si="94"/>
        <v>12384</v>
      </c>
      <c r="H330" s="241"/>
      <c r="I330" s="274" t="s">
        <v>273</v>
      </c>
      <c r="J330" s="99">
        <v>0</v>
      </c>
      <c r="K330" s="2270">
        <f t="shared" si="95"/>
        <v>2064</v>
      </c>
      <c r="L330" s="251">
        <f t="shared" si="96"/>
        <v>0</v>
      </c>
      <c r="N330" s="220">
        <f t="shared" si="87"/>
        <v>12384</v>
      </c>
    </row>
    <row r="331" spans="1:14" ht="13.8">
      <c r="A331" s="144"/>
      <c r="B331" s="188"/>
      <c r="C331" s="98"/>
      <c r="D331" s="97"/>
      <c r="E331" s="99"/>
      <c r="F331" s="210"/>
      <c r="G331" s="1701"/>
      <c r="H331" s="242"/>
      <c r="I331" s="274"/>
      <c r="J331" s="99"/>
      <c r="K331" s="1701"/>
      <c r="L331" s="2253"/>
      <c r="N331" s="220">
        <f t="shared" si="87"/>
        <v>0</v>
      </c>
    </row>
    <row r="332" spans="1:14" ht="16.2">
      <c r="A332" s="144" t="s">
        <v>1308</v>
      </c>
      <c r="B332" s="188" t="s">
        <v>1292</v>
      </c>
      <c r="C332" s="98" t="s">
        <v>1309</v>
      </c>
      <c r="D332" s="97" t="s">
        <v>273</v>
      </c>
      <c r="E332" s="99">
        <v>5</v>
      </c>
      <c r="F332" s="210">
        <v>2064</v>
      </c>
      <c r="G332" s="2269">
        <f t="shared" si="94"/>
        <v>10320</v>
      </c>
      <c r="H332" s="241"/>
      <c r="I332" s="274" t="s">
        <v>273</v>
      </c>
      <c r="J332" s="99">
        <v>0</v>
      </c>
      <c r="K332" s="2270">
        <f t="shared" si="95"/>
        <v>2064</v>
      </c>
      <c r="L332" s="251">
        <f t="shared" si="96"/>
        <v>0</v>
      </c>
      <c r="N332" s="220">
        <f t="shared" si="87"/>
        <v>10320</v>
      </c>
    </row>
    <row r="333" spans="1:14" ht="13.8">
      <c r="A333" s="189"/>
      <c r="B333" s="189"/>
      <c r="C333" s="133"/>
      <c r="D333" s="189"/>
      <c r="E333" s="189"/>
      <c r="F333" s="210"/>
      <c r="G333" s="1701"/>
      <c r="H333" s="242"/>
      <c r="I333" s="275"/>
      <c r="J333" s="189"/>
      <c r="K333" s="1701"/>
      <c r="L333" s="2253"/>
      <c r="N333" s="220">
        <f t="shared" si="87"/>
        <v>0</v>
      </c>
    </row>
    <row r="334" spans="1:14" ht="13.8">
      <c r="A334" s="144" t="s">
        <v>1304</v>
      </c>
      <c r="B334" s="188" t="s">
        <v>1292</v>
      </c>
      <c r="C334" s="98" t="s">
        <v>1310</v>
      </c>
      <c r="D334" s="97" t="s">
        <v>561</v>
      </c>
      <c r="E334" s="99">
        <v>150</v>
      </c>
      <c r="F334" s="210">
        <v>1154</v>
      </c>
      <c r="G334" s="2269">
        <f t="shared" si="94"/>
        <v>173100</v>
      </c>
      <c r="H334" s="241"/>
      <c r="I334" s="274" t="s">
        <v>561</v>
      </c>
      <c r="J334" s="99">
        <v>0</v>
      </c>
      <c r="K334" s="2270">
        <f t="shared" si="95"/>
        <v>1154</v>
      </c>
      <c r="L334" s="251">
        <f t="shared" si="96"/>
        <v>0</v>
      </c>
      <c r="N334" s="220">
        <f t="shared" si="87"/>
        <v>173100</v>
      </c>
    </row>
    <row r="335" spans="1:14" ht="13.8">
      <c r="A335" s="144"/>
      <c r="B335" s="188"/>
      <c r="C335" s="98"/>
      <c r="D335" s="97"/>
      <c r="E335" s="99"/>
      <c r="F335" s="210"/>
      <c r="G335" s="1701"/>
      <c r="H335" s="242"/>
      <c r="I335" s="274"/>
      <c r="J335" s="99"/>
      <c r="K335" s="1701"/>
      <c r="L335" s="2253"/>
      <c r="N335" s="220"/>
    </row>
    <row r="336" spans="1:14" ht="13.8">
      <c r="A336" s="144"/>
      <c r="B336" s="188"/>
      <c r="C336" s="98"/>
      <c r="D336" s="97"/>
      <c r="E336" s="99"/>
      <c r="F336" s="210"/>
      <c r="G336" s="1701"/>
      <c r="H336" s="242"/>
      <c r="I336" s="274"/>
      <c r="J336" s="99"/>
      <c r="K336" s="1701"/>
      <c r="L336" s="2253"/>
      <c r="N336" s="220"/>
    </row>
    <row r="337" spans="1:14" ht="13.8">
      <c r="A337" s="144"/>
      <c r="B337" s="188"/>
      <c r="C337" s="98"/>
      <c r="D337" s="97"/>
      <c r="E337" s="99"/>
      <c r="F337" s="210"/>
      <c r="G337" s="1701"/>
      <c r="H337" s="242"/>
      <c r="I337" s="274"/>
      <c r="J337" s="99"/>
      <c r="K337" s="1701"/>
      <c r="L337" s="2253"/>
      <c r="N337" s="220"/>
    </row>
    <row r="338" spans="1:14" ht="13.8">
      <c r="A338" s="144"/>
      <c r="B338" s="188"/>
      <c r="C338" s="98"/>
      <c r="D338" s="97"/>
      <c r="E338" s="99"/>
      <c r="F338" s="210"/>
      <c r="G338" s="1701"/>
      <c r="H338" s="242"/>
      <c r="I338" s="274"/>
      <c r="J338" s="99"/>
      <c r="K338" s="1701"/>
      <c r="L338" s="2253"/>
      <c r="N338" s="220"/>
    </row>
    <row r="339" spans="1:14">
      <c r="A339" s="1786"/>
      <c r="B339" s="801"/>
      <c r="C339" s="862"/>
      <c r="D339" s="801"/>
      <c r="E339" s="800"/>
      <c r="F339" s="2302"/>
      <c r="G339" s="2303"/>
      <c r="H339" s="2304"/>
      <c r="I339" s="3019"/>
      <c r="J339" s="3022"/>
      <c r="K339" s="2305"/>
      <c r="L339" s="2306"/>
      <c r="N339" s="220"/>
    </row>
    <row r="340" spans="1:14">
      <c r="A340" s="802"/>
      <c r="B340" s="426"/>
      <c r="C340" s="413" t="s">
        <v>289</v>
      </c>
      <c r="D340" s="426"/>
      <c r="E340" s="425"/>
      <c r="F340" s="207"/>
      <c r="G340" s="2307"/>
      <c r="H340" s="217"/>
      <c r="I340" s="3020"/>
      <c r="J340" s="3023"/>
      <c r="K340" s="2308"/>
      <c r="L340" s="252"/>
      <c r="N340" s="220"/>
    </row>
    <row r="341" spans="1:14">
      <c r="A341" s="17"/>
      <c r="B341" s="11"/>
      <c r="C341" s="34" t="s">
        <v>290</v>
      </c>
      <c r="D341" s="874"/>
      <c r="E341" s="16"/>
      <c r="F341" s="206"/>
      <c r="G341" s="203"/>
      <c r="H341" s="244"/>
      <c r="I341" s="253"/>
      <c r="J341" s="16"/>
      <c r="K341" s="1701"/>
      <c r="L341" s="2253"/>
      <c r="N341" s="220"/>
    </row>
    <row r="342" spans="1:14" ht="13.8">
      <c r="A342" s="144"/>
      <c r="B342" s="188"/>
      <c r="C342" s="98"/>
      <c r="D342" s="97"/>
      <c r="E342" s="99"/>
      <c r="F342" s="210"/>
      <c r="G342" s="1701"/>
      <c r="H342" s="242"/>
      <c r="I342" s="274"/>
      <c r="J342" s="99"/>
      <c r="K342" s="1701"/>
      <c r="L342" s="2253"/>
      <c r="N342" s="220"/>
    </row>
    <row r="343" spans="1:14" ht="13.8">
      <c r="A343" s="144" t="s">
        <v>1306</v>
      </c>
      <c r="B343" s="188" t="s">
        <v>1292</v>
      </c>
      <c r="C343" s="98" t="s">
        <v>1311</v>
      </c>
      <c r="D343" s="97" t="s">
        <v>273</v>
      </c>
      <c r="E343" s="99">
        <v>1</v>
      </c>
      <c r="F343" s="210">
        <v>1939</v>
      </c>
      <c r="G343" s="2269">
        <f t="shared" ref="G343:G347" si="97">F343*E343</f>
        <v>1939</v>
      </c>
      <c r="H343" s="241"/>
      <c r="I343" s="274" t="s">
        <v>273</v>
      </c>
      <c r="J343" s="99">
        <v>0</v>
      </c>
      <c r="K343" s="2270">
        <f t="shared" ref="K343:K347" si="98">F343</f>
        <v>1939</v>
      </c>
      <c r="L343" s="251">
        <f t="shared" ref="L343" si="99">K343*J343</f>
        <v>0</v>
      </c>
      <c r="N343" s="220">
        <f t="shared" ref="N343:N400" si="100">G343-L343</f>
        <v>1939</v>
      </c>
    </row>
    <row r="344" spans="1:14" ht="13.8">
      <c r="A344" s="144"/>
      <c r="B344" s="188"/>
      <c r="C344" s="98"/>
      <c r="D344" s="97"/>
      <c r="E344" s="99"/>
      <c r="F344" s="210"/>
      <c r="G344" s="1701"/>
      <c r="H344" s="242"/>
      <c r="I344" s="274"/>
      <c r="J344" s="99"/>
      <c r="K344" s="1701"/>
      <c r="L344" s="2253"/>
      <c r="N344" s="220">
        <f t="shared" si="100"/>
        <v>0</v>
      </c>
    </row>
    <row r="345" spans="1:14" ht="16.2">
      <c r="A345" s="144" t="s">
        <v>1308</v>
      </c>
      <c r="B345" s="188" t="s">
        <v>1292</v>
      </c>
      <c r="C345" s="98" t="s">
        <v>1312</v>
      </c>
      <c r="D345" s="97" t="s">
        <v>273</v>
      </c>
      <c r="E345" s="99">
        <v>2</v>
      </c>
      <c r="F345" s="210">
        <v>1071</v>
      </c>
      <c r="G345" s="2269">
        <f t="shared" si="97"/>
        <v>2142</v>
      </c>
      <c r="H345" s="241"/>
      <c r="I345" s="274" t="s">
        <v>273</v>
      </c>
      <c r="J345" s="99">
        <v>0</v>
      </c>
      <c r="K345" s="2270">
        <f t="shared" si="98"/>
        <v>1071</v>
      </c>
      <c r="L345" s="251">
        <f t="shared" ref="L345" si="101">K345*J345</f>
        <v>0</v>
      </c>
      <c r="N345" s="220">
        <f t="shared" si="100"/>
        <v>2142</v>
      </c>
    </row>
    <row r="346" spans="1:14" ht="13.8">
      <c r="A346" s="144"/>
      <c r="B346" s="188"/>
      <c r="C346" s="98"/>
      <c r="D346" s="97"/>
      <c r="E346" s="99"/>
      <c r="F346" s="210"/>
      <c r="G346" s="1701"/>
      <c r="H346" s="242"/>
      <c r="I346" s="274"/>
      <c r="J346" s="99"/>
      <c r="K346" s="1701"/>
      <c r="L346" s="2253"/>
      <c r="N346" s="220">
        <f t="shared" si="100"/>
        <v>0</v>
      </c>
    </row>
    <row r="347" spans="1:14" ht="13.8">
      <c r="A347" s="144" t="s">
        <v>1313</v>
      </c>
      <c r="B347" s="188" t="s">
        <v>1314</v>
      </c>
      <c r="C347" s="98" t="s">
        <v>1315</v>
      </c>
      <c r="D347" s="97" t="s">
        <v>976</v>
      </c>
      <c r="E347" s="113">
        <v>1</v>
      </c>
      <c r="F347" s="210">
        <v>222141</v>
      </c>
      <c r="G347" s="2269">
        <f t="shared" si="97"/>
        <v>222141</v>
      </c>
      <c r="H347" s="241"/>
      <c r="I347" s="274" t="s">
        <v>976</v>
      </c>
      <c r="J347" s="113">
        <v>0</v>
      </c>
      <c r="K347" s="2270">
        <f t="shared" si="98"/>
        <v>222141</v>
      </c>
      <c r="L347" s="251">
        <f t="shared" ref="L347" si="102">K347*J347</f>
        <v>0</v>
      </c>
      <c r="N347" s="220">
        <f t="shared" si="100"/>
        <v>222141</v>
      </c>
    </row>
    <row r="348" spans="1:14" ht="13.8">
      <c r="A348" s="144"/>
      <c r="B348" s="188"/>
      <c r="C348" s="98"/>
      <c r="D348" s="97"/>
      <c r="E348" s="96"/>
      <c r="F348" s="210"/>
      <c r="G348" s="1701"/>
      <c r="H348" s="242"/>
      <c r="I348" s="274"/>
      <c r="J348" s="96"/>
      <c r="K348" s="1701"/>
      <c r="L348" s="2253"/>
      <c r="N348" s="220"/>
    </row>
    <row r="349" spans="1:14" ht="13.8">
      <c r="A349" s="109"/>
      <c r="B349" s="190"/>
      <c r="C349" s="102" t="s">
        <v>1237</v>
      </c>
      <c r="D349" s="284"/>
      <c r="E349" s="106"/>
      <c r="F349" s="210"/>
      <c r="G349" s="1701"/>
      <c r="H349" s="242"/>
      <c r="I349" s="259"/>
      <c r="J349" s="106"/>
      <c r="K349" s="1701"/>
      <c r="L349" s="2253"/>
      <c r="N349" s="220"/>
    </row>
    <row r="350" spans="1:14" ht="13.8">
      <c r="A350" s="105"/>
      <c r="B350" s="191"/>
      <c r="C350" s="103"/>
      <c r="D350" s="284"/>
      <c r="E350" s="106"/>
      <c r="F350" s="210"/>
      <c r="G350" s="1701"/>
      <c r="H350" s="242"/>
      <c r="I350" s="259"/>
      <c r="J350" s="106"/>
      <c r="K350" s="1701"/>
      <c r="L350" s="2253"/>
      <c r="N350" s="220"/>
    </row>
    <row r="351" spans="1:14" ht="13.8">
      <c r="A351" s="105"/>
      <c r="B351" s="192"/>
      <c r="C351" s="104" t="s">
        <v>1316</v>
      </c>
      <c r="D351" s="284"/>
      <c r="E351" s="106"/>
      <c r="F351" s="210"/>
      <c r="G351" s="1701"/>
      <c r="H351" s="242"/>
      <c r="I351" s="259"/>
      <c r="J351" s="106"/>
      <c r="K351" s="1701"/>
      <c r="L351" s="2253"/>
      <c r="N351" s="220"/>
    </row>
    <row r="352" spans="1:14" ht="13.8">
      <c r="A352" s="109">
        <v>10.18</v>
      </c>
      <c r="B352" s="190"/>
      <c r="C352" s="101" t="s">
        <v>1317</v>
      </c>
      <c r="D352" s="284"/>
      <c r="E352" s="106"/>
      <c r="F352" s="210"/>
      <c r="G352" s="1701"/>
      <c r="H352" s="242"/>
      <c r="I352" s="259"/>
      <c r="J352" s="106"/>
      <c r="K352" s="1701"/>
      <c r="L352" s="2253"/>
      <c r="N352" s="220"/>
    </row>
    <row r="353" spans="1:14" ht="13.8">
      <c r="A353" s="144"/>
      <c r="B353" s="190"/>
      <c r="C353" s="71"/>
      <c r="D353" s="141"/>
      <c r="E353" s="106"/>
      <c r="F353" s="210"/>
      <c r="G353" s="1701"/>
      <c r="H353" s="242"/>
      <c r="I353" s="255"/>
      <c r="J353" s="106"/>
      <c r="K353" s="1701"/>
      <c r="L353" s="2253"/>
      <c r="N353" s="220"/>
    </row>
    <row r="354" spans="1:14" ht="13.8">
      <c r="A354" s="105" t="s">
        <v>1318</v>
      </c>
      <c r="B354" s="191" t="s">
        <v>1319</v>
      </c>
      <c r="C354" s="71" t="s">
        <v>1320</v>
      </c>
      <c r="D354" s="141" t="s">
        <v>561</v>
      </c>
      <c r="E354" s="106">
        <v>300</v>
      </c>
      <c r="F354" s="210">
        <v>622.5</v>
      </c>
      <c r="G354" s="2269">
        <f t="shared" ref="G354:G386" si="103">F354*E354</f>
        <v>186750</v>
      </c>
      <c r="H354" s="241"/>
      <c r="I354" s="255" t="s">
        <v>561</v>
      </c>
      <c r="J354" s="106">
        <v>0</v>
      </c>
      <c r="K354" s="2270">
        <f t="shared" ref="K354:K386" si="104">F354</f>
        <v>622.5</v>
      </c>
      <c r="L354" s="251">
        <f t="shared" ref="L354:L386" si="105">K354*J354</f>
        <v>0</v>
      </c>
      <c r="N354" s="220">
        <f t="shared" si="100"/>
        <v>186750</v>
      </c>
    </row>
    <row r="355" spans="1:14" ht="13.8">
      <c r="A355" s="145"/>
      <c r="B355" s="143"/>
      <c r="C355" s="71"/>
      <c r="D355" s="141"/>
      <c r="E355" s="106"/>
      <c r="F355" s="210"/>
      <c r="G355" s="1701"/>
      <c r="H355" s="242"/>
      <c r="I355" s="255"/>
      <c r="J355" s="106"/>
      <c r="K355" s="1701"/>
      <c r="L355" s="2253"/>
      <c r="N355" s="220">
        <f t="shared" si="100"/>
        <v>0</v>
      </c>
    </row>
    <row r="356" spans="1:14" ht="13.8">
      <c r="A356" s="105" t="s">
        <v>1321</v>
      </c>
      <c r="B356" s="191" t="s">
        <v>1319</v>
      </c>
      <c r="C356" s="71" t="s">
        <v>1322</v>
      </c>
      <c r="D356" s="141" t="s">
        <v>561</v>
      </c>
      <c r="E356" s="106">
        <v>140</v>
      </c>
      <c r="F356" s="210">
        <v>496.5</v>
      </c>
      <c r="G356" s="2269">
        <f t="shared" si="103"/>
        <v>69510</v>
      </c>
      <c r="H356" s="241"/>
      <c r="I356" s="255" t="s">
        <v>561</v>
      </c>
      <c r="J356" s="106">
        <v>220</v>
      </c>
      <c r="K356" s="2270">
        <f t="shared" si="104"/>
        <v>496.5</v>
      </c>
      <c r="L356" s="251">
        <f t="shared" si="105"/>
        <v>109230</v>
      </c>
      <c r="N356" s="220">
        <f t="shared" si="100"/>
        <v>-39720</v>
      </c>
    </row>
    <row r="357" spans="1:14" ht="13.8">
      <c r="A357" s="145"/>
      <c r="B357" s="143"/>
      <c r="C357" s="71"/>
      <c r="D357" s="141"/>
      <c r="E357" s="106"/>
      <c r="F357" s="210"/>
      <c r="G357" s="1701"/>
      <c r="H357" s="242"/>
      <c r="I357" s="255"/>
      <c r="J357" s="106"/>
      <c r="K357" s="1701"/>
      <c r="L357" s="2253"/>
      <c r="N357" s="220">
        <f t="shared" si="100"/>
        <v>0</v>
      </c>
    </row>
    <row r="358" spans="1:14" ht="13.8">
      <c r="A358" s="105" t="s">
        <v>1323</v>
      </c>
      <c r="B358" s="191" t="s">
        <v>1319</v>
      </c>
      <c r="C358" s="71" t="s">
        <v>1324</v>
      </c>
      <c r="D358" s="141" t="s">
        <v>561</v>
      </c>
      <c r="E358" s="106">
        <v>200</v>
      </c>
      <c r="F358" s="210">
        <v>277.2</v>
      </c>
      <c r="G358" s="2269">
        <f t="shared" si="103"/>
        <v>55440</v>
      </c>
      <c r="H358" s="241"/>
      <c r="I358" s="255" t="s">
        <v>561</v>
      </c>
      <c r="J358" s="106">
        <v>167</v>
      </c>
      <c r="K358" s="2270">
        <f t="shared" si="104"/>
        <v>277.2</v>
      </c>
      <c r="L358" s="251">
        <f t="shared" si="105"/>
        <v>46292.4</v>
      </c>
      <c r="N358" s="220">
        <f t="shared" si="100"/>
        <v>9147.5999999999985</v>
      </c>
    </row>
    <row r="359" spans="1:14" ht="13.8">
      <c r="A359" s="105"/>
      <c r="B359" s="191"/>
      <c r="C359" s="71"/>
      <c r="D359" s="141"/>
      <c r="E359" s="106"/>
      <c r="F359" s="210"/>
      <c r="G359" s="2269"/>
      <c r="H359" s="241"/>
      <c r="I359" s="255"/>
      <c r="J359" s="106"/>
      <c r="K359" s="2270"/>
      <c r="L359" s="251"/>
      <c r="N359" s="220"/>
    </row>
    <row r="360" spans="1:14" ht="13.8">
      <c r="A360" s="105"/>
      <c r="B360" s="191"/>
      <c r="C360" s="237" t="s">
        <v>1325</v>
      </c>
      <c r="D360" s="141" t="s">
        <v>561</v>
      </c>
      <c r="E360" s="106">
        <v>0</v>
      </c>
      <c r="F360" s="210">
        <v>0</v>
      </c>
      <c r="G360" s="2269">
        <f t="shared" ref="G360" si="106">F360*E360</f>
        <v>0</v>
      </c>
      <c r="H360" s="241"/>
      <c r="I360" s="255" t="s">
        <v>561</v>
      </c>
      <c r="J360" s="238">
        <v>90</v>
      </c>
      <c r="K360" s="2291">
        <v>159.25</v>
      </c>
      <c r="L360" s="251">
        <f t="shared" ref="L360" si="107">K360*J360</f>
        <v>14332.5</v>
      </c>
      <c r="N360" s="220">
        <f t="shared" si="100"/>
        <v>-14332.5</v>
      </c>
    </row>
    <row r="361" spans="1:14" ht="13.8">
      <c r="A361" s="105"/>
      <c r="B361" s="191"/>
      <c r="C361" s="71"/>
      <c r="D361" s="141"/>
      <c r="E361" s="106"/>
      <c r="F361" s="210"/>
      <c r="G361" s="2269"/>
      <c r="H361" s="241"/>
      <c r="I361" s="255"/>
      <c r="J361" s="106"/>
      <c r="K361" s="2270"/>
      <c r="L361" s="251"/>
      <c r="N361" s="220"/>
    </row>
    <row r="362" spans="1:14" ht="13.8">
      <c r="A362" s="105"/>
      <c r="B362" s="191"/>
      <c r="C362" s="237" t="s">
        <v>1326</v>
      </c>
      <c r="D362" s="141" t="s">
        <v>561</v>
      </c>
      <c r="E362" s="106">
        <v>0</v>
      </c>
      <c r="F362" s="210">
        <v>0</v>
      </c>
      <c r="G362" s="2269">
        <f t="shared" ref="G362" si="108">F362*E362</f>
        <v>0</v>
      </c>
      <c r="H362" s="241"/>
      <c r="I362" s="255" t="s">
        <v>561</v>
      </c>
      <c r="J362" s="238">
        <v>10</v>
      </c>
      <c r="K362" s="2291">
        <v>94.9</v>
      </c>
      <c r="L362" s="251">
        <f t="shared" ref="L362" si="109">K362*J362</f>
        <v>949</v>
      </c>
      <c r="N362" s="220">
        <f t="shared" ref="N362" si="110">G362-L362</f>
        <v>-949</v>
      </c>
    </row>
    <row r="363" spans="1:14" ht="13.8">
      <c r="A363" s="145"/>
      <c r="B363" s="143"/>
      <c r="C363" s="100"/>
      <c r="D363" s="284"/>
      <c r="E363" s="106"/>
      <c r="F363" s="210"/>
      <c r="G363" s="1701"/>
      <c r="H363" s="242"/>
      <c r="I363" s="259"/>
      <c r="J363" s="106"/>
      <c r="K363" s="1701"/>
      <c r="L363" s="2253"/>
      <c r="N363" s="220"/>
    </row>
    <row r="364" spans="1:14" ht="13.8">
      <c r="A364" s="105" t="s">
        <v>1327</v>
      </c>
      <c r="B364" s="191" t="s">
        <v>1319</v>
      </c>
      <c r="C364" s="71" t="s">
        <v>1328</v>
      </c>
      <c r="D364" s="141" t="s">
        <v>561</v>
      </c>
      <c r="E364" s="106">
        <v>60</v>
      </c>
      <c r="F364" s="210">
        <v>72.8</v>
      </c>
      <c r="G364" s="2269">
        <f t="shared" si="103"/>
        <v>4368</v>
      </c>
      <c r="H364" s="241"/>
      <c r="I364" s="255" t="s">
        <v>561</v>
      </c>
      <c r="J364" s="106">
        <v>30</v>
      </c>
      <c r="K364" s="2270">
        <f t="shared" si="104"/>
        <v>72.8</v>
      </c>
      <c r="L364" s="251">
        <f t="shared" si="105"/>
        <v>2184</v>
      </c>
      <c r="N364" s="220">
        <f t="shared" si="100"/>
        <v>2184</v>
      </c>
    </row>
    <row r="365" spans="1:14" ht="13.8">
      <c r="A365" s="145"/>
      <c r="B365" s="190"/>
      <c r="C365" s="101"/>
      <c r="D365" s="284"/>
      <c r="E365" s="106"/>
      <c r="F365" s="210"/>
      <c r="G365" s="1701"/>
      <c r="H365" s="242"/>
      <c r="I365" s="259"/>
      <c r="J365" s="106"/>
      <c r="K365" s="1701"/>
      <c r="L365" s="2253"/>
      <c r="N365" s="220">
        <f t="shared" si="100"/>
        <v>0</v>
      </c>
    </row>
    <row r="366" spans="1:14" ht="13.8">
      <c r="A366" s="105" t="s">
        <v>1329</v>
      </c>
      <c r="B366" s="191" t="s">
        <v>1319</v>
      </c>
      <c r="C366" s="71" t="s">
        <v>1330</v>
      </c>
      <c r="D366" s="141" t="s">
        <v>561</v>
      </c>
      <c r="E366" s="106">
        <v>675</v>
      </c>
      <c r="F366" s="210">
        <v>29.7</v>
      </c>
      <c r="G366" s="2269">
        <f t="shared" si="103"/>
        <v>20047.5</v>
      </c>
      <c r="H366" s="241"/>
      <c r="I366" s="255" t="s">
        <v>561</v>
      </c>
      <c r="J366" s="106">
        <v>356</v>
      </c>
      <c r="K366" s="2270">
        <f t="shared" si="104"/>
        <v>29.7</v>
      </c>
      <c r="L366" s="251">
        <f t="shared" si="105"/>
        <v>10573.199999999999</v>
      </c>
      <c r="N366" s="220">
        <f t="shared" si="100"/>
        <v>9474.3000000000011</v>
      </c>
    </row>
    <row r="367" spans="1:14" ht="13.8">
      <c r="A367" s="145"/>
      <c r="B367" s="191"/>
      <c r="C367" s="103"/>
      <c r="D367" s="284"/>
      <c r="E367" s="106"/>
      <c r="F367" s="210"/>
      <c r="G367" s="1701"/>
      <c r="H367" s="242"/>
      <c r="I367" s="259"/>
      <c r="J367" s="106"/>
      <c r="K367" s="1701"/>
      <c r="L367" s="2253"/>
      <c r="N367" s="220">
        <f t="shared" si="100"/>
        <v>0</v>
      </c>
    </row>
    <row r="368" spans="1:14" ht="13.8">
      <c r="A368" s="105" t="s">
        <v>1331</v>
      </c>
      <c r="B368" s="191" t="s">
        <v>1319</v>
      </c>
      <c r="C368" s="71" t="s">
        <v>1332</v>
      </c>
      <c r="D368" s="141" t="s">
        <v>561</v>
      </c>
      <c r="E368" s="106">
        <v>600</v>
      </c>
      <c r="F368" s="210">
        <v>24</v>
      </c>
      <c r="G368" s="2269">
        <f t="shared" si="103"/>
        <v>14400</v>
      </c>
      <c r="H368" s="241"/>
      <c r="I368" s="255" t="s">
        <v>561</v>
      </c>
      <c r="J368" s="106">
        <v>307</v>
      </c>
      <c r="K368" s="2270">
        <f t="shared" si="104"/>
        <v>24</v>
      </c>
      <c r="L368" s="251">
        <f t="shared" si="105"/>
        <v>7368</v>
      </c>
      <c r="N368" s="220">
        <f t="shared" si="100"/>
        <v>7032</v>
      </c>
    </row>
    <row r="369" spans="1:14" ht="13.8">
      <c r="A369" s="145"/>
      <c r="B369" s="143"/>
      <c r="C369" s="100"/>
      <c r="D369" s="141"/>
      <c r="E369" s="106"/>
      <c r="F369" s="210"/>
      <c r="G369" s="1701"/>
      <c r="H369" s="242"/>
      <c r="I369" s="255"/>
      <c r="J369" s="106"/>
      <c r="K369" s="1701"/>
      <c r="L369" s="2253"/>
      <c r="N369" s="220">
        <f t="shared" si="100"/>
        <v>0</v>
      </c>
    </row>
    <row r="370" spans="1:14" ht="13.8">
      <c r="A370" s="105" t="s">
        <v>1333</v>
      </c>
      <c r="B370" s="191" t="s">
        <v>1319</v>
      </c>
      <c r="C370" s="71" t="s">
        <v>1334</v>
      </c>
      <c r="D370" s="141" t="s">
        <v>561</v>
      </c>
      <c r="E370" s="106">
        <v>220</v>
      </c>
      <c r="F370" s="210">
        <v>68.099999999999994</v>
      </c>
      <c r="G370" s="2269">
        <f t="shared" si="103"/>
        <v>14981.999999999998</v>
      </c>
      <c r="H370" s="241"/>
      <c r="I370" s="255" t="s">
        <v>561</v>
      </c>
      <c r="J370" s="106">
        <v>220</v>
      </c>
      <c r="K370" s="2270">
        <f t="shared" si="104"/>
        <v>68.099999999999994</v>
      </c>
      <c r="L370" s="251">
        <f t="shared" si="105"/>
        <v>14981.999999999998</v>
      </c>
      <c r="N370" s="220">
        <f t="shared" si="100"/>
        <v>0</v>
      </c>
    </row>
    <row r="371" spans="1:14" ht="13.8">
      <c r="A371" s="145"/>
      <c r="B371" s="143"/>
      <c r="C371" s="100"/>
      <c r="D371" s="284"/>
      <c r="E371" s="106"/>
      <c r="F371" s="210"/>
      <c r="G371" s="1701"/>
      <c r="H371" s="242"/>
      <c r="I371" s="259"/>
      <c r="J371" s="106"/>
      <c r="K371" s="1701"/>
      <c r="L371" s="2253"/>
      <c r="N371" s="220">
        <f t="shared" si="100"/>
        <v>0</v>
      </c>
    </row>
    <row r="372" spans="1:14" ht="13.8">
      <c r="A372" s="105" t="s">
        <v>1335</v>
      </c>
      <c r="B372" s="191" t="s">
        <v>1319</v>
      </c>
      <c r="C372" s="71" t="s">
        <v>1336</v>
      </c>
      <c r="D372" s="141" t="s">
        <v>561</v>
      </c>
      <c r="E372" s="106">
        <v>465</v>
      </c>
      <c r="F372" s="210">
        <v>48.3</v>
      </c>
      <c r="G372" s="2269">
        <f t="shared" si="103"/>
        <v>22459.5</v>
      </c>
      <c r="H372" s="241"/>
      <c r="I372" s="255" t="s">
        <v>561</v>
      </c>
      <c r="J372" s="106">
        <v>465</v>
      </c>
      <c r="K372" s="2270">
        <f t="shared" si="104"/>
        <v>48.3</v>
      </c>
      <c r="L372" s="251">
        <f t="shared" si="105"/>
        <v>22459.5</v>
      </c>
      <c r="N372" s="220">
        <f t="shared" si="100"/>
        <v>0</v>
      </c>
    </row>
    <row r="373" spans="1:14" ht="13.8">
      <c r="A373" s="145"/>
      <c r="B373" s="191"/>
      <c r="C373" s="71"/>
      <c r="D373" s="141"/>
      <c r="E373" s="106"/>
      <c r="F373" s="210"/>
      <c r="G373" s="1701"/>
      <c r="H373" s="242"/>
      <c r="I373" s="255"/>
      <c r="J373" s="106"/>
      <c r="K373" s="1701"/>
      <c r="L373" s="2253"/>
      <c r="N373" s="220">
        <f t="shared" si="100"/>
        <v>0</v>
      </c>
    </row>
    <row r="374" spans="1:14" ht="13.8">
      <c r="A374" s="105" t="s">
        <v>1337</v>
      </c>
      <c r="B374" s="191" t="s">
        <v>1319</v>
      </c>
      <c r="C374" s="71" t="s">
        <v>1338</v>
      </c>
      <c r="D374" s="141" t="s">
        <v>561</v>
      </c>
      <c r="E374" s="106">
        <v>1185</v>
      </c>
      <c r="F374" s="210">
        <v>4.0999999999999996</v>
      </c>
      <c r="G374" s="2269">
        <f t="shared" si="103"/>
        <v>4858.5</v>
      </c>
      <c r="H374" s="241"/>
      <c r="I374" s="255" t="s">
        <v>561</v>
      </c>
      <c r="J374" s="106">
        <v>1185</v>
      </c>
      <c r="K374" s="2270">
        <f t="shared" si="104"/>
        <v>4.0999999999999996</v>
      </c>
      <c r="L374" s="251">
        <f t="shared" si="105"/>
        <v>4858.5</v>
      </c>
      <c r="N374" s="220">
        <f t="shared" si="100"/>
        <v>0</v>
      </c>
    </row>
    <row r="375" spans="1:14" ht="13.8">
      <c r="A375" s="105"/>
      <c r="B375" s="191"/>
      <c r="C375" s="71"/>
      <c r="D375" s="141"/>
      <c r="E375" s="106"/>
      <c r="F375" s="210"/>
      <c r="G375" s="1701"/>
      <c r="H375" s="242"/>
      <c r="I375" s="255"/>
      <c r="J375" s="106"/>
      <c r="K375" s="1701"/>
      <c r="L375" s="2253"/>
      <c r="N375" s="220">
        <f t="shared" si="100"/>
        <v>0</v>
      </c>
    </row>
    <row r="376" spans="1:14" ht="13.8">
      <c r="A376" s="105" t="s">
        <v>1339</v>
      </c>
      <c r="B376" s="191" t="s">
        <v>1319</v>
      </c>
      <c r="C376" s="71" t="s">
        <v>1340</v>
      </c>
      <c r="D376" s="141" t="s">
        <v>561</v>
      </c>
      <c r="E376" s="106">
        <v>60</v>
      </c>
      <c r="F376" s="210">
        <v>9.1</v>
      </c>
      <c r="G376" s="2269">
        <f t="shared" si="103"/>
        <v>546</v>
      </c>
      <c r="H376" s="241"/>
      <c r="I376" s="255" t="s">
        <v>561</v>
      </c>
      <c r="J376" s="106">
        <v>60</v>
      </c>
      <c r="K376" s="2270">
        <f t="shared" si="104"/>
        <v>9.1</v>
      </c>
      <c r="L376" s="251">
        <f t="shared" si="105"/>
        <v>546</v>
      </c>
      <c r="N376" s="220">
        <f t="shared" si="100"/>
        <v>0</v>
      </c>
    </row>
    <row r="377" spans="1:14" ht="13.8">
      <c r="A377" s="105"/>
      <c r="B377" s="191"/>
      <c r="C377" s="71"/>
      <c r="D377" s="141"/>
      <c r="E377" s="106"/>
      <c r="F377" s="210"/>
      <c r="G377" s="2269"/>
      <c r="H377" s="241"/>
      <c r="I377" s="255"/>
      <c r="J377" s="106"/>
      <c r="K377" s="2270"/>
      <c r="L377" s="251"/>
      <c r="N377" s="220"/>
    </row>
    <row r="378" spans="1:14" ht="13.8">
      <c r="A378" s="105"/>
      <c r="B378" s="191"/>
      <c r="C378" s="237" t="s">
        <v>1341</v>
      </c>
      <c r="D378" s="141" t="s">
        <v>561</v>
      </c>
      <c r="E378" s="106"/>
      <c r="F378" s="210">
        <v>0</v>
      </c>
      <c r="G378" s="2269">
        <f t="shared" ref="G378" si="111">F378*E378</f>
        <v>0</v>
      </c>
      <c r="H378" s="241"/>
      <c r="I378" s="255" t="s">
        <v>561</v>
      </c>
      <c r="J378" s="238">
        <v>20</v>
      </c>
      <c r="K378" s="2291">
        <v>14.63</v>
      </c>
      <c r="L378" s="251">
        <f t="shared" ref="L378" si="112">K378*J378</f>
        <v>292.60000000000002</v>
      </c>
      <c r="N378" s="220">
        <f t="shared" ref="N378" si="113">G378-L378</f>
        <v>-292.60000000000002</v>
      </c>
    </row>
    <row r="379" spans="1:14" ht="13.8">
      <c r="A379" s="105"/>
      <c r="B379" s="191"/>
      <c r="C379" s="71"/>
      <c r="D379" s="141"/>
      <c r="E379" s="106"/>
      <c r="F379" s="210"/>
      <c r="G379" s="2269"/>
      <c r="H379" s="241"/>
      <c r="I379" s="255"/>
      <c r="J379" s="106"/>
      <c r="K379" s="2270"/>
      <c r="L379" s="251"/>
      <c r="N379" s="220"/>
    </row>
    <row r="380" spans="1:14" ht="13.8">
      <c r="A380" s="105"/>
      <c r="B380" s="191"/>
      <c r="C380" s="237" t="s">
        <v>1342</v>
      </c>
      <c r="D380" s="141" t="s">
        <v>561</v>
      </c>
      <c r="E380" s="106"/>
      <c r="F380" s="210">
        <v>0</v>
      </c>
      <c r="G380" s="2269">
        <f t="shared" ref="G380" si="114">F380*E380</f>
        <v>0</v>
      </c>
      <c r="H380" s="241"/>
      <c r="I380" s="255" t="s">
        <v>561</v>
      </c>
      <c r="J380" s="238">
        <v>60</v>
      </c>
      <c r="K380" s="2291">
        <v>21.45</v>
      </c>
      <c r="L380" s="251">
        <f t="shared" ref="L380" si="115">K380*J380</f>
        <v>1287</v>
      </c>
      <c r="N380" s="220">
        <f t="shared" ref="N380" si="116">G380-L380</f>
        <v>-1287</v>
      </c>
    </row>
    <row r="381" spans="1:14" ht="13.8">
      <c r="A381" s="105"/>
      <c r="B381" s="191"/>
      <c r="C381" s="71"/>
      <c r="D381" s="141"/>
      <c r="E381" s="106"/>
      <c r="F381" s="210"/>
      <c r="G381" s="1701"/>
      <c r="H381" s="242"/>
      <c r="I381" s="255"/>
      <c r="J381" s="106"/>
      <c r="K381" s="1701"/>
      <c r="L381" s="2253"/>
      <c r="N381" s="220">
        <f t="shared" si="100"/>
        <v>0</v>
      </c>
    </row>
    <row r="382" spans="1:14" ht="13.8">
      <c r="A382" s="105" t="s">
        <v>1343</v>
      </c>
      <c r="B382" s="191" t="s">
        <v>1319</v>
      </c>
      <c r="C382" s="71" t="s">
        <v>1344</v>
      </c>
      <c r="D382" s="141" t="s">
        <v>561</v>
      </c>
      <c r="E382" s="106">
        <v>200</v>
      </c>
      <c r="F382" s="210">
        <v>34.4</v>
      </c>
      <c r="G382" s="2269">
        <f t="shared" si="103"/>
        <v>6880</v>
      </c>
      <c r="H382" s="241"/>
      <c r="I382" s="255" t="s">
        <v>561</v>
      </c>
      <c r="J382" s="106">
        <v>167</v>
      </c>
      <c r="K382" s="2270">
        <f t="shared" si="104"/>
        <v>34.4</v>
      </c>
      <c r="L382" s="251">
        <f t="shared" si="105"/>
        <v>5744.8</v>
      </c>
      <c r="N382" s="220">
        <f t="shared" si="100"/>
        <v>1135.1999999999998</v>
      </c>
    </row>
    <row r="383" spans="1:14" ht="13.8">
      <c r="A383" s="105"/>
      <c r="B383" s="191"/>
      <c r="C383" s="103"/>
      <c r="D383" s="284"/>
      <c r="E383" s="106"/>
      <c r="F383" s="210"/>
      <c r="G383" s="1701"/>
      <c r="H383" s="242"/>
      <c r="I383" s="259"/>
      <c r="J383" s="106"/>
      <c r="K383" s="1701"/>
      <c r="L383" s="2253"/>
      <c r="N383" s="220">
        <f t="shared" si="100"/>
        <v>0</v>
      </c>
    </row>
    <row r="384" spans="1:14" ht="13.8">
      <c r="A384" s="105" t="s">
        <v>1345</v>
      </c>
      <c r="B384" s="191" t="s">
        <v>1319</v>
      </c>
      <c r="C384" s="71" t="s">
        <v>1346</v>
      </c>
      <c r="D384" s="141" t="s">
        <v>561</v>
      </c>
      <c r="E384" s="106">
        <v>120</v>
      </c>
      <c r="F384" s="210">
        <v>67.3</v>
      </c>
      <c r="G384" s="2269">
        <f t="shared" si="103"/>
        <v>8076</v>
      </c>
      <c r="H384" s="241"/>
      <c r="I384" s="255" t="s">
        <v>561</v>
      </c>
      <c r="J384" s="106">
        <v>0</v>
      </c>
      <c r="K384" s="2270">
        <f t="shared" si="104"/>
        <v>67.3</v>
      </c>
      <c r="L384" s="251">
        <f t="shared" si="105"/>
        <v>0</v>
      </c>
      <c r="N384" s="220">
        <f t="shared" si="100"/>
        <v>8076</v>
      </c>
    </row>
    <row r="385" spans="1:14" ht="13.8">
      <c r="A385" s="105"/>
      <c r="B385" s="191"/>
      <c r="C385" s="103"/>
      <c r="D385" s="284"/>
      <c r="E385" s="106"/>
      <c r="F385" s="210"/>
      <c r="G385" s="1701"/>
      <c r="H385" s="242"/>
      <c r="I385" s="259"/>
      <c r="J385" s="106"/>
      <c r="K385" s="1701"/>
      <c r="L385" s="2253"/>
      <c r="N385" s="220">
        <f t="shared" si="100"/>
        <v>0</v>
      </c>
    </row>
    <row r="386" spans="1:14" ht="13.8">
      <c r="A386" s="105" t="s">
        <v>1347</v>
      </c>
      <c r="B386" s="191" t="s">
        <v>1319</v>
      </c>
      <c r="C386" s="71" t="s">
        <v>1348</v>
      </c>
      <c r="D386" s="141" t="s">
        <v>561</v>
      </c>
      <c r="E386" s="106">
        <v>300</v>
      </c>
      <c r="F386" s="210">
        <v>129.30000000000001</v>
      </c>
      <c r="G386" s="2269">
        <f t="shared" si="103"/>
        <v>38790</v>
      </c>
      <c r="H386" s="241"/>
      <c r="I386" s="255" t="s">
        <v>561</v>
      </c>
      <c r="J386" s="106">
        <v>110</v>
      </c>
      <c r="K386" s="2270">
        <f t="shared" si="104"/>
        <v>129.30000000000001</v>
      </c>
      <c r="L386" s="251">
        <f t="shared" si="105"/>
        <v>14223.000000000002</v>
      </c>
      <c r="N386" s="220">
        <f t="shared" si="100"/>
        <v>24567</v>
      </c>
    </row>
    <row r="387" spans="1:14" ht="13.8">
      <c r="A387" s="105"/>
      <c r="B387" s="191"/>
      <c r="C387" s="103"/>
      <c r="D387" s="284"/>
      <c r="E387" s="106"/>
      <c r="F387" s="210"/>
      <c r="G387" s="1701"/>
      <c r="H387" s="242"/>
      <c r="I387" s="259"/>
      <c r="J387" s="106"/>
      <c r="K387" s="1701"/>
      <c r="L387" s="2253"/>
      <c r="N387" s="220"/>
    </row>
    <row r="388" spans="1:14" ht="13.8">
      <c r="A388" s="145"/>
      <c r="B388" s="143"/>
      <c r="C388" s="53" t="s">
        <v>1349</v>
      </c>
      <c r="D388" s="141"/>
      <c r="E388" s="2295"/>
      <c r="F388" s="210"/>
      <c r="G388" s="1701"/>
      <c r="H388" s="242"/>
      <c r="I388" s="255"/>
      <c r="J388" s="2295"/>
      <c r="K388" s="1701"/>
      <c r="L388" s="2253"/>
      <c r="N388" s="220"/>
    </row>
    <row r="389" spans="1:14" ht="13.8">
      <c r="A389" s="109">
        <v>10.19</v>
      </c>
      <c r="B389" s="190"/>
      <c r="C389" s="101" t="s">
        <v>1350</v>
      </c>
      <c r="D389" s="141"/>
      <c r="E389" s="2295"/>
      <c r="F389" s="210"/>
      <c r="G389" s="1701"/>
      <c r="H389" s="242"/>
      <c r="I389" s="255"/>
      <c r="J389" s="2295"/>
      <c r="K389" s="1701"/>
      <c r="L389" s="2253"/>
      <c r="N389" s="220"/>
    </row>
    <row r="390" spans="1:14" ht="13.8">
      <c r="A390" s="145"/>
      <c r="B390" s="143"/>
      <c r="C390" s="105"/>
      <c r="D390" s="284"/>
      <c r="E390" s="106"/>
      <c r="F390" s="210"/>
      <c r="G390" s="1701"/>
      <c r="H390" s="242"/>
      <c r="I390" s="259"/>
      <c r="J390" s="106"/>
      <c r="K390" s="1701"/>
      <c r="L390" s="2253"/>
      <c r="N390" s="220"/>
    </row>
    <row r="391" spans="1:14" ht="13.8">
      <c r="A391" s="105" t="s">
        <v>1351</v>
      </c>
      <c r="B391" s="192" t="s">
        <v>1314</v>
      </c>
      <c r="C391" s="139" t="s">
        <v>1352</v>
      </c>
      <c r="D391" s="141" t="s">
        <v>230</v>
      </c>
      <c r="E391" s="113">
        <v>1</v>
      </c>
      <c r="F391" s="210">
        <v>8848</v>
      </c>
      <c r="G391" s="2269">
        <f t="shared" ref="G391" si="117">F391*E391</f>
        <v>8848</v>
      </c>
      <c r="H391" s="241"/>
      <c r="I391" s="255" t="s">
        <v>230</v>
      </c>
      <c r="J391" s="113">
        <v>1</v>
      </c>
      <c r="K391" s="2270">
        <f t="shared" ref="K391" si="118">F391</f>
        <v>8848</v>
      </c>
      <c r="L391" s="251">
        <f t="shared" ref="L391" si="119">K391*J391</f>
        <v>8848</v>
      </c>
      <c r="N391" s="220">
        <f t="shared" si="100"/>
        <v>0</v>
      </c>
    </row>
    <row r="392" spans="1:14" ht="13.8">
      <c r="A392" s="105"/>
      <c r="B392" s="192"/>
      <c r="C392" s="105"/>
      <c r="D392" s="284"/>
      <c r="E392" s="106"/>
      <c r="F392" s="210"/>
      <c r="G392" s="1701"/>
      <c r="H392" s="242"/>
      <c r="I392" s="259"/>
      <c r="J392" s="106"/>
      <c r="K392" s="1701"/>
      <c r="L392" s="2253"/>
      <c r="N392" s="220">
        <f t="shared" si="100"/>
        <v>0</v>
      </c>
    </row>
    <row r="393" spans="1:14" ht="13.8">
      <c r="A393" s="105" t="s">
        <v>1353</v>
      </c>
      <c r="B393" s="192" t="s">
        <v>1314</v>
      </c>
      <c r="C393" s="105" t="s">
        <v>1354</v>
      </c>
      <c r="D393" s="284" t="s">
        <v>1355</v>
      </c>
      <c r="E393" s="108">
        <v>120</v>
      </c>
      <c r="F393" s="210">
        <v>587</v>
      </c>
      <c r="G393" s="2269">
        <f t="shared" ref="G393" si="120">F393*E393</f>
        <v>70440</v>
      </c>
      <c r="H393" s="241"/>
      <c r="I393" s="259" t="s">
        <v>1355</v>
      </c>
      <c r="J393" s="108">
        <v>120</v>
      </c>
      <c r="K393" s="2270">
        <f t="shared" ref="K393" si="121">F393</f>
        <v>587</v>
      </c>
      <c r="L393" s="251">
        <f t="shared" ref="L393" si="122">K393*J393</f>
        <v>70440</v>
      </c>
      <c r="N393" s="220">
        <f t="shared" si="100"/>
        <v>0</v>
      </c>
    </row>
    <row r="394" spans="1:14" ht="13.8">
      <c r="A394" s="105"/>
      <c r="B394" s="192"/>
      <c r="C394" s="105"/>
      <c r="D394" s="284"/>
      <c r="E394" s="108"/>
      <c r="F394" s="210"/>
      <c r="G394" s="1701"/>
      <c r="H394" s="242"/>
      <c r="I394" s="259"/>
      <c r="J394" s="108"/>
      <c r="K394" s="1701"/>
      <c r="L394" s="2253"/>
      <c r="N394" s="220"/>
    </row>
    <row r="395" spans="1:14" ht="13.8">
      <c r="A395" s="105"/>
      <c r="B395" s="192"/>
      <c r="C395" s="109" t="s">
        <v>1356</v>
      </c>
      <c r="D395" s="284"/>
      <c r="E395" s="108"/>
      <c r="F395" s="210"/>
      <c r="G395" s="1701"/>
      <c r="H395" s="242"/>
      <c r="I395" s="259"/>
      <c r="J395" s="108"/>
      <c r="K395" s="1701"/>
      <c r="L395" s="2253"/>
      <c r="N395" s="220"/>
    </row>
    <row r="396" spans="1:14" ht="13.8">
      <c r="A396" s="193">
        <v>10.199999999999999</v>
      </c>
      <c r="B396" s="192"/>
      <c r="C396" s="107" t="s">
        <v>1357</v>
      </c>
      <c r="D396" s="284"/>
      <c r="E396" s="106"/>
      <c r="F396" s="210"/>
      <c r="G396" s="1701"/>
      <c r="H396" s="242"/>
      <c r="I396" s="259"/>
      <c r="J396" s="106"/>
      <c r="K396" s="1701"/>
      <c r="L396" s="2253"/>
      <c r="N396" s="220"/>
    </row>
    <row r="397" spans="1:14" ht="13.8">
      <c r="A397" s="109"/>
      <c r="B397" s="192"/>
      <c r="C397" s="107"/>
      <c r="D397" s="284"/>
      <c r="E397" s="106"/>
      <c r="F397" s="210"/>
      <c r="G397" s="1701"/>
      <c r="H397" s="242"/>
      <c r="I397" s="259"/>
      <c r="J397" s="106"/>
      <c r="K397" s="1701"/>
      <c r="L397" s="2253"/>
      <c r="N397" s="220"/>
    </row>
    <row r="398" spans="1:14" ht="13.8">
      <c r="A398" s="105" t="s">
        <v>1358</v>
      </c>
      <c r="B398" s="192" t="s">
        <v>1314</v>
      </c>
      <c r="C398" s="105" t="s">
        <v>1359</v>
      </c>
      <c r="D398" s="284" t="s">
        <v>273</v>
      </c>
      <c r="E398" s="106">
        <v>2</v>
      </c>
      <c r="F398" s="210">
        <v>444.7</v>
      </c>
      <c r="G398" s="2269">
        <f t="shared" ref="G398" si="123">F398*E398</f>
        <v>889.4</v>
      </c>
      <c r="H398" s="241"/>
      <c r="I398" s="259" t="s">
        <v>273</v>
      </c>
      <c r="J398" s="106">
        <v>2</v>
      </c>
      <c r="K398" s="2270">
        <f t="shared" ref="K398" si="124">F398</f>
        <v>444.7</v>
      </c>
      <c r="L398" s="251">
        <f t="shared" ref="L398" si="125">K398*J398</f>
        <v>889.4</v>
      </c>
      <c r="N398" s="220">
        <f t="shared" si="100"/>
        <v>0</v>
      </c>
    </row>
    <row r="399" spans="1:14" ht="13.8">
      <c r="A399" s="105"/>
      <c r="B399" s="192"/>
      <c r="C399" s="105"/>
      <c r="D399" s="284"/>
      <c r="E399" s="106"/>
      <c r="F399" s="210"/>
      <c r="G399" s="1701"/>
      <c r="H399" s="242"/>
      <c r="I399" s="259"/>
      <c r="J399" s="106"/>
      <c r="K399" s="1701"/>
      <c r="L399" s="2253"/>
      <c r="N399" s="220">
        <f t="shared" si="100"/>
        <v>0</v>
      </c>
    </row>
    <row r="400" spans="1:14" ht="13.8">
      <c r="A400" s="105" t="s">
        <v>1360</v>
      </c>
      <c r="B400" s="192" t="s">
        <v>1314</v>
      </c>
      <c r="C400" s="105" t="s">
        <v>1361</v>
      </c>
      <c r="D400" s="141" t="s">
        <v>230</v>
      </c>
      <c r="E400" s="113">
        <v>1</v>
      </c>
      <c r="F400" s="210">
        <v>5250</v>
      </c>
      <c r="G400" s="2269">
        <f t="shared" ref="G400" si="126">F400*E400</f>
        <v>5250</v>
      </c>
      <c r="H400" s="241"/>
      <c r="I400" s="255" t="s">
        <v>230</v>
      </c>
      <c r="J400" s="113">
        <v>1</v>
      </c>
      <c r="K400" s="2270">
        <f t="shared" ref="K400" si="127">F400</f>
        <v>5250</v>
      </c>
      <c r="L400" s="251">
        <f t="shared" ref="L400" si="128">K400*J400</f>
        <v>5250</v>
      </c>
      <c r="N400" s="220">
        <f t="shared" si="100"/>
        <v>0</v>
      </c>
    </row>
    <row r="401" spans="1:14" ht="13.8">
      <c r="A401" s="105"/>
      <c r="B401" s="192"/>
      <c r="C401" s="105"/>
      <c r="D401" s="284"/>
      <c r="E401" s="108"/>
      <c r="F401" s="210"/>
      <c r="G401" s="1701"/>
      <c r="H401" s="242"/>
      <c r="I401" s="259"/>
      <c r="J401" s="108"/>
      <c r="K401" s="1701"/>
      <c r="L401" s="2253"/>
      <c r="N401" s="220"/>
    </row>
    <row r="402" spans="1:14" ht="13.8">
      <c r="A402" s="111"/>
      <c r="B402" s="118"/>
      <c r="C402" s="123" t="s">
        <v>1362</v>
      </c>
      <c r="D402" s="113"/>
      <c r="E402" s="115"/>
      <c r="F402" s="210"/>
      <c r="G402" s="1701"/>
      <c r="H402" s="242"/>
      <c r="I402" s="276"/>
      <c r="J402" s="115"/>
      <c r="K402" s="1701"/>
      <c r="L402" s="2253"/>
      <c r="N402" s="220"/>
    </row>
    <row r="403" spans="1:14" ht="13.8">
      <c r="A403" s="111"/>
      <c r="B403" s="118"/>
      <c r="C403" s="124"/>
      <c r="D403" s="113"/>
      <c r="E403" s="115"/>
      <c r="F403" s="210"/>
      <c r="G403" s="1701"/>
      <c r="H403" s="242"/>
      <c r="I403" s="276"/>
      <c r="J403" s="115"/>
      <c r="K403" s="1701"/>
      <c r="L403" s="2253"/>
      <c r="N403" s="220"/>
    </row>
    <row r="404" spans="1:14" ht="14.4" thickBot="1">
      <c r="A404" s="111"/>
      <c r="B404" s="49"/>
      <c r="C404" s="110" t="s">
        <v>1238</v>
      </c>
      <c r="D404" s="113"/>
      <c r="E404" s="115"/>
      <c r="F404" s="210"/>
      <c r="G404" s="1701"/>
      <c r="H404" s="242"/>
      <c r="I404" s="276"/>
      <c r="J404" s="115"/>
      <c r="K404" s="1701"/>
      <c r="L404" s="2253"/>
      <c r="N404" s="220"/>
    </row>
    <row r="405" spans="1:14" ht="13.8">
      <c r="A405" s="110">
        <v>10.210000000000001</v>
      </c>
      <c r="B405" s="49"/>
      <c r="C405" s="118" t="s">
        <v>1363</v>
      </c>
      <c r="D405" s="113"/>
      <c r="E405" s="112"/>
      <c r="F405" s="210"/>
      <c r="G405" s="1701"/>
      <c r="H405" s="242"/>
      <c r="I405" s="247"/>
      <c r="J405" s="248"/>
      <c r="K405" s="249"/>
      <c r="L405" s="250"/>
      <c r="N405" s="220"/>
    </row>
    <row r="406" spans="1:14" ht="13.8">
      <c r="A406" s="122"/>
      <c r="B406" s="119"/>
      <c r="C406" s="110"/>
      <c r="D406" s="113"/>
      <c r="E406" s="117"/>
      <c r="F406" s="210"/>
      <c r="G406" s="1701"/>
      <c r="H406" s="242"/>
      <c r="I406" s="276"/>
      <c r="J406" s="117"/>
      <c r="K406" s="1701"/>
      <c r="L406" s="2253"/>
      <c r="N406" s="220"/>
    </row>
    <row r="407" spans="1:14" ht="13.8">
      <c r="A407" s="122" t="s">
        <v>1364</v>
      </c>
      <c r="B407" s="49" t="s">
        <v>1241</v>
      </c>
      <c r="C407" s="77" t="s">
        <v>1365</v>
      </c>
      <c r="D407" s="113" t="s">
        <v>273</v>
      </c>
      <c r="E407" s="114">
        <v>1</v>
      </c>
      <c r="F407" s="210">
        <v>31884</v>
      </c>
      <c r="G407" s="2269">
        <f t="shared" ref="G407:G417" si="129">F407*E407</f>
        <v>31884</v>
      </c>
      <c r="H407" s="241"/>
      <c r="I407" s="276" t="s">
        <v>273</v>
      </c>
      <c r="J407" s="114">
        <v>1</v>
      </c>
      <c r="K407" s="2270">
        <f t="shared" ref="K407:K417" si="130">F407</f>
        <v>31884</v>
      </c>
      <c r="L407" s="251">
        <f t="shared" ref="L407" si="131">K407*J407</f>
        <v>31884</v>
      </c>
      <c r="N407" s="220">
        <f t="shared" ref="N407:N467" si="132">G407-L407</f>
        <v>0</v>
      </c>
    </row>
    <row r="408" spans="1:14" ht="13.8">
      <c r="A408" s="122"/>
      <c r="B408" s="49"/>
      <c r="C408" s="78"/>
      <c r="D408" s="113"/>
      <c r="E408" s="114"/>
      <c r="F408" s="210"/>
      <c r="G408" s="1701"/>
      <c r="H408" s="242"/>
      <c r="I408" s="276"/>
      <c r="J408" s="114"/>
      <c r="K408" s="1701"/>
      <c r="L408" s="2253"/>
      <c r="N408" s="220">
        <f t="shared" si="132"/>
        <v>0</v>
      </c>
    </row>
    <row r="409" spans="1:14" ht="13.8">
      <c r="A409" s="122" t="s">
        <v>1366</v>
      </c>
      <c r="B409" s="49" t="s">
        <v>1241</v>
      </c>
      <c r="C409" s="77" t="s">
        <v>1244</v>
      </c>
      <c r="D409" s="113" t="s">
        <v>273</v>
      </c>
      <c r="E409" s="114">
        <v>1</v>
      </c>
      <c r="F409" s="210">
        <v>27894</v>
      </c>
      <c r="G409" s="2269">
        <f t="shared" si="129"/>
        <v>27894</v>
      </c>
      <c r="H409" s="241"/>
      <c r="I409" s="276" t="s">
        <v>273</v>
      </c>
      <c r="J409" s="114">
        <v>1</v>
      </c>
      <c r="K409" s="2270">
        <f t="shared" si="130"/>
        <v>27894</v>
      </c>
      <c r="L409" s="251">
        <f t="shared" ref="L409" si="133">K409*J409</f>
        <v>27894</v>
      </c>
      <c r="N409" s="220">
        <f t="shared" si="132"/>
        <v>0</v>
      </c>
    </row>
    <row r="410" spans="1:14" ht="13.8">
      <c r="A410" s="122"/>
      <c r="B410" s="49"/>
      <c r="C410" s="77"/>
      <c r="D410" s="113"/>
      <c r="E410" s="114"/>
      <c r="F410" s="210"/>
      <c r="G410" s="1701"/>
      <c r="H410" s="242"/>
      <c r="I410" s="276"/>
      <c r="J410" s="114"/>
      <c r="K410" s="1701"/>
      <c r="L410" s="2253"/>
      <c r="N410" s="220">
        <f t="shared" si="132"/>
        <v>0</v>
      </c>
    </row>
    <row r="411" spans="1:14" ht="13.8">
      <c r="A411" s="122" t="s">
        <v>1367</v>
      </c>
      <c r="B411" s="49" t="s">
        <v>1241</v>
      </c>
      <c r="C411" s="77" t="s">
        <v>1246</v>
      </c>
      <c r="D411" s="113" t="s">
        <v>273</v>
      </c>
      <c r="E411" s="116">
        <v>13</v>
      </c>
      <c r="F411" s="210">
        <v>1313</v>
      </c>
      <c r="G411" s="2269">
        <f t="shared" si="129"/>
        <v>17069</v>
      </c>
      <c r="H411" s="241"/>
      <c r="I411" s="276" t="s">
        <v>273</v>
      </c>
      <c r="J411" s="116">
        <v>13</v>
      </c>
      <c r="K411" s="2270">
        <f t="shared" si="130"/>
        <v>1313</v>
      </c>
      <c r="L411" s="251">
        <f t="shared" ref="L411" si="134">K411*J411</f>
        <v>17069</v>
      </c>
      <c r="N411" s="220">
        <f t="shared" si="132"/>
        <v>0</v>
      </c>
    </row>
    <row r="412" spans="1:14" ht="13.8">
      <c r="A412" s="122"/>
      <c r="B412" s="49"/>
      <c r="C412" s="77"/>
      <c r="D412" s="113"/>
      <c r="E412" s="116"/>
      <c r="F412" s="210"/>
      <c r="G412" s="1701"/>
      <c r="H412" s="242"/>
      <c r="I412" s="276"/>
      <c r="J412" s="116"/>
      <c r="K412" s="1701"/>
      <c r="L412" s="2253"/>
      <c r="N412" s="220">
        <f t="shared" si="132"/>
        <v>0</v>
      </c>
    </row>
    <row r="413" spans="1:14" ht="13.8">
      <c r="A413" s="122" t="s">
        <v>1368</v>
      </c>
      <c r="B413" s="49" t="s">
        <v>1241</v>
      </c>
      <c r="C413" s="77" t="s">
        <v>1248</v>
      </c>
      <c r="D413" s="113" t="s">
        <v>273</v>
      </c>
      <c r="E413" s="116">
        <v>1</v>
      </c>
      <c r="F413" s="210">
        <v>4447</v>
      </c>
      <c r="G413" s="2269">
        <f t="shared" si="129"/>
        <v>4447</v>
      </c>
      <c r="H413" s="241"/>
      <c r="I413" s="276" t="s">
        <v>273</v>
      </c>
      <c r="J413" s="116">
        <v>1</v>
      </c>
      <c r="K413" s="2270">
        <f t="shared" si="130"/>
        <v>4447</v>
      </c>
      <c r="L413" s="251">
        <f t="shared" ref="L413" si="135">K413*J413</f>
        <v>4447</v>
      </c>
      <c r="N413" s="220">
        <f t="shared" si="132"/>
        <v>0</v>
      </c>
    </row>
    <row r="414" spans="1:14" ht="13.8">
      <c r="A414" s="122"/>
      <c r="B414" s="49"/>
      <c r="C414" s="77"/>
      <c r="D414" s="113"/>
      <c r="E414" s="116"/>
      <c r="F414" s="210"/>
      <c r="G414" s="1701"/>
      <c r="H414" s="242"/>
      <c r="I414" s="276"/>
      <c r="J414" s="116"/>
      <c r="K414" s="1701"/>
      <c r="L414" s="2253"/>
      <c r="N414" s="220">
        <f t="shared" si="132"/>
        <v>0</v>
      </c>
    </row>
    <row r="415" spans="1:14" ht="13.8">
      <c r="A415" s="122" t="s">
        <v>1369</v>
      </c>
      <c r="B415" s="49" t="s">
        <v>1241</v>
      </c>
      <c r="C415" s="77" t="s">
        <v>1250</v>
      </c>
      <c r="D415" s="113" t="s">
        <v>273</v>
      </c>
      <c r="E415" s="116">
        <v>1</v>
      </c>
      <c r="F415" s="210">
        <v>4447</v>
      </c>
      <c r="G415" s="2269">
        <f t="shared" si="129"/>
        <v>4447</v>
      </c>
      <c r="H415" s="241"/>
      <c r="I415" s="276" t="s">
        <v>273</v>
      </c>
      <c r="J415" s="116">
        <v>0</v>
      </c>
      <c r="K415" s="2270">
        <f t="shared" si="130"/>
        <v>4447</v>
      </c>
      <c r="L415" s="251">
        <f t="shared" ref="L415" si="136">K415*J415</f>
        <v>0</v>
      </c>
      <c r="N415" s="220">
        <f t="shared" si="132"/>
        <v>4447</v>
      </c>
    </row>
    <row r="416" spans="1:14" ht="13.8">
      <c r="A416" s="122"/>
      <c r="B416" s="49"/>
      <c r="C416" s="78"/>
      <c r="D416" s="113"/>
      <c r="E416" s="116"/>
      <c r="F416" s="210"/>
      <c r="G416" s="1701"/>
      <c r="H416" s="242"/>
      <c r="I416" s="276"/>
      <c r="J416" s="116"/>
      <c r="K416" s="1701"/>
      <c r="L416" s="2253"/>
      <c r="N416" s="220">
        <f t="shared" si="132"/>
        <v>0</v>
      </c>
    </row>
    <row r="417" spans="1:14" ht="13.8">
      <c r="A417" s="122" t="s">
        <v>1370</v>
      </c>
      <c r="B417" s="49" t="s">
        <v>1241</v>
      </c>
      <c r="C417" s="77" t="s">
        <v>1250</v>
      </c>
      <c r="D417" s="113" t="s">
        <v>273</v>
      </c>
      <c r="E417" s="114">
        <v>1</v>
      </c>
      <c r="F417" s="210">
        <v>4447</v>
      </c>
      <c r="G417" s="2269">
        <f t="shared" si="129"/>
        <v>4447</v>
      </c>
      <c r="H417" s="241"/>
      <c r="I417" s="276" t="s">
        <v>273</v>
      </c>
      <c r="J417" s="114">
        <v>0</v>
      </c>
      <c r="K417" s="2270">
        <f t="shared" si="130"/>
        <v>4447</v>
      </c>
      <c r="L417" s="251">
        <f t="shared" ref="L417" si="137">K417*J417</f>
        <v>0</v>
      </c>
      <c r="N417" s="220">
        <f t="shared" si="132"/>
        <v>4447</v>
      </c>
    </row>
    <row r="418" spans="1:14" ht="13.8">
      <c r="A418" s="122"/>
      <c r="B418" s="120"/>
      <c r="C418" s="119"/>
      <c r="D418" s="113"/>
      <c r="E418" s="113"/>
      <c r="F418" s="210"/>
      <c r="G418" s="1701"/>
      <c r="H418" s="242"/>
      <c r="I418" s="276"/>
      <c r="J418" s="113"/>
      <c r="K418" s="1701"/>
      <c r="L418" s="2253"/>
      <c r="N418" s="220"/>
    </row>
    <row r="419" spans="1:14" ht="13.8">
      <c r="A419" s="181"/>
      <c r="B419" s="87"/>
      <c r="C419" s="239" t="s">
        <v>1252</v>
      </c>
      <c r="D419" s="85" t="s">
        <v>273</v>
      </c>
      <c r="E419" s="89">
        <v>1</v>
      </c>
      <c r="F419" s="210">
        <v>0</v>
      </c>
      <c r="G419" s="2269">
        <v>0</v>
      </c>
      <c r="H419" s="241"/>
      <c r="I419" s="287" t="s">
        <v>273</v>
      </c>
      <c r="J419" s="286">
        <v>1</v>
      </c>
      <c r="K419" s="2291">
        <v>4447</v>
      </c>
      <c r="L419" s="278">
        <f>K419*J419</f>
        <v>4447</v>
      </c>
      <c r="N419" s="220">
        <f t="shared" ref="N419" si="138">G419-L419</f>
        <v>-4447</v>
      </c>
    </row>
    <row r="420" spans="1:14" ht="13.5" customHeight="1">
      <c r="A420" s="15"/>
      <c r="B420" s="11"/>
      <c r="C420" s="13"/>
      <c r="D420" s="874"/>
      <c r="E420" s="16"/>
      <c r="F420" s="206"/>
      <c r="G420" s="2252"/>
      <c r="H420" s="243"/>
      <c r="I420" s="253"/>
      <c r="J420" s="16"/>
      <c r="K420" s="1701"/>
      <c r="L420" s="2253"/>
      <c r="N420" s="220"/>
    </row>
    <row r="421" spans="1:14">
      <c r="A421" s="1786"/>
      <c r="B421" s="801"/>
      <c r="C421" s="862"/>
      <c r="D421" s="801"/>
      <c r="E421" s="800"/>
      <c r="F421" s="2302"/>
      <c r="G421" s="2303"/>
      <c r="H421" s="2304"/>
      <c r="I421" s="3019"/>
      <c r="J421" s="3022"/>
      <c r="K421" s="2305"/>
      <c r="L421" s="2306"/>
      <c r="N421" s="220"/>
    </row>
    <row r="422" spans="1:14">
      <c r="A422" s="802"/>
      <c r="B422" s="426"/>
      <c r="C422" s="413" t="s">
        <v>289</v>
      </c>
      <c r="D422" s="426"/>
      <c r="E422" s="425"/>
      <c r="F422" s="207"/>
      <c r="G422" s="2307"/>
      <c r="H422" s="217"/>
      <c r="I422" s="3020"/>
      <c r="J422" s="3023"/>
      <c r="K422" s="2308"/>
      <c r="L422" s="252"/>
      <c r="N422" s="220"/>
    </row>
    <row r="423" spans="1:14">
      <c r="A423" s="17"/>
      <c r="B423" s="11"/>
      <c r="C423" s="34" t="s">
        <v>290</v>
      </c>
      <c r="D423" s="874"/>
      <c r="E423" s="16"/>
      <c r="F423" s="206"/>
      <c r="G423" s="203"/>
      <c r="H423" s="244"/>
      <c r="I423" s="253"/>
      <c r="J423" s="16"/>
      <c r="K423" s="1701"/>
      <c r="L423" s="2253"/>
      <c r="N423" s="220"/>
    </row>
    <row r="424" spans="1:14">
      <c r="A424" s="16"/>
      <c r="B424" s="11"/>
      <c r="C424" s="34"/>
      <c r="D424" s="16"/>
      <c r="E424" s="16"/>
      <c r="F424" s="206"/>
      <c r="G424" s="203"/>
      <c r="H424" s="245"/>
      <c r="I424" s="253"/>
      <c r="J424" s="16"/>
      <c r="K424" s="1701"/>
      <c r="L424" s="2253"/>
      <c r="N424" s="220"/>
    </row>
    <row r="425" spans="1:14" ht="13.8">
      <c r="A425" s="122"/>
      <c r="B425" s="143"/>
      <c r="C425" s="110" t="s">
        <v>1253</v>
      </c>
      <c r="D425" s="141"/>
      <c r="E425" s="2295"/>
      <c r="F425" s="210"/>
      <c r="G425" s="1701"/>
      <c r="H425" s="242"/>
      <c r="I425" s="255"/>
      <c r="J425" s="2295"/>
      <c r="K425" s="1701"/>
      <c r="L425" s="2253"/>
      <c r="N425" s="220"/>
    </row>
    <row r="426" spans="1:14" ht="13.8">
      <c r="A426" s="110">
        <v>10.220000000000001</v>
      </c>
      <c r="B426" s="49"/>
      <c r="C426" s="118" t="s">
        <v>1371</v>
      </c>
      <c r="D426" s="113"/>
      <c r="E426" s="112"/>
      <c r="F426" s="210"/>
      <c r="G426" s="1701"/>
      <c r="H426" s="242"/>
      <c r="I426" s="276"/>
      <c r="J426" s="112"/>
      <c r="K426" s="1701"/>
      <c r="L426" s="2253"/>
      <c r="N426" s="220"/>
    </row>
    <row r="427" spans="1:14" ht="13.8">
      <c r="A427" s="122"/>
      <c r="B427" s="120"/>
      <c r="C427" s="49"/>
      <c r="D427" s="113"/>
      <c r="E427" s="113"/>
      <c r="F427" s="210"/>
      <c r="G427" s="1701"/>
      <c r="H427" s="242"/>
      <c r="I427" s="276"/>
      <c r="J427" s="113"/>
      <c r="K427" s="1701"/>
      <c r="L427" s="2253"/>
      <c r="N427" s="220"/>
    </row>
    <row r="428" spans="1:14" ht="13.8">
      <c r="A428" s="122" t="s">
        <v>1372</v>
      </c>
      <c r="B428" s="120" t="s">
        <v>1255</v>
      </c>
      <c r="C428" s="44" t="s">
        <v>1256</v>
      </c>
      <c r="D428" s="113" t="s">
        <v>273</v>
      </c>
      <c r="E428" s="113">
        <v>1</v>
      </c>
      <c r="F428" s="210">
        <v>17923</v>
      </c>
      <c r="G428" s="2269">
        <f t="shared" ref="G428:G432" si="139">F428*E428</f>
        <v>17923</v>
      </c>
      <c r="H428" s="241"/>
      <c r="I428" s="276" t="s">
        <v>273</v>
      </c>
      <c r="J428" s="113">
        <v>1</v>
      </c>
      <c r="K428" s="2270">
        <f t="shared" ref="K428:K432" si="140">F428</f>
        <v>17923</v>
      </c>
      <c r="L428" s="251">
        <f t="shared" ref="L428" si="141">K428*J428</f>
        <v>17923</v>
      </c>
      <c r="N428" s="220">
        <f t="shared" si="132"/>
        <v>0</v>
      </c>
    </row>
    <row r="429" spans="1:14" ht="13.8">
      <c r="A429" s="122"/>
      <c r="B429" s="120"/>
      <c r="C429" s="44"/>
      <c r="D429" s="113"/>
      <c r="E429" s="113"/>
      <c r="F429" s="210"/>
      <c r="G429" s="1701"/>
      <c r="H429" s="242"/>
      <c r="I429" s="276"/>
      <c r="J429" s="113"/>
      <c r="K429" s="1701"/>
      <c r="L429" s="2253"/>
      <c r="N429" s="220">
        <f t="shared" si="132"/>
        <v>0</v>
      </c>
    </row>
    <row r="430" spans="1:14" ht="13.8">
      <c r="A430" s="122" t="s">
        <v>1373</v>
      </c>
      <c r="B430" s="120" t="s">
        <v>1255</v>
      </c>
      <c r="C430" s="44" t="s">
        <v>1258</v>
      </c>
      <c r="D430" s="113" t="s">
        <v>273</v>
      </c>
      <c r="E430" s="113">
        <v>1</v>
      </c>
      <c r="F430" s="210">
        <v>16385</v>
      </c>
      <c r="G430" s="2269">
        <f t="shared" si="139"/>
        <v>16385</v>
      </c>
      <c r="H430" s="241"/>
      <c r="I430" s="276" t="s">
        <v>273</v>
      </c>
      <c r="J430" s="113">
        <v>1</v>
      </c>
      <c r="K430" s="2270">
        <f t="shared" si="140"/>
        <v>16385</v>
      </c>
      <c r="L430" s="251">
        <f t="shared" ref="L430" si="142">K430*J430</f>
        <v>16385</v>
      </c>
      <c r="N430" s="220">
        <f t="shared" si="132"/>
        <v>0</v>
      </c>
    </row>
    <row r="431" spans="1:14" ht="13.8">
      <c r="A431" s="122"/>
      <c r="B431" s="120"/>
      <c r="C431" s="65"/>
      <c r="D431" s="113"/>
      <c r="E431" s="113"/>
      <c r="F431" s="210"/>
      <c r="G431" s="1701"/>
      <c r="H431" s="242"/>
      <c r="I431" s="276"/>
      <c r="J431" s="113"/>
      <c r="K431" s="1701"/>
      <c r="L431" s="2253"/>
      <c r="N431" s="220">
        <f t="shared" si="132"/>
        <v>0</v>
      </c>
    </row>
    <row r="432" spans="1:14" ht="27.6">
      <c r="A432" s="122" t="s">
        <v>1374</v>
      </c>
      <c r="B432" s="120" t="s">
        <v>1255</v>
      </c>
      <c r="C432" s="49" t="s">
        <v>1375</v>
      </c>
      <c r="D432" s="113" t="s">
        <v>1376</v>
      </c>
      <c r="E432" s="113">
        <v>1</v>
      </c>
      <c r="F432" s="210">
        <v>30975</v>
      </c>
      <c r="G432" s="2269">
        <f t="shared" si="139"/>
        <v>30975</v>
      </c>
      <c r="H432" s="241"/>
      <c r="I432" s="276" t="s">
        <v>1376</v>
      </c>
      <c r="J432" s="113">
        <v>1</v>
      </c>
      <c r="K432" s="2270">
        <f t="shared" si="140"/>
        <v>30975</v>
      </c>
      <c r="L432" s="251">
        <f t="shared" ref="L432" si="143">K432*J432</f>
        <v>30975</v>
      </c>
      <c r="N432" s="220">
        <f t="shared" si="132"/>
        <v>0</v>
      </c>
    </row>
    <row r="433" spans="1:14" ht="13.8">
      <c r="A433" s="122"/>
      <c r="B433" s="120"/>
      <c r="C433" s="44"/>
      <c r="D433" s="113"/>
      <c r="E433" s="113"/>
      <c r="F433" s="210"/>
      <c r="G433" s="1701"/>
      <c r="H433" s="242"/>
      <c r="I433" s="276"/>
      <c r="J433" s="113"/>
      <c r="K433" s="1701"/>
      <c r="L433" s="2253"/>
      <c r="N433" s="220"/>
    </row>
    <row r="434" spans="1:14" ht="13.8">
      <c r="A434" s="144"/>
      <c r="B434" s="143"/>
      <c r="C434" s="110" t="s">
        <v>1259</v>
      </c>
      <c r="D434" s="141"/>
      <c r="E434" s="2295"/>
      <c r="F434" s="210"/>
      <c r="G434" s="1701"/>
      <c r="H434" s="242"/>
      <c r="I434" s="255"/>
      <c r="J434" s="2295"/>
      <c r="K434" s="1701"/>
      <c r="L434" s="2253"/>
      <c r="N434" s="220"/>
    </row>
    <row r="435" spans="1:14" ht="13.8">
      <c r="A435" s="110">
        <v>10.23</v>
      </c>
      <c r="B435" s="49"/>
      <c r="C435" s="118" t="s">
        <v>1377</v>
      </c>
      <c r="D435" s="113"/>
      <c r="E435" s="112"/>
      <c r="F435" s="210"/>
      <c r="G435" s="1701"/>
      <c r="H435" s="242"/>
      <c r="I435" s="276"/>
      <c r="J435" s="112"/>
      <c r="K435" s="1701"/>
      <c r="L435" s="2253"/>
      <c r="N435" s="220"/>
    </row>
    <row r="436" spans="1:14" ht="13.8">
      <c r="A436" s="122"/>
      <c r="B436" s="120"/>
      <c r="C436" s="44"/>
      <c r="D436" s="113"/>
      <c r="E436" s="113"/>
      <c r="F436" s="210"/>
      <c r="G436" s="1701"/>
      <c r="H436" s="242"/>
      <c r="I436" s="276"/>
      <c r="J436" s="113"/>
      <c r="K436" s="1701"/>
      <c r="L436" s="2253"/>
      <c r="N436" s="220"/>
    </row>
    <row r="437" spans="1:14" ht="13.8">
      <c r="A437" s="122" t="s">
        <v>1378</v>
      </c>
      <c r="B437" s="120" t="s">
        <v>1261</v>
      </c>
      <c r="C437" s="49" t="s">
        <v>1262</v>
      </c>
      <c r="D437" s="113" t="s">
        <v>273</v>
      </c>
      <c r="E437" s="113">
        <v>1</v>
      </c>
      <c r="F437" s="210">
        <v>2625</v>
      </c>
      <c r="G437" s="2269">
        <f t="shared" ref="G437:G467" si="144">F437*E437</f>
        <v>2625</v>
      </c>
      <c r="H437" s="241"/>
      <c r="I437" s="276" t="s">
        <v>273</v>
      </c>
      <c r="J437" s="113">
        <v>1</v>
      </c>
      <c r="K437" s="2270">
        <f t="shared" ref="K437:K467" si="145">F437</f>
        <v>2625</v>
      </c>
      <c r="L437" s="251">
        <f t="shared" ref="L437:L467" si="146">K437*J437</f>
        <v>2625</v>
      </c>
      <c r="N437" s="220">
        <f t="shared" si="132"/>
        <v>0</v>
      </c>
    </row>
    <row r="438" spans="1:14" ht="13.8">
      <c r="A438" s="122"/>
      <c r="B438" s="120"/>
      <c r="C438" s="49"/>
      <c r="D438" s="113"/>
      <c r="E438" s="113"/>
      <c r="F438" s="210"/>
      <c r="G438" s="1701"/>
      <c r="H438" s="242"/>
      <c r="I438" s="276"/>
      <c r="J438" s="113"/>
      <c r="K438" s="1701"/>
      <c r="L438" s="2253"/>
      <c r="N438" s="220">
        <f t="shared" si="132"/>
        <v>0</v>
      </c>
    </row>
    <row r="439" spans="1:14" ht="13.8">
      <c r="A439" s="122" t="s">
        <v>1379</v>
      </c>
      <c r="B439" s="120" t="s">
        <v>1261</v>
      </c>
      <c r="C439" s="49" t="s">
        <v>1264</v>
      </c>
      <c r="D439" s="113" t="s">
        <v>273</v>
      </c>
      <c r="E439" s="113">
        <v>1</v>
      </c>
      <c r="F439" s="210">
        <v>2625</v>
      </c>
      <c r="G439" s="2269">
        <f t="shared" si="144"/>
        <v>2625</v>
      </c>
      <c r="H439" s="241"/>
      <c r="I439" s="276" t="s">
        <v>273</v>
      </c>
      <c r="J439" s="113">
        <v>0</v>
      </c>
      <c r="K439" s="2270">
        <f t="shared" si="145"/>
        <v>2625</v>
      </c>
      <c r="L439" s="251">
        <f t="shared" si="146"/>
        <v>0</v>
      </c>
      <c r="N439" s="220">
        <f t="shared" si="132"/>
        <v>2625</v>
      </c>
    </row>
    <row r="440" spans="1:14" ht="13.8">
      <c r="A440" s="122"/>
      <c r="B440" s="121"/>
      <c r="C440" s="145"/>
      <c r="D440" s="141"/>
      <c r="E440" s="2295"/>
      <c r="F440" s="210"/>
      <c r="G440" s="1701"/>
      <c r="H440" s="242"/>
      <c r="I440" s="255"/>
      <c r="J440" s="2295"/>
      <c r="K440" s="1701"/>
      <c r="L440" s="2253"/>
      <c r="N440" s="220">
        <f t="shared" si="132"/>
        <v>0</v>
      </c>
    </row>
    <row r="441" spans="1:14" ht="27.6">
      <c r="A441" s="122" t="s">
        <v>1380</v>
      </c>
      <c r="B441" s="120" t="s">
        <v>1261</v>
      </c>
      <c r="C441" s="146" t="s">
        <v>1266</v>
      </c>
      <c r="D441" s="141" t="s">
        <v>273</v>
      </c>
      <c r="E441" s="2295">
        <v>6</v>
      </c>
      <c r="F441" s="210">
        <v>215</v>
      </c>
      <c r="G441" s="2269">
        <f t="shared" si="144"/>
        <v>1290</v>
      </c>
      <c r="H441" s="241"/>
      <c r="I441" s="255" t="s">
        <v>273</v>
      </c>
      <c r="J441" s="2295">
        <v>3</v>
      </c>
      <c r="K441" s="2270">
        <f t="shared" si="145"/>
        <v>215</v>
      </c>
      <c r="L441" s="251">
        <f t="shared" si="146"/>
        <v>645</v>
      </c>
      <c r="N441" s="220">
        <f t="shared" si="132"/>
        <v>645</v>
      </c>
    </row>
    <row r="442" spans="1:14" ht="13.8">
      <c r="A442" s="111"/>
      <c r="B442" s="143"/>
      <c r="C442" s="145"/>
      <c r="D442" s="141"/>
      <c r="E442" s="2295"/>
      <c r="F442" s="210"/>
      <c r="G442" s="1701"/>
      <c r="H442" s="242"/>
      <c r="I442" s="255"/>
      <c r="J442" s="2295"/>
      <c r="K442" s="1701"/>
      <c r="L442" s="2253"/>
      <c r="N442" s="220">
        <f t="shared" si="132"/>
        <v>0</v>
      </c>
    </row>
    <row r="443" spans="1:14" ht="27.6">
      <c r="A443" s="122" t="s">
        <v>1381</v>
      </c>
      <c r="B443" s="120" t="s">
        <v>1261</v>
      </c>
      <c r="C443" s="146" t="s">
        <v>1382</v>
      </c>
      <c r="D443" s="141" t="s">
        <v>273</v>
      </c>
      <c r="E443" s="2295">
        <v>6</v>
      </c>
      <c r="F443" s="210">
        <v>163</v>
      </c>
      <c r="G443" s="2269">
        <f t="shared" si="144"/>
        <v>978</v>
      </c>
      <c r="H443" s="241"/>
      <c r="I443" s="255" t="s">
        <v>273</v>
      </c>
      <c r="J443" s="2295">
        <v>0</v>
      </c>
      <c r="K443" s="2270">
        <f t="shared" si="145"/>
        <v>163</v>
      </c>
      <c r="L443" s="251">
        <f t="shared" si="146"/>
        <v>0</v>
      </c>
      <c r="N443" s="220">
        <f t="shared" si="132"/>
        <v>978</v>
      </c>
    </row>
    <row r="444" spans="1:14" ht="13.8">
      <c r="A444" s="111"/>
      <c r="B444" s="143"/>
      <c r="C444" s="145"/>
      <c r="D444" s="141"/>
      <c r="E444" s="2295"/>
      <c r="F444" s="210"/>
      <c r="G444" s="1701"/>
      <c r="H444" s="242"/>
      <c r="I444" s="255"/>
      <c r="J444" s="2295"/>
      <c r="K444" s="1701"/>
      <c r="L444" s="2253"/>
      <c r="N444" s="220">
        <f t="shared" si="132"/>
        <v>0</v>
      </c>
    </row>
    <row r="445" spans="1:14" ht="27.6">
      <c r="A445" s="122" t="s">
        <v>1383</v>
      </c>
      <c r="B445" s="120" t="s">
        <v>1261</v>
      </c>
      <c r="C445" s="146" t="s">
        <v>1268</v>
      </c>
      <c r="D445" s="141" t="s">
        <v>273</v>
      </c>
      <c r="E445" s="140">
        <v>6</v>
      </c>
      <c r="F445" s="210">
        <v>111</v>
      </c>
      <c r="G445" s="2269">
        <f t="shared" si="144"/>
        <v>666</v>
      </c>
      <c r="H445" s="241"/>
      <c r="I445" s="255" t="s">
        <v>273</v>
      </c>
      <c r="J445" s="140">
        <v>0</v>
      </c>
      <c r="K445" s="2270">
        <f t="shared" si="145"/>
        <v>111</v>
      </c>
      <c r="L445" s="251">
        <f t="shared" si="146"/>
        <v>0</v>
      </c>
      <c r="N445" s="220">
        <f t="shared" si="132"/>
        <v>666</v>
      </c>
    </row>
    <row r="446" spans="1:14" ht="13.8">
      <c r="A446" s="111"/>
      <c r="B446" s="143"/>
      <c r="C446" s="145"/>
      <c r="D446" s="141"/>
      <c r="E446" s="2295"/>
      <c r="F446" s="210"/>
      <c r="G446" s="1701"/>
      <c r="H446" s="242"/>
      <c r="I446" s="255"/>
      <c r="J446" s="2295"/>
      <c r="K446" s="1701"/>
      <c r="L446" s="2253"/>
      <c r="N446" s="220">
        <f t="shared" si="132"/>
        <v>0</v>
      </c>
    </row>
    <row r="447" spans="1:14" ht="27.6">
      <c r="A447" s="122" t="s">
        <v>1384</v>
      </c>
      <c r="B447" s="120" t="s">
        <v>1261</v>
      </c>
      <c r="C447" s="146" t="s">
        <v>1270</v>
      </c>
      <c r="D447" s="141" t="s">
        <v>273</v>
      </c>
      <c r="E447" s="2295">
        <v>10</v>
      </c>
      <c r="F447" s="210">
        <v>126</v>
      </c>
      <c r="G447" s="2269">
        <f t="shared" si="144"/>
        <v>1260</v>
      </c>
      <c r="H447" s="241"/>
      <c r="I447" s="255" t="s">
        <v>273</v>
      </c>
      <c r="J447" s="2295">
        <v>10</v>
      </c>
      <c r="K447" s="2270">
        <f t="shared" si="145"/>
        <v>126</v>
      </c>
      <c r="L447" s="251">
        <f t="shared" si="146"/>
        <v>1260</v>
      </c>
      <c r="N447" s="220">
        <f t="shared" si="132"/>
        <v>0</v>
      </c>
    </row>
    <row r="448" spans="1:14" ht="13.8">
      <c r="A448" s="111"/>
      <c r="B448" s="143"/>
      <c r="C448" s="145"/>
      <c r="D448" s="141"/>
      <c r="E448" s="2295"/>
      <c r="F448" s="210"/>
      <c r="G448" s="1701"/>
      <c r="H448" s="242"/>
      <c r="I448" s="255"/>
      <c r="J448" s="2295"/>
      <c r="K448" s="1701"/>
      <c r="L448" s="2253"/>
      <c r="N448" s="220">
        <f t="shared" si="132"/>
        <v>0</v>
      </c>
    </row>
    <row r="449" spans="1:14" ht="27.6">
      <c r="A449" s="122" t="s">
        <v>1385</v>
      </c>
      <c r="B449" s="120" t="s">
        <v>1261</v>
      </c>
      <c r="C449" s="146" t="s">
        <v>1272</v>
      </c>
      <c r="D449" s="141" t="s">
        <v>273</v>
      </c>
      <c r="E449" s="2295">
        <v>2</v>
      </c>
      <c r="F449" s="210">
        <v>236</v>
      </c>
      <c r="G449" s="2269">
        <f t="shared" si="144"/>
        <v>472</v>
      </c>
      <c r="H449" s="241"/>
      <c r="I449" s="255" t="s">
        <v>273</v>
      </c>
      <c r="J449" s="2295">
        <v>2</v>
      </c>
      <c r="K449" s="2270">
        <f t="shared" si="145"/>
        <v>236</v>
      </c>
      <c r="L449" s="251">
        <f t="shared" si="146"/>
        <v>472</v>
      </c>
      <c r="N449" s="220">
        <f t="shared" si="132"/>
        <v>0</v>
      </c>
    </row>
    <row r="450" spans="1:14" ht="13.8">
      <c r="A450" s="145"/>
      <c r="B450" s="120"/>
      <c r="C450" s="146"/>
      <c r="D450" s="141"/>
      <c r="E450" s="2295"/>
      <c r="F450" s="210"/>
      <c r="G450" s="1701"/>
      <c r="H450" s="242"/>
      <c r="I450" s="255"/>
      <c r="J450" s="2295"/>
      <c r="K450" s="1701"/>
      <c r="L450" s="2253"/>
      <c r="N450" s="220">
        <f t="shared" si="132"/>
        <v>0</v>
      </c>
    </row>
    <row r="451" spans="1:14" ht="27.6">
      <c r="A451" s="122" t="s">
        <v>1386</v>
      </c>
      <c r="B451" s="120" t="s">
        <v>1261</v>
      </c>
      <c r="C451" s="49" t="s">
        <v>1387</v>
      </c>
      <c r="D451" s="113" t="s">
        <v>273</v>
      </c>
      <c r="E451" s="112">
        <v>6</v>
      </c>
      <c r="F451" s="210">
        <v>111</v>
      </c>
      <c r="G451" s="2269">
        <f t="shared" si="144"/>
        <v>666</v>
      </c>
      <c r="H451" s="241"/>
      <c r="I451" s="276" t="s">
        <v>273</v>
      </c>
      <c r="J451" s="112">
        <v>0</v>
      </c>
      <c r="K451" s="2270">
        <f t="shared" si="145"/>
        <v>111</v>
      </c>
      <c r="L451" s="251">
        <f t="shared" si="146"/>
        <v>0</v>
      </c>
      <c r="N451" s="220">
        <f t="shared" si="132"/>
        <v>666</v>
      </c>
    </row>
    <row r="452" spans="1:14" ht="13.8">
      <c r="A452" s="122"/>
      <c r="B452" s="49"/>
      <c r="C452" s="146"/>
      <c r="D452" s="141"/>
      <c r="E452" s="142"/>
      <c r="F452" s="210"/>
      <c r="G452" s="1701"/>
      <c r="H452" s="242"/>
      <c r="I452" s="255"/>
      <c r="J452" s="142"/>
      <c r="K452" s="1701"/>
      <c r="L452" s="2253"/>
      <c r="N452" s="220">
        <f t="shared" si="132"/>
        <v>0</v>
      </c>
    </row>
    <row r="453" spans="1:14" ht="13.8">
      <c r="A453" s="144" t="s">
        <v>1388</v>
      </c>
      <c r="B453" s="120" t="s">
        <v>1261</v>
      </c>
      <c r="C453" s="111" t="s">
        <v>1274</v>
      </c>
      <c r="D453" s="113" t="s">
        <v>273</v>
      </c>
      <c r="E453" s="114">
        <v>2</v>
      </c>
      <c r="F453" s="210">
        <v>192</v>
      </c>
      <c r="G453" s="2269">
        <f t="shared" si="144"/>
        <v>384</v>
      </c>
      <c r="H453" s="241"/>
      <c r="I453" s="276" t="s">
        <v>273</v>
      </c>
      <c r="J453" s="114">
        <v>1</v>
      </c>
      <c r="K453" s="2270">
        <f t="shared" si="145"/>
        <v>192</v>
      </c>
      <c r="L453" s="251">
        <f t="shared" si="146"/>
        <v>192</v>
      </c>
      <c r="N453" s="220">
        <f t="shared" si="132"/>
        <v>192</v>
      </c>
    </row>
    <row r="454" spans="1:14" ht="13.8">
      <c r="A454" s="144"/>
      <c r="B454" s="120"/>
      <c r="C454" s="146"/>
      <c r="D454" s="141"/>
      <c r="E454" s="2295"/>
      <c r="F454" s="210"/>
      <c r="G454" s="1701"/>
      <c r="H454" s="242"/>
      <c r="I454" s="255"/>
      <c r="J454" s="2295"/>
      <c r="K454" s="1701"/>
      <c r="L454" s="2253"/>
      <c r="N454" s="220">
        <f t="shared" si="132"/>
        <v>0</v>
      </c>
    </row>
    <row r="455" spans="1:14" ht="13.8">
      <c r="A455" s="144" t="s">
        <v>1389</v>
      </c>
      <c r="B455" s="120" t="s">
        <v>1261</v>
      </c>
      <c r="C455" s="119" t="s">
        <v>1276</v>
      </c>
      <c r="D455" s="113" t="s">
        <v>273</v>
      </c>
      <c r="E455" s="112">
        <v>2</v>
      </c>
      <c r="F455" s="210">
        <v>119</v>
      </c>
      <c r="G455" s="2269">
        <f t="shared" si="144"/>
        <v>238</v>
      </c>
      <c r="H455" s="241"/>
      <c r="I455" s="276" t="s">
        <v>273</v>
      </c>
      <c r="J455" s="112">
        <v>0</v>
      </c>
      <c r="K455" s="2270">
        <f t="shared" si="145"/>
        <v>119</v>
      </c>
      <c r="L455" s="251">
        <f t="shared" si="146"/>
        <v>0</v>
      </c>
      <c r="N455" s="220">
        <f t="shared" si="132"/>
        <v>238</v>
      </c>
    </row>
    <row r="456" spans="1:14" ht="13.8">
      <c r="A456" s="144"/>
      <c r="B456" s="120"/>
      <c r="C456" s="119"/>
      <c r="D456" s="113"/>
      <c r="E456" s="112"/>
      <c r="F456" s="210"/>
      <c r="G456" s="1701"/>
      <c r="H456" s="242"/>
      <c r="I456" s="276"/>
      <c r="J456" s="112"/>
      <c r="K456" s="1701"/>
      <c r="L456" s="2253"/>
      <c r="N456" s="220">
        <f t="shared" si="132"/>
        <v>0</v>
      </c>
    </row>
    <row r="457" spans="1:14" ht="13.8">
      <c r="A457" s="122" t="s">
        <v>1390</v>
      </c>
      <c r="B457" s="120" t="s">
        <v>1261</v>
      </c>
      <c r="C457" s="111" t="s">
        <v>1274</v>
      </c>
      <c r="D457" s="113" t="s">
        <v>273</v>
      </c>
      <c r="E457" s="114">
        <v>2</v>
      </c>
      <c r="F457" s="210">
        <v>192</v>
      </c>
      <c r="G457" s="2269">
        <f t="shared" si="144"/>
        <v>384</v>
      </c>
      <c r="H457" s="241"/>
      <c r="I457" s="276" t="s">
        <v>273</v>
      </c>
      <c r="J457" s="114">
        <v>0</v>
      </c>
      <c r="K457" s="2270">
        <f t="shared" si="145"/>
        <v>192</v>
      </c>
      <c r="L457" s="251">
        <f t="shared" si="146"/>
        <v>0</v>
      </c>
      <c r="N457" s="220">
        <f t="shared" si="132"/>
        <v>384</v>
      </c>
    </row>
    <row r="458" spans="1:14" ht="13.8">
      <c r="A458" s="144"/>
      <c r="B458" s="143"/>
      <c r="C458" s="110"/>
      <c r="D458" s="141"/>
      <c r="E458" s="2295"/>
      <c r="F458" s="210"/>
      <c r="G458" s="1701"/>
      <c r="H458" s="242"/>
      <c r="I458" s="255"/>
      <c r="J458" s="2295"/>
      <c r="K458" s="1701"/>
      <c r="L458" s="2253"/>
      <c r="N458" s="220">
        <f t="shared" si="132"/>
        <v>0</v>
      </c>
    </row>
    <row r="459" spans="1:14" ht="13.8">
      <c r="A459" s="122" t="s">
        <v>1391</v>
      </c>
      <c r="B459" s="120" t="s">
        <v>1261</v>
      </c>
      <c r="C459" s="119" t="s">
        <v>1278</v>
      </c>
      <c r="D459" s="113" t="s">
        <v>273</v>
      </c>
      <c r="E459" s="112">
        <v>2</v>
      </c>
      <c r="F459" s="210">
        <v>119</v>
      </c>
      <c r="G459" s="2269">
        <f t="shared" si="144"/>
        <v>238</v>
      </c>
      <c r="H459" s="241"/>
      <c r="I459" s="276" t="s">
        <v>273</v>
      </c>
      <c r="J459" s="112">
        <v>1</v>
      </c>
      <c r="K459" s="2270">
        <f t="shared" si="145"/>
        <v>119</v>
      </c>
      <c r="L459" s="251">
        <f t="shared" si="146"/>
        <v>119</v>
      </c>
      <c r="N459" s="220">
        <f t="shared" si="132"/>
        <v>119</v>
      </c>
    </row>
    <row r="460" spans="1:14" ht="13.8">
      <c r="A460" s="144"/>
      <c r="B460" s="120"/>
      <c r="C460" s="146"/>
      <c r="D460" s="141"/>
      <c r="E460" s="2295"/>
      <c r="F460" s="210"/>
      <c r="G460" s="1701"/>
      <c r="H460" s="242"/>
      <c r="I460" s="255"/>
      <c r="J460" s="2295"/>
      <c r="K460" s="1701"/>
      <c r="L460" s="2253"/>
      <c r="N460" s="220">
        <f t="shared" si="132"/>
        <v>0</v>
      </c>
    </row>
    <row r="461" spans="1:14" ht="13.8">
      <c r="A461" s="122" t="s">
        <v>1392</v>
      </c>
      <c r="B461" s="120" t="s">
        <v>1261</v>
      </c>
      <c r="C461" s="119" t="s">
        <v>1280</v>
      </c>
      <c r="D461" s="113" t="s">
        <v>273</v>
      </c>
      <c r="E461" s="112">
        <v>2</v>
      </c>
      <c r="F461" s="210">
        <v>160</v>
      </c>
      <c r="G461" s="2269">
        <f t="shared" si="144"/>
        <v>320</v>
      </c>
      <c r="H461" s="241"/>
      <c r="I461" s="276" t="s">
        <v>273</v>
      </c>
      <c r="J461" s="112">
        <v>0</v>
      </c>
      <c r="K461" s="2270">
        <f t="shared" si="145"/>
        <v>160</v>
      </c>
      <c r="L461" s="251">
        <f t="shared" si="146"/>
        <v>0</v>
      </c>
      <c r="N461" s="220">
        <f t="shared" si="132"/>
        <v>320</v>
      </c>
    </row>
    <row r="462" spans="1:14" ht="13.8">
      <c r="A462" s="144"/>
      <c r="B462" s="49"/>
      <c r="C462" s="121"/>
      <c r="D462" s="113"/>
      <c r="E462" s="112"/>
      <c r="F462" s="210"/>
      <c r="G462" s="1701"/>
      <c r="H462" s="242"/>
      <c r="I462" s="276"/>
      <c r="J462" s="112"/>
      <c r="K462" s="1701"/>
      <c r="L462" s="2253"/>
      <c r="N462" s="220">
        <f t="shared" si="132"/>
        <v>0</v>
      </c>
    </row>
    <row r="463" spans="1:14" ht="13.8">
      <c r="A463" s="122" t="s">
        <v>1393</v>
      </c>
      <c r="B463" s="120" t="s">
        <v>1261</v>
      </c>
      <c r="C463" s="111" t="s">
        <v>1394</v>
      </c>
      <c r="D463" s="113" t="s">
        <v>273</v>
      </c>
      <c r="E463" s="114">
        <v>2</v>
      </c>
      <c r="F463" s="210">
        <v>625</v>
      </c>
      <c r="G463" s="2269">
        <f t="shared" si="144"/>
        <v>1250</v>
      </c>
      <c r="H463" s="241"/>
      <c r="I463" s="276" t="s">
        <v>273</v>
      </c>
      <c r="J463" s="114">
        <v>1</v>
      </c>
      <c r="K463" s="2270">
        <f t="shared" si="145"/>
        <v>625</v>
      </c>
      <c r="L463" s="251">
        <f t="shared" si="146"/>
        <v>625</v>
      </c>
      <c r="N463" s="220">
        <f t="shared" si="132"/>
        <v>625</v>
      </c>
    </row>
    <row r="464" spans="1:14" ht="13.8">
      <c r="A464" s="144"/>
      <c r="B464" s="49"/>
      <c r="C464" s="111"/>
      <c r="D464" s="113"/>
      <c r="E464" s="114"/>
      <c r="F464" s="210"/>
      <c r="G464" s="1701"/>
      <c r="H464" s="242"/>
      <c r="I464" s="276"/>
      <c r="J464" s="114"/>
      <c r="K464" s="1701"/>
      <c r="L464" s="2253"/>
      <c r="N464" s="220">
        <f t="shared" si="132"/>
        <v>0</v>
      </c>
    </row>
    <row r="465" spans="1:14" ht="13.8">
      <c r="A465" s="122" t="s">
        <v>1395</v>
      </c>
      <c r="B465" s="120" t="s">
        <v>1261</v>
      </c>
      <c r="C465" s="111" t="s">
        <v>1284</v>
      </c>
      <c r="D465" s="113" t="s">
        <v>273</v>
      </c>
      <c r="E465" s="114">
        <v>2</v>
      </c>
      <c r="F465" s="210">
        <v>94</v>
      </c>
      <c r="G465" s="2269">
        <f t="shared" si="144"/>
        <v>188</v>
      </c>
      <c r="H465" s="241"/>
      <c r="I465" s="276" t="s">
        <v>273</v>
      </c>
      <c r="J465" s="114">
        <v>1</v>
      </c>
      <c r="K465" s="2270">
        <f t="shared" si="145"/>
        <v>94</v>
      </c>
      <c r="L465" s="251">
        <f t="shared" si="146"/>
        <v>94</v>
      </c>
      <c r="N465" s="220">
        <f t="shared" si="132"/>
        <v>94</v>
      </c>
    </row>
    <row r="466" spans="1:14" ht="13.8">
      <c r="A466" s="144"/>
      <c r="B466" s="49"/>
      <c r="C466" s="111"/>
      <c r="D466" s="113"/>
      <c r="E466" s="114"/>
      <c r="F466" s="210"/>
      <c r="G466" s="1701"/>
      <c r="H466" s="242"/>
      <c r="I466" s="276"/>
      <c r="J466" s="114"/>
      <c r="K466" s="1701"/>
      <c r="L466" s="2253"/>
      <c r="N466" s="220">
        <f t="shared" si="132"/>
        <v>0</v>
      </c>
    </row>
    <row r="467" spans="1:14" ht="13.8">
      <c r="A467" s="122" t="s">
        <v>1396</v>
      </c>
      <c r="B467" s="120" t="s">
        <v>1261</v>
      </c>
      <c r="C467" s="111" t="s">
        <v>1286</v>
      </c>
      <c r="D467" s="113" t="s">
        <v>273</v>
      </c>
      <c r="E467" s="114">
        <v>2</v>
      </c>
      <c r="F467" s="210">
        <v>94</v>
      </c>
      <c r="G467" s="2269">
        <f t="shared" si="144"/>
        <v>188</v>
      </c>
      <c r="H467" s="241"/>
      <c r="I467" s="276" t="s">
        <v>273</v>
      </c>
      <c r="J467" s="114">
        <v>2</v>
      </c>
      <c r="K467" s="2270">
        <f t="shared" si="145"/>
        <v>94</v>
      </c>
      <c r="L467" s="251">
        <f t="shared" si="146"/>
        <v>188</v>
      </c>
      <c r="N467" s="220">
        <f t="shared" si="132"/>
        <v>0</v>
      </c>
    </row>
    <row r="468" spans="1:14" ht="13.8">
      <c r="A468" s="122"/>
      <c r="B468" s="120"/>
      <c r="C468" s="111"/>
      <c r="D468" s="2310"/>
      <c r="E468" s="114"/>
      <c r="F468" s="210"/>
      <c r="G468" s="1715"/>
      <c r="I468" s="276"/>
      <c r="J468" s="114"/>
      <c r="K468" s="1701"/>
      <c r="L468" s="2253"/>
      <c r="N468" s="220"/>
    </row>
    <row r="469" spans="1:14">
      <c r="A469" s="1786"/>
      <c r="B469" s="801"/>
      <c r="C469" s="862"/>
      <c r="D469" s="801"/>
      <c r="E469" s="800"/>
      <c r="F469" s="2302"/>
      <c r="G469" s="2303"/>
      <c r="H469" s="2304"/>
      <c r="I469" s="3019"/>
      <c r="J469" s="3022"/>
      <c r="K469" s="2305"/>
      <c r="L469" s="2306"/>
      <c r="N469" s="220"/>
    </row>
    <row r="470" spans="1:14">
      <c r="A470" s="802"/>
      <c r="B470" s="426"/>
      <c r="C470" s="413" t="s">
        <v>289</v>
      </c>
      <c r="D470" s="426"/>
      <c r="E470" s="425"/>
      <c r="F470" s="207"/>
      <c r="G470" s="2307"/>
      <c r="H470" s="217"/>
      <c r="I470" s="3020"/>
      <c r="J470" s="3023"/>
      <c r="K470" s="2308"/>
      <c r="L470" s="252"/>
      <c r="N470" s="220"/>
    </row>
    <row r="471" spans="1:14">
      <c r="A471" s="17"/>
      <c r="B471" s="11"/>
      <c r="C471" s="34" t="s">
        <v>290</v>
      </c>
      <c r="D471" s="874"/>
      <c r="E471" s="16"/>
      <c r="F471" s="206"/>
      <c r="G471" s="203"/>
      <c r="H471" s="244"/>
      <c r="I471" s="253"/>
      <c r="J471" s="16"/>
      <c r="K471" s="1701"/>
      <c r="L471" s="2253"/>
      <c r="N471" s="220"/>
    </row>
    <row r="472" spans="1:14">
      <c r="A472" s="16"/>
      <c r="B472" s="11"/>
      <c r="C472" s="34"/>
      <c r="D472" s="16"/>
      <c r="E472" s="16"/>
      <c r="F472" s="206"/>
      <c r="G472" s="203"/>
      <c r="H472" s="245"/>
      <c r="I472" s="253"/>
      <c r="J472" s="16"/>
      <c r="K472" s="1701"/>
      <c r="L472" s="2253"/>
      <c r="N472" s="220"/>
    </row>
    <row r="473" spans="1:14" ht="13.8">
      <c r="A473" s="129"/>
      <c r="B473" s="194"/>
      <c r="C473" s="126" t="s">
        <v>1362</v>
      </c>
      <c r="D473" s="130"/>
      <c r="E473" s="234"/>
      <c r="F473" s="210"/>
      <c r="G473" s="1701"/>
      <c r="H473" s="242"/>
      <c r="I473" s="254"/>
      <c r="J473" s="234"/>
      <c r="K473" s="1701"/>
      <c r="L473" s="2253"/>
      <c r="N473" s="220"/>
    </row>
    <row r="474" spans="1:14" ht="13.8">
      <c r="A474" s="129"/>
      <c r="B474" s="194"/>
      <c r="C474" s="127"/>
      <c r="D474" s="130"/>
      <c r="E474" s="234"/>
      <c r="F474" s="210"/>
      <c r="G474" s="1701"/>
      <c r="H474" s="242"/>
      <c r="I474" s="254"/>
      <c r="J474" s="234"/>
      <c r="K474" s="1701"/>
      <c r="L474" s="2253"/>
      <c r="N474" s="220"/>
    </row>
    <row r="475" spans="1:14" ht="13.8">
      <c r="A475" s="144"/>
      <c r="B475" s="143"/>
      <c r="C475" s="128" t="s">
        <v>1397</v>
      </c>
      <c r="D475" s="141"/>
      <c r="E475" s="2295"/>
      <c r="F475" s="210"/>
      <c r="G475" s="1701"/>
      <c r="H475" s="242"/>
      <c r="I475" s="255"/>
      <c r="J475" s="2295"/>
      <c r="K475" s="1701"/>
      <c r="L475" s="2253"/>
      <c r="N475" s="220"/>
    </row>
    <row r="476" spans="1:14" ht="13.8">
      <c r="A476" s="195">
        <v>10.24</v>
      </c>
      <c r="B476" s="131"/>
      <c r="C476" s="125" t="s">
        <v>1363</v>
      </c>
      <c r="D476" s="130"/>
      <c r="E476" s="235"/>
      <c r="F476" s="210"/>
      <c r="G476" s="1701"/>
      <c r="H476" s="242"/>
      <c r="I476" s="254"/>
      <c r="J476" s="235"/>
      <c r="K476" s="1701"/>
      <c r="L476" s="2253"/>
      <c r="N476" s="220"/>
    </row>
    <row r="477" spans="1:14" ht="13.8">
      <c r="A477" s="144"/>
      <c r="B477" s="143"/>
      <c r="C477" s="128"/>
      <c r="D477" s="141"/>
      <c r="E477" s="2295"/>
      <c r="F477" s="210"/>
      <c r="G477" s="1701"/>
      <c r="H477" s="242"/>
      <c r="I477" s="255"/>
      <c r="J477" s="2295"/>
      <c r="K477" s="1701"/>
      <c r="L477" s="2253"/>
      <c r="N477" s="220"/>
    </row>
    <row r="478" spans="1:14" ht="27.6">
      <c r="A478" s="144" t="s">
        <v>1398</v>
      </c>
      <c r="B478" s="149" t="s">
        <v>1261</v>
      </c>
      <c r="C478" s="131" t="s">
        <v>1288</v>
      </c>
      <c r="D478" s="130" t="s">
        <v>561</v>
      </c>
      <c r="E478" s="132">
        <v>100</v>
      </c>
      <c r="F478" s="210">
        <v>48</v>
      </c>
      <c r="G478" s="2269">
        <f t="shared" ref="G478" si="147">F478*E478</f>
        <v>4800</v>
      </c>
      <c r="H478" s="241"/>
      <c r="I478" s="254" t="s">
        <v>561</v>
      </c>
      <c r="J478" s="132">
        <v>50</v>
      </c>
      <c r="K478" s="2270">
        <f t="shared" ref="K478" si="148">F478</f>
        <v>48</v>
      </c>
      <c r="L478" s="251">
        <f t="shared" ref="L478" si="149">K478*J478</f>
        <v>2400</v>
      </c>
      <c r="N478" s="220">
        <f t="shared" ref="N478:N536" si="150">G478-L478</f>
        <v>2400</v>
      </c>
    </row>
    <row r="479" spans="1:14" ht="13.8">
      <c r="A479" s="144"/>
      <c r="B479" s="131"/>
      <c r="C479" s="129"/>
      <c r="D479" s="130"/>
      <c r="E479" s="132"/>
      <c r="F479" s="210"/>
      <c r="G479" s="1701"/>
      <c r="H479" s="242"/>
      <c r="I479" s="254"/>
      <c r="J479" s="132"/>
      <c r="K479" s="1701"/>
      <c r="L479" s="2253"/>
      <c r="N479" s="220"/>
    </row>
    <row r="480" spans="1:14" ht="13.8">
      <c r="A480" s="144"/>
      <c r="B480" s="149"/>
      <c r="C480" s="131"/>
      <c r="D480" s="130"/>
      <c r="E480" s="132"/>
      <c r="F480" s="210"/>
      <c r="G480" s="1701"/>
      <c r="H480" s="242"/>
      <c r="I480" s="254"/>
      <c r="J480" s="132"/>
      <c r="K480" s="1701"/>
      <c r="L480" s="2253"/>
      <c r="N480" s="220"/>
    </row>
    <row r="481" spans="1:14" ht="13.8">
      <c r="A481" s="144"/>
      <c r="B481" s="143"/>
      <c r="C481" s="128" t="s">
        <v>1399</v>
      </c>
      <c r="D481" s="141"/>
      <c r="E481" s="2295"/>
      <c r="F481" s="210"/>
      <c r="G481" s="1701"/>
      <c r="H481" s="242"/>
      <c r="I481" s="255"/>
      <c r="J481" s="2295"/>
      <c r="K481" s="1701"/>
      <c r="L481" s="2253"/>
      <c r="N481" s="220"/>
    </row>
    <row r="482" spans="1:14" ht="27.6">
      <c r="A482" s="195">
        <v>10.25</v>
      </c>
      <c r="B482" s="131"/>
      <c r="C482" s="125" t="s">
        <v>1400</v>
      </c>
      <c r="D482" s="130"/>
      <c r="E482" s="235"/>
      <c r="F482" s="210"/>
      <c r="G482" s="1701"/>
      <c r="H482" s="242"/>
      <c r="I482" s="254"/>
      <c r="J482" s="235"/>
      <c r="K482" s="1701"/>
      <c r="L482" s="2253"/>
      <c r="N482" s="220"/>
    </row>
    <row r="483" spans="1:14" ht="13.8">
      <c r="A483" s="144" t="s">
        <v>1401</v>
      </c>
      <c r="B483" s="149" t="s">
        <v>1402</v>
      </c>
      <c r="C483" s="131" t="s">
        <v>1403</v>
      </c>
      <c r="D483" s="130" t="s">
        <v>561</v>
      </c>
      <c r="E483" s="132">
        <v>150</v>
      </c>
      <c r="F483" s="210">
        <v>130.19999999999999</v>
      </c>
      <c r="G483" s="2269">
        <f t="shared" ref="G483" si="151">F483*E483</f>
        <v>19530</v>
      </c>
      <c r="H483" s="241"/>
      <c r="I483" s="254" t="s">
        <v>561</v>
      </c>
      <c r="J483" s="132">
        <v>0</v>
      </c>
      <c r="K483" s="2270">
        <f>F483</f>
        <v>130.19999999999999</v>
      </c>
      <c r="L483" s="251">
        <f t="shared" ref="L483" si="152">K483*J483</f>
        <v>0</v>
      </c>
      <c r="N483" s="220">
        <f t="shared" si="150"/>
        <v>19530</v>
      </c>
    </row>
    <row r="484" spans="1:14" ht="13.8">
      <c r="A484" s="144"/>
      <c r="B484" s="149"/>
      <c r="C484" s="131"/>
      <c r="D484" s="130"/>
      <c r="E484" s="132"/>
      <c r="F484" s="210"/>
      <c r="G484" s="1701"/>
      <c r="H484" s="242"/>
      <c r="I484" s="254"/>
      <c r="J484" s="132"/>
      <c r="K484" s="1701"/>
      <c r="L484" s="2253"/>
      <c r="N484" s="220">
        <f t="shared" si="150"/>
        <v>0</v>
      </c>
    </row>
    <row r="485" spans="1:14" ht="13.8">
      <c r="A485" s="144" t="s">
        <v>1404</v>
      </c>
      <c r="B485" s="149" t="s">
        <v>1402</v>
      </c>
      <c r="C485" s="131" t="s">
        <v>1405</v>
      </c>
      <c r="D485" s="130" t="s">
        <v>561</v>
      </c>
      <c r="E485" s="132">
        <v>50</v>
      </c>
      <c r="F485" s="210">
        <v>27</v>
      </c>
      <c r="G485" s="2269">
        <f t="shared" ref="G485" si="153">F485*E485</f>
        <v>1350</v>
      </c>
      <c r="H485" s="241"/>
      <c r="I485" s="254" t="s">
        <v>561</v>
      </c>
      <c r="J485" s="132">
        <v>0</v>
      </c>
      <c r="K485" s="2270">
        <f>F485</f>
        <v>27</v>
      </c>
      <c r="L485" s="251">
        <f t="shared" ref="L485:L489" si="154">K485*J485</f>
        <v>0</v>
      </c>
      <c r="N485" s="220">
        <f t="shared" si="150"/>
        <v>1350</v>
      </c>
    </row>
    <row r="486" spans="1:14" ht="13.8">
      <c r="A486" s="144"/>
      <c r="B486" s="149"/>
      <c r="C486" s="131"/>
      <c r="D486" s="130"/>
      <c r="E486" s="132"/>
      <c r="F486" s="210"/>
      <c r="G486" s="1701"/>
      <c r="H486" s="242"/>
      <c r="I486" s="254"/>
      <c r="J486" s="132"/>
      <c r="K486" s="1701"/>
      <c r="L486" s="2253"/>
      <c r="N486" s="220">
        <f t="shared" si="150"/>
        <v>0</v>
      </c>
    </row>
    <row r="487" spans="1:14" ht="27.6">
      <c r="A487" s="144" t="s">
        <v>1406</v>
      </c>
      <c r="B487" s="149"/>
      <c r="C487" s="131" t="s">
        <v>1407</v>
      </c>
      <c r="D487" s="1667" t="s">
        <v>1408</v>
      </c>
      <c r="E487" s="51" t="s">
        <v>230</v>
      </c>
      <c r="F487" s="214"/>
      <c r="G487" s="215">
        <v>500000</v>
      </c>
      <c r="H487" s="246"/>
      <c r="I487" s="256" t="s">
        <v>1408</v>
      </c>
      <c r="J487" s="51">
        <v>0</v>
      </c>
      <c r="K487" s="2270">
        <v>0</v>
      </c>
      <c r="L487" s="251">
        <f t="shared" si="154"/>
        <v>0</v>
      </c>
      <c r="N487" s="220">
        <f>G487-L487</f>
        <v>500000</v>
      </c>
    </row>
    <row r="488" spans="1:14" ht="13.8">
      <c r="A488" s="144"/>
      <c r="B488" s="149"/>
      <c r="C488" s="131"/>
      <c r="D488" s="52"/>
      <c r="E488" s="51"/>
      <c r="F488" s="214"/>
      <c r="G488" s="215"/>
      <c r="H488" s="246"/>
      <c r="I488" s="256"/>
      <c r="J488" s="51"/>
      <c r="K488" s="1701"/>
      <c r="L488" s="662"/>
      <c r="N488" s="220">
        <f t="shared" si="150"/>
        <v>0</v>
      </c>
    </row>
    <row r="489" spans="1:14" ht="13.8">
      <c r="A489" s="144" t="s">
        <v>1409</v>
      </c>
      <c r="B489" s="149"/>
      <c r="C489" s="131" t="s">
        <v>1410</v>
      </c>
      <c r="D489" s="1667" t="s">
        <v>1408</v>
      </c>
      <c r="E489" s="51" t="s">
        <v>230</v>
      </c>
      <c r="F489" s="214"/>
      <c r="G489" s="215">
        <v>500000</v>
      </c>
      <c r="H489" s="246"/>
      <c r="I489" s="256" t="s">
        <v>1408</v>
      </c>
      <c r="J489" s="51">
        <v>1</v>
      </c>
      <c r="K489" s="2270">
        <f>G489*0.2</f>
        <v>100000</v>
      </c>
      <c r="L489" s="251">
        <f t="shared" si="154"/>
        <v>100000</v>
      </c>
      <c r="N489" s="220">
        <f t="shared" si="150"/>
        <v>400000</v>
      </c>
    </row>
    <row r="490" spans="1:14" ht="13.8">
      <c r="A490" s="144"/>
      <c r="B490" s="149"/>
      <c r="C490" s="131"/>
      <c r="D490" s="52"/>
      <c r="E490" s="51"/>
      <c r="F490" s="214"/>
      <c r="G490" s="215"/>
      <c r="H490" s="246"/>
      <c r="I490" s="256"/>
      <c r="J490" s="51"/>
      <c r="K490" s="1701"/>
      <c r="L490" s="2253"/>
      <c r="N490" s="220"/>
    </row>
    <row r="491" spans="1:14" ht="13.8">
      <c r="A491" s="144"/>
      <c r="B491" s="143"/>
      <c r="C491" s="128" t="s">
        <v>1289</v>
      </c>
      <c r="D491" s="141"/>
      <c r="E491" s="2295"/>
      <c r="F491" s="210"/>
      <c r="G491" s="1701"/>
      <c r="H491" s="242"/>
      <c r="I491" s="255"/>
      <c r="J491" s="2295"/>
      <c r="K491" s="1701"/>
      <c r="L491" s="2253"/>
      <c r="N491" s="220"/>
    </row>
    <row r="492" spans="1:14" ht="19.5" customHeight="1">
      <c r="A492" s="195">
        <v>10.26</v>
      </c>
      <c r="B492" s="131"/>
      <c r="C492" s="125" t="s">
        <v>1411</v>
      </c>
      <c r="D492" s="130"/>
      <c r="E492" s="235"/>
      <c r="F492" s="210"/>
      <c r="G492" s="1701"/>
      <c r="H492" s="242"/>
      <c r="I492" s="254"/>
      <c r="J492" s="235"/>
      <c r="K492" s="1701"/>
      <c r="L492" s="2253"/>
      <c r="N492" s="220"/>
    </row>
    <row r="493" spans="1:14" ht="13.8">
      <c r="A493" s="144"/>
      <c r="B493" s="149"/>
      <c r="C493" s="131"/>
      <c r="D493" s="130"/>
      <c r="E493" s="132"/>
      <c r="F493" s="210"/>
      <c r="G493" s="1701"/>
      <c r="H493" s="242"/>
      <c r="I493" s="254"/>
      <c r="J493" s="132"/>
      <c r="K493" s="1701"/>
      <c r="L493" s="2253"/>
      <c r="N493" s="220"/>
    </row>
    <row r="494" spans="1:14" ht="13.8">
      <c r="A494" s="144" t="s">
        <v>1412</v>
      </c>
      <c r="B494" s="149" t="s">
        <v>1292</v>
      </c>
      <c r="C494" s="131" t="s">
        <v>1293</v>
      </c>
      <c r="D494" s="130" t="s">
        <v>561</v>
      </c>
      <c r="E494" s="132">
        <v>20</v>
      </c>
      <c r="F494" s="210">
        <v>163</v>
      </c>
      <c r="G494" s="2269">
        <f t="shared" ref="G494:G516" si="155">F494*E494</f>
        <v>3260</v>
      </c>
      <c r="H494" s="241"/>
      <c r="I494" s="254" t="s">
        <v>561</v>
      </c>
      <c r="J494" s="132">
        <v>0</v>
      </c>
      <c r="K494" s="2270">
        <f t="shared" ref="K494:K516" si="156">F494</f>
        <v>163</v>
      </c>
      <c r="L494" s="251">
        <f t="shared" ref="L494:L516" si="157">K494*J494</f>
        <v>0</v>
      </c>
      <c r="N494" s="220">
        <f t="shared" si="150"/>
        <v>3260</v>
      </c>
    </row>
    <row r="495" spans="1:14" ht="13.8">
      <c r="A495" s="144"/>
      <c r="B495" s="149"/>
      <c r="C495" s="131"/>
      <c r="D495" s="130"/>
      <c r="E495" s="132"/>
      <c r="F495" s="210"/>
      <c r="G495" s="1701"/>
      <c r="H495" s="242"/>
      <c r="I495" s="254"/>
      <c r="J495" s="132"/>
      <c r="K495" s="1701"/>
      <c r="L495" s="2253"/>
      <c r="N495" s="220">
        <f t="shared" si="150"/>
        <v>0</v>
      </c>
    </row>
    <row r="496" spans="1:14" ht="13.8">
      <c r="A496" s="144" t="s">
        <v>1413</v>
      </c>
      <c r="B496" s="149" t="s">
        <v>1292</v>
      </c>
      <c r="C496" s="131" t="s">
        <v>1295</v>
      </c>
      <c r="D496" s="130" t="s">
        <v>273</v>
      </c>
      <c r="E496" s="132">
        <v>5</v>
      </c>
      <c r="F496" s="210">
        <v>176</v>
      </c>
      <c r="G496" s="2269">
        <f t="shared" si="155"/>
        <v>880</v>
      </c>
      <c r="H496" s="241"/>
      <c r="I496" s="254" t="s">
        <v>273</v>
      </c>
      <c r="J496" s="132">
        <v>0</v>
      </c>
      <c r="K496" s="2270">
        <f t="shared" si="156"/>
        <v>176</v>
      </c>
      <c r="L496" s="251">
        <f t="shared" si="157"/>
        <v>0</v>
      </c>
      <c r="N496" s="220">
        <f t="shared" si="150"/>
        <v>880</v>
      </c>
    </row>
    <row r="497" spans="1:14" ht="13.8">
      <c r="A497" s="144"/>
      <c r="B497" s="149"/>
      <c r="C497" s="131"/>
      <c r="D497" s="130"/>
      <c r="E497" s="132"/>
      <c r="F497" s="210"/>
      <c r="G497" s="1701"/>
      <c r="H497" s="242"/>
      <c r="I497" s="254"/>
      <c r="J497" s="132"/>
      <c r="K497" s="1701"/>
      <c r="L497" s="2253"/>
      <c r="N497" s="220">
        <f t="shared" si="150"/>
        <v>0</v>
      </c>
    </row>
    <row r="498" spans="1:14" ht="16.2">
      <c r="A498" s="144" t="s">
        <v>1414</v>
      </c>
      <c r="B498" s="149" t="s">
        <v>1292</v>
      </c>
      <c r="C498" s="131" t="s">
        <v>1297</v>
      </c>
      <c r="D498" s="130" t="s">
        <v>273</v>
      </c>
      <c r="E498" s="132">
        <v>3</v>
      </c>
      <c r="F498" s="210">
        <v>151</v>
      </c>
      <c r="G498" s="2269">
        <f t="shared" si="155"/>
        <v>453</v>
      </c>
      <c r="H498" s="241"/>
      <c r="I498" s="254" t="s">
        <v>273</v>
      </c>
      <c r="J498" s="132">
        <v>0</v>
      </c>
      <c r="K498" s="2270">
        <f t="shared" si="156"/>
        <v>151</v>
      </c>
      <c r="L498" s="251">
        <f t="shared" si="157"/>
        <v>0</v>
      </c>
      <c r="N498" s="220">
        <f t="shared" si="150"/>
        <v>453</v>
      </c>
    </row>
    <row r="499" spans="1:14" ht="13.8">
      <c r="A499" s="144"/>
      <c r="B499" s="149"/>
      <c r="C499" s="131"/>
      <c r="D499" s="130"/>
      <c r="E499" s="132"/>
      <c r="F499" s="210"/>
      <c r="G499" s="1701"/>
      <c r="H499" s="242"/>
      <c r="I499" s="254"/>
      <c r="J499" s="132"/>
      <c r="K499" s="1701"/>
      <c r="L499" s="2253"/>
      <c r="N499" s="220">
        <f t="shared" si="150"/>
        <v>0</v>
      </c>
    </row>
    <row r="500" spans="1:14" ht="13.8">
      <c r="A500" s="144" t="s">
        <v>1415</v>
      </c>
      <c r="B500" s="149" t="s">
        <v>1292</v>
      </c>
      <c r="C500" s="131" t="s">
        <v>1299</v>
      </c>
      <c r="D500" s="130" t="s">
        <v>561</v>
      </c>
      <c r="E500" s="132">
        <v>40</v>
      </c>
      <c r="F500" s="210">
        <v>119</v>
      </c>
      <c r="G500" s="2269">
        <f t="shared" si="155"/>
        <v>4760</v>
      </c>
      <c r="H500" s="241"/>
      <c r="I500" s="254" t="s">
        <v>561</v>
      </c>
      <c r="J500" s="132">
        <v>0</v>
      </c>
      <c r="K500" s="2270">
        <f t="shared" si="156"/>
        <v>119</v>
      </c>
      <c r="L500" s="251">
        <f t="shared" si="157"/>
        <v>0</v>
      </c>
      <c r="N500" s="220">
        <f t="shared" si="150"/>
        <v>4760</v>
      </c>
    </row>
    <row r="501" spans="1:14" ht="13.8">
      <c r="A501" s="144"/>
      <c r="B501" s="149"/>
      <c r="C501" s="131"/>
      <c r="D501" s="130"/>
      <c r="E501" s="132"/>
      <c r="F501" s="210"/>
      <c r="G501" s="1701"/>
      <c r="H501" s="242"/>
      <c r="I501" s="254"/>
      <c r="J501" s="132"/>
      <c r="K501" s="1701"/>
      <c r="L501" s="2253"/>
      <c r="N501" s="220">
        <f t="shared" si="150"/>
        <v>0</v>
      </c>
    </row>
    <row r="502" spans="1:14" ht="13.8">
      <c r="A502" s="144" t="s">
        <v>1416</v>
      </c>
      <c r="B502" s="149" t="s">
        <v>1292</v>
      </c>
      <c r="C502" s="131" t="s">
        <v>1301</v>
      </c>
      <c r="D502" s="130" t="s">
        <v>273</v>
      </c>
      <c r="E502" s="132">
        <v>2</v>
      </c>
      <c r="F502" s="210">
        <v>135</v>
      </c>
      <c r="G502" s="2269">
        <f t="shared" si="155"/>
        <v>270</v>
      </c>
      <c r="H502" s="241"/>
      <c r="I502" s="254" t="s">
        <v>273</v>
      </c>
      <c r="J502" s="132">
        <v>0</v>
      </c>
      <c r="K502" s="2270">
        <f t="shared" si="156"/>
        <v>135</v>
      </c>
      <c r="L502" s="251">
        <f t="shared" si="157"/>
        <v>0</v>
      </c>
      <c r="N502" s="220">
        <f t="shared" si="150"/>
        <v>270</v>
      </c>
    </row>
    <row r="503" spans="1:14" ht="13.8">
      <c r="A503" s="144"/>
      <c r="B503" s="149"/>
      <c r="C503" s="131"/>
      <c r="D503" s="130"/>
      <c r="E503" s="132"/>
      <c r="F503" s="210"/>
      <c r="G503" s="1701"/>
      <c r="H503" s="242"/>
      <c r="I503" s="254"/>
      <c r="J503" s="132"/>
      <c r="K503" s="1701"/>
      <c r="L503" s="2253"/>
      <c r="N503" s="220">
        <f t="shared" si="150"/>
        <v>0</v>
      </c>
    </row>
    <row r="504" spans="1:14" ht="16.2">
      <c r="A504" s="144" t="s">
        <v>1417</v>
      </c>
      <c r="B504" s="149" t="s">
        <v>1292</v>
      </c>
      <c r="C504" s="131" t="s">
        <v>1303</v>
      </c>
      <c r="D504" s="130" t="s">
        <v>273</v>
      </c>
      <c r="E504" s="132">
        <v>3</v>
      </c>
      <c r="F504" s="210">
        <v>125</v>
      </c>
      <c r="G504" s="2269">
        <f t="shared" si="155"/>
        <v>375</v>
      </c>
      <c r="H504" s="241"/>
      <c r="I504" s="254" t="s">
        <v>273</v>
      </c>
      <c r="J504" s="132">
        <v>0</v>
      </c>
      <c r="K504" s="2270">
        <f t="shared" si="156"/>
        <v>125</v>
      </c>
      <c r="L504" s="251">
        <f t="shared" si="157"/>
        <v>0</v>
      </c>
      <c r="N504" s="220">
        <f t="shared" si="150"/>
        <v>375</v>
      </c>
    </row>
    <row r="505" spans="1:14" ht="13.8">
      <c r="A505" s="144"/>
      <c r="B505" s="149"/>
      <c r="C505" s="131"/>
      <c r="D505" s="130"/>
      <c r="E505" s="132"/>
      <c r="F505" s="210"/>
      <c r="G505" s="1701"/>
      <c r="H505" s="242"/>
      <c r="I505" s="254"/>
      <c r="J505" s="132"/>
      <c r="K505" s="1701"/>
      <c r="L505" s="2253"/>
      <c r="N505" s="220">
        <f t="shared" si="150"/>
        <v>0</v>
      </c>
    </row>
    <row r="506" spans="1:14" ht="13.8">
      <c r="A506" s="144" t="s">
        <v>1418</v>
      </c>
      <c r="B506" s="149" t="s">
        <v>1292</v>
      </c>
      <c r="C506" s="131" t="s">
        <v>1305</v>
      </c>
      <c r="D506" s="130" t="s">
        <v>561</v>
      </c>
      <c r="E506" s="132">
        <v>50</v>
      </c>
      <c r="F506" s="210">
        <v>111</v>
      </c>
      <c r="G506" s="2269">
        <f t="shared" si="155"/>
        <v>5550</v>
      </c>
      <c r="H506" s="241"/>
      <c r="I506" s="254" t="s">
        <v>561</v>
      </c>
      <c r="J506" s="132">
        <v>0</v>
      </c>
      <c r="K506" s="2270">
        <f t="shared" si="156"/>
        <v>111</v>
      </c>
      <c r="L506" s="251">
        <f t="shared" si="157"/>
        <v>0</v>
      </c>
      <c r="N506" s="220">
        <f t="shared" si="150"/>
        <v>5550</v>
      </c>
    </row>
    <row r="507" spans="1:14" ht="13.8">
      <c r="A507" s="144"/>
      <c r="B507" s="149"/>
      <c r="C507" s="131"/>
      <c r="D507" s="130"/>
      <c r="E507" s="132"/>
      <c r="F507" s="210"/>
      <c r="G507" s="1701"/>
      <c r="H507" s="242"/>
      <c r="I507" s="254"/>
      <c r="J507" s="132"/>
      <c r="K507" s="1701"/>
      <c r="L507" s="2253"/>
      <c r="N507" s="220">
        <f t="shared" si="150"/>
        <v>0</v>
      </c>
    </row>
    <row r="508" spans="1:14" ht="13.8">
      <c r="A508" s="144" t="s">
        <v>1419</v>
      </c>
      <c r="B508" s="149" t="s">
        <v>1292</v>
      </c>
      <c r="C508" s="131" t="s">
        <v>1307</v>
      </c>
      <c r="D508" s="130" t="s">
        <v>273</v>
      </c>
      <c r="E508" s="132">
        <v>6</v>
      </c>
      <c r="F508" s="210">
        <v>128</v>
      </c>
      <c r="G508" s="2269">
        <f t="shared" si="155"/>
        <v>768</v>
      </c>
      <c r="H508" s="241"/>
      <c r="I508" s="254" t="s">
        <v>273</v>
      </c>
      <c r="J508" s="132">
        <v>0</v>
      </c>
      <c r="K508" s="2270">
        <f t="shared" si="156"/>
        <v>128</v>
      </c>
      <c r="L508" s="251">
        <f t="shared" si="157"/>
        <v>0</v>
      </c>
      <c r="N508" s="220">
        <f t="shared" si="150"/>
        <v>768</v>
      </c>
    </row>
    <row r="509" spans="1:14" ht="13.8">
      <c r="A509" s="144"/>
      <c r="B509" s="149"/>
      <c r="C509" s="131"/>
      <c r="D509" s="130"/>
      <c r="E509" s="132"/>
      <c r="F509" s="210"/>
      <c r="G509" s="1701"/>
      <c r="H509" s="242"/>
      <c r="I509" s="254"/>
      <c r="J509" s="132"/>
      <c r="K509" s="1701"/>
      <c r="L509" s="2253"/>
      <c r="N509" s="220">
        <f t="shared" si="150"/>
        <v>0</v>
      </c>
    </row>
    <row r="510" spans="1:14" ht="16.2">
      <c r="A510" s="144" t="s">
        <v>1420</v>
      </c>
      <c r="B510" s="149" t="s">
        <v>1292</v>
      </c>
      <c r="C510" s="131" t="s">
        <v>1309</v>
      </c>
      <c r="D510" s="130" t="s">
        <v>273</v>
      </c>
      <c r="E510" s="132">
        <v>5</v>
      </c>
      <c r="F510" s="210">
        <v>115</v>
      </c>
      <c r="G510" s="2269">
        <f t="shared" si="155"/>
        <v>575</v>
      </c>
      <c r="H510" s="241"/>
      <c r="I510" s="254" t="s">
        <v>273</v>
      </c>
      <c r="J510" s="132">
        <v>0</v>
      </c>
      <c r="K510" s="2270">
        <f t="shared" si="156"/>
        <v>115</v>
      </c>
      <c r="L510" s="251">
        <f t="shared" si="157"/>
        <v>0</v>
      </c>
      <c r="N510" s="220">
        <f t="shared" si="150"/>
        <v>575</v>
      </c>
    </row>
    <row r="511" spans="1:14" ht="13.8">
      <c r="A511" s="144"/>
      <c r="B511" s="196"/>
      <c r="C511" s="48"/>
      <c r="D511" s="196"/>
      <c r="E511" s="196"/>
      <c r="F511" s="210"/>
      <c r="G511" s="1701"/>
      <c r="H511" s="242"/>
      <c r="I511" s="257"/>
      <c r="J511" s="196"/>
      <c r="K511" s="1701"/>
      <c r="L511" s="2253"/>
      <c r="N511" s="220">
        <f t="shared" si="150"/>
        <v>0</v>
      </c>
    </row>
    <row r="512" spans="1:14" ht="13.8">
      <c r="A512" s="144" t="s">
        <v>1421</v>
      </c>
      <c r="B512" s="149" t="s">
        <v>1292</v>
      </c>
      <c r="C512" s="131" t="s">
        <v>1310</v>
      </c>
      <c r="D512" s="130" t="s">
        <v>561</v>
      </c>
      <c r="E512" s="132">
        <v>150</v>
      </c>
      <c r="F512" s="210">
        <v>104</v>
      </c>
      <c r="G512" s="2269">
        <f t="shared" si="155"/>
        <v>15600</v>
      </c>
      <c r="H512" s="241"/>
      <c r="I512" s="254" t="s">
        <v>561</v>
      </c>
      <c r="J512" s="132">
        <v>0</v>
      </c>
      <c r="K512" s="2270">
        <f t="shared" si="156"/>
        <v>104</v>
      </c>
      <c r="L512" s="251">
        <f t="shared" si="157"/>
        <v>0</v>
      </c>
      <c r="N512" s="220">
        <f t="shared" si="150"/>
        <v>15600</v>
      </c>
    </row>
    <row r="513" spans="1:14" ht="13.8">
      <c r="A513" s="144"/>
      <c r="B513" s="149"/>
      <c r="C513" s="131"/>
      <c r="D513" s="130"/>
      <c r="E513" s="132"/>
      <c r="F513" s="210"/>
      <c r="G513" s="1701"/>
      <c r="H513" s="242"/>
      <c r="I513" s="254"/>
      <c r="J513" s="132"/>
      <c r="K513" s="1701"/>
      <c r="L513" s="2253"/>
      <c r="N513" s="220">
        <f t="shared" si="150"/>
        <v>0</v>
      </c>
    </row>
    <row r="514" spans="1:14" ht="13.8">
      <c r="A514" s="144" t="s">
        <v>1422</v>
      </c>
      <c r="B514" s="149" t="s">
        <v>1292</v>
      </c>
      <c r="C514" s="131" t="s">
        <v>1311</v>
      </c>
      <c r="D514" s="130" t="s">
        <v>273</v>
      </c>
      <c r="E514" s="132">
        <v>1</v>
      </c>
      <c r="F514" s="210">
        <v>118</v>
      </c>
      <c r="G514" s="2269">
        <f t="shared" si="155"/>
        <v>118</v>
      </c>
      <c r="H514" s="241"/>
      <c r="I514" s="254" t="s">
        <v>273</v>
      </c>
      <c r="J514" s="132">
        <v>0</v>
      </c>
      <c r="K514" s="2270">
        <f t="shared" si="156"/>
        <v>118</v>
      </c>
      <c r="L514" s="251">
        <f t="shared" si="157"/>
        <v>0</v>
      </c>
      <c r="N514" s="220">
        <f t="shared" si="150"/>
        <v>118</v>
      </c>
    </row>
    <row r="515" spans="1:14" ht="13.8">
      <c r="A515" s="144"/>
      <c r="B515" s="149"/>
      <c r="C515" s="131"/>
      <c r="D515" s="130"/>
      <c r="E515" s="132"/>
      <c r="F515" s="210"/>
      <c r="G515" s="1701"/>
      <c r="H515" s="242"/>
      <c r="I515" s="254"/>
      <c r="J515" s="132"/>
      <c r="K515" s="1701"/>
      <c r="L515" s="2253"/>
      <c r="N515" s="220">
        <f t="shared" si="150"/>
        <v>0</v>
      </c>
    </row>
    <row r="516" spans="1:14" ht="16.2">
      <c r="A516" s="144" t="s">
        <v>1423</v>
      </c>
      <c r="B516" s="149" t="s">
        <v>1292</v>
      </c>
      <c r="C516" s="131" t="s">
        <v>1312</v>
      </c>
      <c r="D516" s="130" t="s">
        <v>273</v>
      </c>
      <c r="E516" s="132">
        <v>2</v>
      </c>
      <c r="F516" s="210">
        <v>109</v>
      </c>
      <c r="G516" s="2269">
        <f t="shared" si="155"/>
        <v>218</v>
      </c>
      <c r="H516" s="241"/>
      <c r="I516" s="254" t="s">
        <v>273</v>
      </c>
      <c r="J516" s="132">
        <v>0</v>
      </c>
      <c r="K516" s="2270">
        <f t="shared" si="156"/>
        <v>109</v>
      </c>
      <c r="L516" s="251">
        <f t="shared" si="157"/>
        <v>0</v>
      </c>
      <c r="N516" s="220">
        <f t="shared" si="150"/>
        <v>218</v>
      </c>
    </row>
    <row r="517" spans="1:14" ht="13.8">
      <c r="A517" s="144"/>
      <c r="B517" s="149"/>
      <c r="C517" s="131"/>
      <c r="D517" s="130"/>
      <c r="E517" s="132"/>
      <c r="F517" s="210"/>
      <c r="G517" s="1701"/>
      <c r="H517" s="242"/>
      <c r="I517" s="254"/>
      <c r="J517" s="132"/>
      <c r="K517" s="1701"/>
      <c r="L517" s="2253"/>
      <c r="N517" s="220"/>
    </row>
    <row r="518" spans="1:14" ht="13.5" customHeight="1">
      <c r="A518" s="15"/>
      <c r="B518" s="11"/>
      <c r="C518" s="13"/>
      <c r="D518" s="874"/>
      <c r="E518" s="16"/>
      <c r="F518" s="206"/>
      <c r="G518" s="2252"/>
      <c r="H518" s="243"/>
      <c r="I518" s="253"/>
      <c r="J518" s="16"/>
      <c r="K518" s="1701"/>
      <c r="L518" s="2253"/>
      <c r="N518" s="220"/>
    </row>
    <row r="519" spans="1:14">
      <c r="A519" s="1786"/>
      <c r="B519" s="801"/>
      <c r="C519" s="862"/>
      <c r="D519" s="801"/>
      <c r="E519" s="800"/>
      <c r="F519" s="2302"/>
      <c r="G519" s="2303"/>
      <c r="H519" s="2304"/>
      <c r="I519" s="3019"/>
      <c r="J519" s="3022"/>
      <c r="K519" s="2305"/>
      <c r="L519" s="2306"/>
      <c r="N519" s="220"/>
    </row>
    <row r="520" spans="1:14">
      <c r="A520" s="802"/>
      <c r="B520" s="426"/>
      <c r="C520" s="413" t="s">
        <v>289</v>
      </c>
      <c r="D520" s="426"/>
      <c r="E520" s="425"/>
      <c r="F520" s="207"/>
      <c r="G520" s="2307"/>
      <c r="H520" s="217"/>
      <c r="I520" s="3020"/>
      <c r="J520" s="3023"/>
      <c r="K520" s="2308"/>
      <c r="L520" s="252"/>
      <c r="N520" s="220"/>
    </row>
    <row r="521" spans="1:14">
      <c r="A521" s="17"/>
      <c r="B521" s="11"/>
      <c r="C521" s="34" t="s">
        <v>290</v>
      </c>
      <c r="D521" s="874"/>
      <c r="E521" s="16"/>
      <c r="F521" s="206"/>
      <c r="G521" s="203"/>
      <c r="H521" s="244"/>
      <c r="I521" s="253"/>
      <c r="J521" s="16"/>
      <c r="K521" s="1701"/>
      <c r="L521" s="2253"/>
      <c r="N521" s="220"/>
    </row>
    <row r="522" spans="1:14">
      <c r="A522" s="16"/>
      <c r="B522" s="11"/>
      <c r="C522" s="34"/>
      <c r="D522" s="16"/>
      <c r="E522" s="16"/>
      <c r="F522" s="206"/>
      <c r="G522" s="203"/>
      <c r="H522" s="245"/>
      <c r="I522" s="253"/>
      <c r="J522" s="16"/>
      <c r="K522" s="1701"/>
      <c r="L522" s="2253"/>
      <c r="N522" s="220"/>
    </row>
    <row r="523" spans="1:14" ht="13.8">
      <c r="A523" s="144" t="s">
        <v>1424</v>
      </c>
      <c r="B523" s="149" t="s">
        <v>1292</v>
      </c>
      <c r="C523" s="131" t="s">
        <v>1315</v>
      </c>
      <c r="D523" s="130" t="s">
        <v>976</v>
      </c>
      <c r="E523" s="132">
        <v>1</v>
      </c>
      <c r="F523" s="206">
        <v>11833</v>
      </c>
      <c r="G523" s="2269">
        <f t="shared" ref="G523" si="158">F523*E523</f>
        <v>11833</v>
      </c>
      <c r="H523" s="241"/>
      <c r="I523" s="254" t="s">
        <v>976</v>
      </c>
      <c r="J523" s="132">
        <v>1</v>
      </c>
      <c r="K523" s="2270">
        <f t="shared" ref="K523" si="159">F523</f>
        <v>11833</v>
      </c>
      <c r="L523" s="251">
        <f t="shared" ref="L523" si="160">K523*J523</f>
        <v>11833</v>
      </c>
      <c r="N523" s="220">
        <f t="shared" si="150"/>
        <v>0</v>
      </c>
    </row>
    <row r="524" spans="1:14">
      <c r="A524" s="16"/>
      <c r="B524" s="11"/>
      <c r="C524" s="34"/>
      <c r="D524" s="16"/>
      <c r="E524" s="16"/>
      <c r="F524" s="206"/>
      <c r="G524" s="203"/>
      <c r="H524" s="245"/>
      <c r="I524" s="253"/>
      <c r="J524" s="16"/>
      <c r="K524" s="1701"/>
      <c r="L524" s="2253"/>
      <c r="N524" s="220"/>
    </row>
    <row r="525" spans="1:14" ht="13.8">
      <c r="A525" s="197"/>
      <c r="B525" s="198"/>
      <c r="C525" s="136" t="s">
        <v>1362</v>
      </c>
      <c r="D525" s="285"/>
      <c r="E525" s="236"/>
      <c r="F525" s="210"/>
      <c r="G525" s="1701"/>
      <c r="H525" s="242"/>
      <c r="I525" s="258"/>
      <c r="J525" s="236"/>
      <c r="K525" s="1701"/>
      <c r="L525" s="2253"/>
      <c r="N525" s="220"/>
    </row>
    <row r="526" spans="1:14" ht="13.8">
      <c r="A526" s="197"/>
      <c r="B526" s="198"/>
      <c r="C526" s="136"/>
      <c r="D526" s="285"/>
      <c r="E526" s="236"/>
      <c r="F526" s="210"/>
      <c r="G526" s="1701"/>
      <c r="H526" s="242"/>
      <c r="I526" s="258"/>
      <c r="J526" s="236"/>
      <c r="K526" s="1701"/>
      <c r="L526" s="2253"/>
      <c r="N526" s="220"/>
    </row>
    <row r="527" spans="1:14" ht="13.8">
      <c r="A527" s="197"/>
      <c r="B527" s="199"/>
      <c r="C527" s="137" t="s">
        <v>1425</v>
      </c>
      <c r="D527" s="285"/>
      <c r="E527" s="138"/>
      <c r="F527" s="210"/>
      <c r="G527" s="1701"/>
      <c r="H527" s="242"/>
      <c r="I527" s="258"/>
      <c r="J527" s="138"/>
      <c r="K527" s="1701"/>
      <c r="L527" s="2253"/>
      <c r="N527" s="220"/>
    </row>
    <row r="528" spans="1:14" ht="13.8">
      <c r="A528" s="200">
        <v>10.27</v>
      </c>
      <c r="B528" s="201"/>
      <c r="C528" s="135" t="s">
        <v>1426</v>
      </c>
      <c r="D528" s="285"/>
      <c r="E528" s="138"/>
      <c r="F528" s="210"/>
      <c r="G528" s="1701"/>
      <c r="H528" s="242"/>
      <c r="I528" s="258"/>
      <c r="J528" s="138"/>
      <c r="K528" s="1701"/>
      <c r="L528" s="2253"/>
      <c r="N528" s="220"/>
    </row>
    <row r="529" spans="1:14" ht="13.8">
      <c r="A529" s="144"/>
      <c r="B529" s="143"/>
      <c r="C529" s="134"/>
      <c r="D529" s="285"/>
      <c r="E529" s="138"/>
      <c r="F529" s="210"/>
      <c r="G529" s="1701"/>
      <c r="H529" s="242"/>
      <c r="I529" s="258"/>
      <c r="J529" s="138"/>
      <c r="K529" s="1701"/>
      <c r="L529" s="2253"/>
      <c r="N529" s="220"/>
    </row>
    <row r="530" spans="1:14" ht="13.8">
      <c r="A530" s="197" t="s">
        <v>1427</v>
      </c>
      <c r="B530" s="202" t="s">
        <v>1319</v>
      </c>
      <c r="C530" s="71" t="s">
        <v>1320</v>
      </c>
      <c r="D530" s="141" t="s">
        <v>561</v>
      </c>
      <c r="E530" s="106">
        <v>300</v>
      </c>
      <c r="F530" s="210">
        <v>103.5</v>
      </c>
      <c r="G530" s="2269">
        <f t="shared" ref="G530:G562" si="161">F530*E530</f>
        <v>31050</v>
      </c>
      <c r="H530" s="241"/>
      <c r="I530" s="255" t="s">
        <v>561</v>
      </c>
      <c r="J530" s="106">
        <v>0</v>
      </c>
      <c r="K530" s="2270">
        <f t="shared" ref="K530:K562" si="162">F530</f>
        <v>103.5</v>
      </c>
      <c r="L530" s="251">
        <f t="shared" ref="L530:L562" si="163">K530*J530</f>
        <v>0</v>
      </c>
      <c r="N530" s="220">
        <f t="shared" si="150"/>
        <v>31050</v>
      </c>
    </row>
    <row r="531" spans="1:14" ht="13.8">
      <c r="A531" s="145"/>
      <c r="B531" s="143"/>
      <c r="C531" s="71"/>
      <c r="D531" s="141"/>
      <c r="E531" s="106"/>
      <c r="F531" s="210"/>
      <c r="G531" s="1701"/>
      <c r="H531" s="242"/>
      <c r="I531" s="255"/>
      <c r="J531" s="106"/>
      <c r="K531" s="1701"/>
      <c r="L531" s="2253"/>
      <c r="N531" s="220">
        <f t="shared" si="150"/>
        <v>0</v>
      </c>
    </row>
    <row r="532" spans="1:14" ht="13.8">
      <c r="A532" s="197" t="s">
        <v>1428</v>
      </c>
      <c r="B532" s="202" t="s">
        <v>1319</v>
      </c>
      <c r="C532" s="71" t="s">
        <v>1322</v>
      </c>
      <c r="D532" s="141" t="s">
        <v>561</v>
      </c>
      <c r="E532" s="106">
        <v>140</v>
      </c>
      <c r="F532" s="210">
        <v>96.1</v>
      </c>
      <c r="G532" s="2269">
        <f t="shared" si="161"/>
        <v>13454</v>
      </c>
      <c r="H532" s="241"/>
      <c r="I532" s="255" t="s">
        <v>561</v>
      </c>
      <c r="J532" s="106">
        <v>220</v>
      </c>
      <c r="K532" s="2270">
        <f t="shared" si="162"/>
        <v>96.1</v>
      </c>
      <c r="L532" s="251">
        <f t="shared" si="163"/>
        <v>21142</v>
      </c>
      <c r="N532" s="220">
        <f t="shared" si="150"/>
        <v>-7688</v>
      </c>
    </row>
    <row r="533" spans="1:14" ht="13.8">
      <c r="A533" s="145"/>
      <c r="B533" s="143"/>
      <c r="C533" s="71"/>
      <c r="D533" s="141"/>
      <c r="E533" s="106"/>
      <c r="F533" s="210"/>
      <c r="G533" s="1701"/>
      <c r="H533" s="242"/>
      <c r="I533" s="255"/>
      <c r="J533" s="106"/>
      <c r="K533" s="1701"/>
      <c r="L533" s="2253"/>
      <c r="N533" s="220">
        <f t="shared" si="150"/>
        <v>0</v>
      </c>
    </row>
    <row r="534" spans="1:14" ht="13.8">
      <c r="A534" s="197" t="s">
        <v>1429</v>
      </c>
      <c r="B534" s="202" t="s">
        <v>1319</v>
      </c>
      <c r="C534" s="71" t="s">
        <v>1324</v>
      </c>
      <c r="D534" s="141" t="s">
        <v>561</v>
      </c>
      <c r="E534" s="106">
        <v>200</v>
      </c>
      <c r="F534" s="210">
        <v>70.3</v>
      </c>
      <c r="G534" s="2269">
        <f t="shared" si="161"/>
        <v>14060</v>
      </c>
      <c r="H534" s="241"/>
      <c r="I534" s="255" t="s">
        <v>561</v>
      </c>
      <c r="J534" s="106">
        <v>167</v>
      </c>
      <c r="K534" s="2270">
        <f t="shared" si="162"/>
        <v>70.3</v>
      </c>
      <c r="L534" s="251">
        <f t="shared" si="163"/>
        <v>11740.1</v>
      </c>
      <c r="N534" s="220">
        <f t="shared" si="150"/>
        <v>2319.8999999999996</v>
      </c>
    </row>
    <row r="535" spans="1:14" ht="13.8">
      <c r="A535" s="197"/>
      <c r="B535" s="202"/>
      <c r="C535" s="71"/>
      <c r="D535" s="141"/>
      <c r="E535" s="106"/>
      <c r="F535" s="210"/>
      <c r="G535" s="2269"/>
      <c r="H535" s="241"/>
      <c r="I535" s="255"/>
      <c r="J535" s="106"/>
      <c r="K535" s="2270"/>
      <c r="L535" s="251"/>
      <c r="N535" s="220"/>
    </row>
    <row r="536" spans="1:14" ht="13.8">
      <c r="A536" s="105"/>
      <c r="B536" s="191"/>
      <c r="C536" s="237" t="s">
        <v>1325</v>
      </c>
      <c r="D536" s="141" t="s">
        <v>561</v>
      </c>
      <c r="E536" s="106">
        <v>0</v>
      </c>
      <c r="F536" s="210">
        <v>0</v>
      </c>
      <c r="G536" s="2269">
        <f t="shared" si="161"/>
        <v>0</v>
      </c>
      <c r="H536" s="241"/>
      <c r="I536" s="255" t="s">
        <v>561</v>
      </c>
      <c r="J536" s="238">
        <v>90</v>
      </c>
      <c r="K536" s="2291">
        <v>175.18</v>
      </c>
      <c r="L536" s="251">
        <f t="shared" si="163"/>
        <v>15766.2</v>
      </c>
      <c r="N536" s="220">
        <f t="shared" si="150"/>
        <v>-15766.2</v>
      </c>
    </row>
    <row r="537" spans="1:14" ht="13.8">
      <c r="A537" s="105"/>
      <c r="B537" s="191"/>
      <c r="C537" s="71"/>
      <c r="D537" s="141"/>
      <c r="E537" s="106"/>
      <c r="F537" s="210"/>
      <c r="G537" s="2269"/>
      <c r="H537" s="241"/>
      <c r="I537" s="255"/>
      <c r="J537" s="106"/>
      <c r="K537" s="2270"/>
      <c r="L537" s="251"/>
      <c r="N537" s="220"/>
    </row>
    <row r="538" spans="1:14" ht="13.8">
      <c r="A538" s="105"/>
      <c r="B538" s="191"/>
      <c r="C538" s="237" t="s">
        <v>1326</v>
      </c>
      <c r="D538" s="141" t="s">
        <v>561</v>
      </c>
      <c r="E538" s="106">
        <v>0</v>
      </c>
      <c r="F538" s="210">
        <v>0</v>
      </c>
      <c r="G538" s="2269">
        <f t="shared" ref="G538" si="164">F538*E538</f>
        <v>0</v>
      </c>
      <c r="H538" s="241"/>
      <c r="I538" s="255" t="s">
        <v>561</v>
      </c>
      <c r="J538" s="238">
        <v>10</v>
      </c>
      <c r="K538" s="2291">
        <v>104.39</v>
      </c>
      <c r="L538" s="251">
        <f t="shared" ref="L538" si="165">K538*J538</f>
        <v>1043.9000000000001</v>
      </c>
      <c r="N538" s="220">
        <f t="shared" ref="N538" si="166">G538-L538</f>
        <v>-1043.9000000000001</v>
      </c>
    </row>
    <row r="539" spans="1:14" ht="13.8">
      <c r="A539" s="145"/>
      <c r="B539" s="143"/>
      <c r="C539" s="100"/>
      <c r="D539" s="284"/>
      <c r="E539" s="106"/>
      <c r="F539" s="210"/>
      <c r="G539" s="1701"/>
      <c r="H539" s="242"/>
      <c r="I539" s="259"/>
      <c r="J539" s="106"/>
      <c r="K539" s="1701"/>
      <c r="L539" s="2253"/>
      <c r="N539" s="220"/>
    </row>
    <row r="540" spans="1:14" ht="13.8">
      <c r="A540" s="197" t="s">
        <v>1430</v>
      </c>
      <c r="B540" s="202" t="s">
        <v>1319</v>
      </c>
      <c r="C540" s="71" t="s">
        <v>1328</v>
      </c>
      <c r="D540" s="141" t="s">
        <v>561</v>
      </c>
      <c r="E540" s="106">
        <v>60</v>
      </c>
      <c r="F540" s="210">
        <v>29.5</v>
      </c>
      <c r="G540" s="2269">
        <f t="shared" si="161"/>
        <v>1770</v>
      </c>
      <c r="H540" s="241"/>
      <c r="I540" s="255" t="s">
        <v>561</v>
      </c>
      <c r="J540" s="106">
        <v>60</v>
      </c>
      <c r="K540" s="2270">
        <f t="shared" si="162"/>
        <v>29.5</v>
      </c>
      <c r="L540" s="251">
        <f t="shared" si="163"/>
        <v>1770</v>
      </c>
      <c r="N540" s="220">
        <f t="shared" ref="N540:N600" si="167">G540-L540</f>
        <v>0</v>
      </c>
    </row>
    <row r="541" spans="1:14" ht="13.8">
      <c r="A541" s="145"/>
      <c r="B541" s="143"/>
      <c r="C541" s="101"/>
      <c r="D541" s="284"/>
      <c r="E541" s="106"/>
      <c r="F541" s="210"/>
      <c r="G541" s="1701"/>
      <c r="H541" s="242"/>
      <c r="I541" s="259"/>
      <c r="J541" s="106"/>
      <c r="K541" s="1701"/>
      <c r="L541" s="2253"/>
      <c r="N541" s="220">
        <f t="shared" si="167"/>
        <v>0</v>
      </c>
    </row>
    <row r="542" spans="1:14" ht="13.8">
      <c r="A542" s="197" t="s">
        <v>1431</v>
      </c>
      <c r="B542" s="202" t="s">
        <v>1319</v>
      </c>
      <c r="C542" s="71" t="s">
        <v>1330</v>
      </c>
      <c r="D542" s="141" t="s">
        <v>561</v>
      </c>
      <c r="E542" s="106">
        <v>675</v>
      </c>
      <c r="F542" s="210">
        <v>22.2</v>
      </c>
      <c r="G542" s="2269">
        <f t="shared" si="161"/>
        <v>14985</v>
      </c>
      <c r="H542" s="241"/>
      <c r="I542" s="255" t="s">
        <v>561</v>
      </c>
      <c r="J542" s="106">
        <v>675</v>
      </c>
      <c r="K542" s="2270">
        <f t="shared" si="162"/>
        <v>22.2</v>
      </c>
      <c r="L542" s="251">
        <f t="shared" si="163"/>
        <v>14985</v>
      </c>
      <c r="N542" s="220">
        <f t="shared" si="167"/>
        <v>0</v>
      </c>
    </row>
    <row r="543" spans="1:14" ht="13.8">
      <c r="A543" s="145"/>
      <c r="B543" s="201"/>
      <c r="C543" s="103"/>
      <c r="D543" s="284"/>
      <c r="E543" s="106"/>
      <c r="F543" s="210"/>
      <c r="G543" s="1701"/>
      <c r="H543" s="242"/>
      <c r="I543" s="259"/>
      <c r="J543" s="106"/>
      <c r="K543" s="1701"/>
      <c r="L543" s="2253"/>
      <c r="N543" s="220">
        <f t="shared" si="167"/>
        <v>0</v>
      </c>
    </row>
    <row r="544" spans="1:14" ht="13.8">
      <c r="A544" s="197" t="s">
        <v>1432</v>
      </c>
      <c r="B544" s="202" t="s">
        <v>1319</v>
      </c>
      <c r="C544" s="71" t="s">
        <v>1332</v>
      </c>
      <c r="D544" s="141" t="s">
        <v>561</v>
      </c>
      <c r="E544" s="106">
        <v>600</v>
      </c>
      <c r="F544" s="210">
        <v>18.8</v>
      </c>
      <c r="G544" s="2269">
        <f t="shared" si="161"/>
        <v>11280</v>
      </c>
      <c r="H544" s="241"/>
      <c r="I544" s="255" t="s">
        <v>561</v>
      </c>
      <c r="J544" s="106">
        <v>600</v>
      </c>
      <c r="K544" s="2270">
        <f t="shared" si="162"/>
        <v>18.8</v>
      </c>
      <c r="L544" s="251">
        <f t="shared" si="163"/>
        <v>11280</v>
      </c>
      <c r="N544" s="220">
        <f t="shared" si="167"/>
        <v>0</v>
      </c>
    </row>
    <row r="545" spans="1:14" ht="13.8">
      <c r="A545" s="145"/>
      <c r="B545" s="143"/>
      <c r="C545" s="100"/>
      <c r="D545" s="141"/>
      <c r="E545" s="106"/>
      <c r="F545" s="210"/>
      <c r="G545" s="1701"/>
      <c r="H545" s="242"/>
      <c r="I545" s="255"/>
      <c r="J545" s="106"/>
      <c r="K545" s="1701"/>
      <c r="L545" s="2253"/>
      <c r="N545" s="220">
        <f t="shared" si="167"/>
        <v>0</v>
      </c>
    </row>
    <row r="546" spans="1:14" ht="13.8">
      <c r="A546" s="197" t="s">
        <v>1433</v>
      </c>
      <c r="B546" s="202" t="s">
        <v>1319</v>
      </c>
      <c r="C546" s="71" t="s">
        <v>1334</v>
      </c>
      <c r="D546" s="141" t="s">
        <v>561</v>
      </c>
      <c r="E546" s="106">
        <v>220</v>
      </c>
      <c r="F546" s="210">
        <v>28.5</v>
      </c>
      <c r="G546" s="2269">
        <f t="shared" si="161"/>
        <v>6270</v>
      </c>
      <c r="H546" s="241"/>
      <c r="I546" s="255" t="s">
        <v>561</v>
      </c>
      <c r="J546" s="106">
        <v>220</v>
      </c>
      <c r="K546" s="2270">
        <f t="shared" si="162"/>
        <v>28.5</v>
      </c>
      <c r="L546" s="251">
        <f t="shared" si="163"/>
        <v>6270</v>
      </c>
      <c r="N546" s="220">
        <f t="shared" si="167"/>
        <v>0</v>
      </c>
    </row>
    <row r="547" spans="1:14" ht="13.8">
      <c r="A547" s="145"/>
      <c r="B547" s="202"/>
      <c r="C547" s="100"/>
      <c r="D547" s="284"/>
      <c r="E547" s="106"/>
      <c r="F547" s="210"/>
      <c r="G547" s="1701"/>
      <c r="H547" s="242"/>
      <c r="I547" s="259"/>
      <c r="J547" s="106"/>
      <c r="K547" s="1701"/>
      <c r="L547" s="2253"/>
      <c r="N547" s="220">
        <f t="shared" si="167"/>
        <v>0</v>
      </c>
    </row>
    <row r="548" spans="1:14" ht="13.8">
      <c r="A548" s="197" t="s">
        <v>1434</v>
      </c>
      <c r="B548" s="202" t="s">
        <v>1319</v>
      </c>
      <c r="C548" s="71" t="s">
        <v>1336</v>
      </c>
      <c r="D548" s="141" t="s">
        <v>561</v>
      </c>
      <c r="E548" s="106">
        <v>465</v>
      </c>
      <c r="F548" s="210">
        <v>32.5</v>
      </c>
      <c r="G548" s="2269">
        <f t="shared" si="161"/>
        <v>15112.5</v>
      </c>
      <c r="H548" s="241"/>
      <c r="I548" s="255" t="s">
        <v>561</v>
      </c>
      <c r="J548" s="106">
        <v>465</v>
      </c>
      <c r="K548" s="2270">
        <f t="shared" si="162"/>
        <v>32.5</v>
      </c>
      <c r="L548" s="251">
        <f t="shared" si="163"/>
        <v>15112.5</v>
      </c>
      <c r="N548" s="220">
        <f t="shared" si="167"/>
        <v>0</v>
      </c>
    </row>
    <row r="549" spans="1:14" ht="13.8">
      <c r="A549" s="145"/>
      <c r="B549" s="202"/>
      <c r="C549" s="71"/>
      <c r="D549" s="141"/>
      <c r="E549" s="106"/>
      <c r="F549" s="210"/>
      <c r="G549" s="1701"/>
      <c r="H549" s="242"/>
      <c r="I549" s="255"/>
      <c r="J549" s="106"/>
      <c r="K549" s="1701"/>
      <c r="L549" s="2253"/>
      <c r="N549" s="220">
        <f t="shared" si="167"/>
        <v>0</v>
      </c>
    </row>
    <row r="550" spans="1:14" ht="13.8">
      <c r="A550" s="197" t="s">
        <v>1435</v>
      </c>
      <c r="B550" s="202" t="s">
        <v>1319</v>
      </c>
      <c r="C550" s="71" t="s">
        <v>1338</v>
      </c>
      <c r="D550" s="141" t="s">
        <v>561</v>
      </c>
      <c r="E550" s="106">
        <v>1185</v>
      </c>
      <c r="F550" s="210">
        <v>7.6</v>
      </c>
      <c r="G550" s="2269">
        <f t="shared" si="161"/>
        <v>9006</v>
      </c>
      <c r="H550" s="241"/>
      <c r="I550" s="255" t="s">
        <v>561</v>
      </c>
      <c r="J550" s="106">
        <v>1185</v>
      </c>
      <c r="K550" s="2270">
        <f t="shared" si="162"/>
        <v>7.6</v>
      </c>
      <c r="L550" s="251">
        <f t="shared" si="163"/>
        <v>9006</v>
      </c>
      <c r="N550" s="220">
        <f t="shared" si="167"/>
        <v>0</v>
      </c>
    </row>
    <row r="551" spans="1:14" ht="13.8">
      <c r="A551" s="197"/>
      <c r="B551" s="202"/>
      <c r="C551" s="71"/>
      <c r="D551" s="141"/>
      <c r="E551" s="106"/>
      <c r="F551" s="210"/>
      <c r="G551" s="1701"/>
      <c r="H551" s="242"/>
      <c r="I551" s="255"/>
      <c r="J551" s="106"/>
      <c r="K551" s="1701"/>
      <c r="L551" s="2253"/>
      <c r="N551" s="220">
        <f t="shared" si="167"/>
        <v>0</v>
      </c>
    </row>
    <row r="552" spans="1:14" ht="13.8">
      <c r="A552" s="197" t="s">
        <v>1436</v>
      </c>
      <c r="B552" s="191" t="s">
        <v>1319</v>
      </c>
      <c r="C552" s="71" t="s">
        <v>1340</v>
      </c>
      <c r="D552" s="141" t="s">
        <v>561</v>
      </c>
      <c r="E552" s="106">
        <v>60</v>
      </c>
      <c r="F552" s="210">
        <v>11.9</v>
      </c>
      <c r="G552" s="2269">
        <f t="shared" si="161"/>
        <v>714</v>
      </c>
      <c r="H552" s="241"/>
      <c r="I552" s="255" t="s">
        <v>561</v>
      </c>
      <c r="J552" s="106">
        <v>60</v>
      </c>
      <c r="K552" s="2270">
        <f t="shared" si="162"/>
        <v>11.9</v>
      </c>
      <c r="L552" s="251">
        <f t="shared" si="163"/>
        <v>714</v>
      </c>
      <c r="N552" s="220">
        <f t="shared" si="167"/>
        <v>0</v>
      </c>
    </row>
    <row r="553" spans="1:14" ht="13.8">
      <c r="A553" s="105"/>
      <c r="B553" s="191"/>
      <c r="C553" s="71"/>
      <c r="D553" s="141"/>
      <c r="E553" s="106"/>
      <c r="F553" s="210"/>
      <c r="G553" s="2269"/>
      <c r="H553" s="241"/>
      <c r="I553" s="255"/>
      <c r="J553" s="106"/>
      <c r="K553" s="2270"/>
      <c r="L553" s="251"/>
      <c r="N553" s="220"/>
    </row>
    <row r="554" spans="1:14" ht="13.8">
      <c r="A554" s="105"/>
      <c r="B554" s="191"/>
      <c r="C554" s="237" t="s">
        <v>1341</v>
      </c>
      <c r="D554" s="141" t="s">
        <v>561</v>
      </c>
      <c r="E554" s="106"/>
      <c r="F554" s="210">
        <v>0</v>
      </c>
      <c r="G554" s="2269">
        <f t="shared" ref="G554" si="168">F554*E554</f>
        <v>0</v>
      </c>
      <c r="H554" s="241"/>
      <c r="I554" s="255" t="s">
        <v>561</v>
      </c>
      <c r="J554" s="238">
        <v>20</v>
      </c>
      <c r="K554" s="2291">
        <v>23.6</v>
      </c>
      <c r="L554" s="251">
        <f t="shared" ref="L554" si="169">K554*J554</f>
        <v>472</v>
      </c>
      <c r="N554" s="220">
        <f t="shared" ref="N554" si="170">G554-L554</f>
        <v>-472</v>
      </c>
    </row>
    <row r="555" spans="1:14" ht="13.8">
      <c r="A555" s="105"/>
      <c r="B555" s="191"/>
      <c r="C555" s="71"/>
      <c r="D555" s="141"/>
      <c r="E555" s="106"/>
      <c r="F555" s="210"/>
      <c r="G555" s="2269"/>
      <c r="H555" s="241"/>
      <c r="I555" s="255"/>
      <c r="J555" s="106"/>
      <c r="K555" s="2270"/>
      <c r="L555" s="251"/>
      <c r="N555" s="220"/>
    </row>
    <row r="556" spans="1:14" ht="13.8">
      <c r="A556" s="105"/>
      <c r="B556" s="191"/>
      <c r="C556" s="237" t="s">
        <v>1342</v>
      </c>
      <c r="D556" s="141" t="s">
        <v>561</v>
      </c>
      <c r="E556" s="106"/>
      <c r="F556" s="210">
        <v>0</v>
      </c>
      <c r="G556" s="2269">
        <f t="shared" ref="G556" si="171">F556*E556</f>
        <v>0</v>
      </c>
      <c r="H556" s="241"/>
      <c r="I556" s="255" t="s">
        <v>561</v>
      </c>
      <c r="J556" s="238">
        <v>60</v>
      </c>
      <c r="K556" s="2291">
        <v>16.09</v>
      </c>
      <c r="L556" s="251">
        <f t="shared" ref="L556" si="172">K556*J556</f>
        <v>965.4</v>
      </c>
      <c r="N556" s="220">
        <f t="shared" ref="N556:N557" si="173">G556-L556</f>
        <v>-965.4</v>
      </c>
    </row>
    <row r="557" spans="1:14" ht="13.8">
      <c r="A557" s="105"/>
      <c r="B557" s="191"/>
      <c r="C557" s="71"/>
      <c r="D557" s="141"/>
      <c r="E557" s="106"/>
      <c r="F557" s="210"/>
      <c r="G557" s="1701"/>
      <c r="H557" s="242"/>
      <c r="I557" s="255"/>
      <c r="J557" s="106"/>
      <c r="K557" s="1701"/>
      <c r="L557" s="2253"/>
      <c r="N557" s="220">
        <f t="shared" si="173"/>
        <v>0</v>
      </c>
    </row>
    <row r="558" spans="1:14" ht="13.8">
      <c r="A558" s="197" t="s">
        <v>1437</v>
      </c>
      <c r="B558" s="191" t="s">
        <v>1319</v>
      </c>
      <c r="C558" s="71" t="s">
        <v>1344</v>
      </c>
      <c r="D558" s="141" t="s">
        <v>561</v>
      </c>
      <c r="E558" s="106">
        <v>200</v>
      </c>
      <c r="F558" s="210">
        <v>18.899999999999999</v>
      </c>
      <c r="G558" s="2269">
        <f t="shared" si="161"/>
        <v>3779.9999999999995</v>
      </c>
      <c r="H558" s="241"/>
      <c r="I558" s="255" t="s">
        <v>561</v>
      </c>
      <c r="J558" s="106">
        <v>200</v>
      </c>
      <c r="K558" s="2270">
        <f t="shared" si="162"/>
        <v>18.899999999999999</v>
      </c>
      <c r="L558" s="251">
        <f t="shared" si="163"/>
        <v>3779.9999999999995</v>
      </c>
      <c r="N558" s="220">
        <f t="shared" si="167"/>
        <v>0</v>
      </c>
    </row>
    <row r="559" spans="1:14" ht="13.8">
      <c r="A559" s="197"/>
      <c r="B559" s="191"/>
      <c r="C559" s="103"/>
      <c r="D559" s="284"/>
      <c r="E559" s="106"/>
      <c r="F559" s="210"/>
      <c r="G559" s="1701"/>
      <c r="H559" s="242"/>
      <c r="I559" s="259"/>
      <c r="J559" s="106"/>
      <c r="K559" s="1701"/>
      <c r="L559" s="2253"/>
      <c r="N559" s="220">
        <f t="shared" si="167"/>
        <v>0</v>
      </c>
    </row>
    <row r="560" spans="1:14" ht="13.8">
      <c r="A560" s="197" t="s">
        <v>1438</v>
      </c>
      <c r="B560" s="191" t="s">
        <v>1319</v>
      </c>
      <c r="C560" s="71" t="s">
        <v>1346</v>
      </c>
      <c r="D560" s="141" t="s">
        <v>561</v>
      </c>
      <c r="E560" s="106">
        <v>120</v>
      </c>
      <c r="F560" s="210">
        <v>21.3</v>
      </c>
      <c r="G560" s="2269">
        <f t="shared" si="161"/>
        <v>2556</v>
      </c>
      <c r="H560" s="241"/>
      <c r="I560" s="255" t="s">
        <v>561</v>
      </c>
      <c r="J560" s="106">
        <v>120</v>
      </c>
      <c r="K560" s="2270">
        <f t="shared" si="162"/>
        <v>21.3</v>
      </c>
      <c r="L560" s="251">
        <f t="shared" si="163"/>
        <v>2556</v>
      </c>
      <c r="N560" s="220">
        <f t="shared" si="167"/>
        <v>0</v>
      </c>
    </row>
    <row r="561" spans="1:14" ht="13.8">
      <c r="A561" s="197"/>
      <c r="B561" s="191"/>
      <c r="C561" s="103"/>
      <c r="D561" s="284"/>
      <c r="E561" s="106"/>
      <c r="F561" s="210"/>
      <c r="G561" s="1701"/>
      <c r="H561" s="242"/>
      <c r="I561" s="259"/>
      <c r="J561" s="106"/>
      <c r="K561" s="1701"/>
      <c r="L561" s="2253"/>
      <c r="N561" s="220">
        <f t="shared" si="167"/>
        <v>0</v>
      </c>
    </row>
    <row r="562" spans="1:14" ht="13.8">
      <c r="A562" s="197" t="s">
        <v>1439</v>
      </c>
      <c r="B562" s="191" t="s">
        <v>1319</v>
      </c>
      <c r="C562" s="71" t="s">
        <v>1348</v>
      </c>
      <c r="D562" s="141" t="s">
        <v>561</v>
      </c>
      <c r="E562" s="106">
        <v>300</v>
      </c>
      <c r="F562" s="210">
        <v>28.5</v>
      </c>
      <c r="G562" s="2269">
        <f t="shared" si="161"/>
        <v>8550</v>
      </c>
      <c r="H562" s="241"/>
      <c r="I562" s="255" t="s">
        <v>561</v>
      </c>
      <c r="J562" s="106">
        <v>300</v>
      </c>
      <c r="K562" s="2270">
        <f t="shared" si="162"/>
        <v>28.5</v>
      </c>
      <c r="L562" s="251">
        <f t="shared" si="163"/>
        <v>8550</v>
      </c>
      <c r="N562" s="220">
        <f t="shared" si="167"/>
        <v>0</v>
      </c>
    </row>
    <row r="563" spans="1:14" ht="13.8">
      <c r="A563" s="197"/>
      <c r="B563" s="143"/>
      <c r="C563" s="134"/>
      <c r="D563" s="285"/>
      <c r="E563" s="138"/>
      <c r="F563" s="210"/>
      <c r="G563" s="1701"/>
      <c r="H563" s="242"/>
      <c r="I563" s="258"/>
      <c r="J563" s="138"/>
      <c r="K563" s="1701"/>
      <c r="L563" s="2253"/>
      <c r="N563" s="220"/>
    </row>
    <row r="564" spans="1:14" ht="13.8">
      <c r="A564" s="197"/>
      <c r="B564" s="143"/>
      <c r="C564" s="137" t="s">
        <v>1316</v>
      </c>
      <c r="D564" s="141"/>
      <c r="E564" s="2295"/>
      <c r="F564" s="210"/>
      <c r="G564" s="1701"/>
      <c r="H564" s="242"/>
      <c r="I564" s="255"/>
      <c r="J564" s="2295"/>
      <c r="K564" s="1701"/>
      <c r="L564" s="2253"/>
      <c r="N564" s="220"/>
    </row>
    <row r="565" spans="1:14" ht="13.8">
      <c r="A565" s="200">
        <v>10.28</v>
      </c>
      <c r="B565" s="143"/>
      <c r="C565" s="135" t="s">
        <v>1440</v>
      </c>
      <c r="D565" s="141"/>
      <c r="E565" s="2295"/>
      <c r="F565" s="210"/>
      <c r="G565" s="1701"/>
      <c r="H565" s="242"/>
      <c r="I565" s="255"/>
      <c r="J565" s="2295"/>
      <c r="K565" s="1701"/>
      <c r="L565" s="2253"/>
      <c r="N565" s="220"/>
    </row>
    <row r="566" spans="1:14" ht="13.8">
      <c r="A566" s="197"/>
      <c r="B566" s="143"/>
      <c r="C566" s="71"/>
      <c r="D566" s="141"/>
      <c r="E566" s="2295"/>
      <c r="F566" s="210"/>
      <c r="G566" s="1701"/>
      <c r="H566" s="242"/>
      <c r="I566" s="255"/>
      <c r="J566" s="2295"/>
      <c r="K566" s="1701"/>
      <c r="L566" s="2253"/>
      <c r="N566" s="220"/>
    </row>
    <row r="567" spans="1:14" ht="13.8">
      <c r="A567" s="197"/>
      <c r="B567" s="143"/>
      <c r="C567" s="71"/>
      <c r="D567" s="141"/>
      <c r="E567" s="138"/>
      <c r="F567" s="210"/>
      <c r="G567" s="1701"/>
      <c r="H567" s="242"/>
      <c r="I567" s="255"/>
      <c r="J567" s="138"/>
      <c r="K567" s="1701"/>
      <c r="L567" s="2253"/>
      <c r="N567" s="220"/>
    </row>
    <row r="568" spans="1:14" ht="13.8">
      <c r="A568" s="197" t="s">
        <v>1441</v>
      </c>
      <c r="B568" s="202" t="s">
        <v>1319</v>
      </c>
      <c r="C568" s="71" t="s">
        <v>1320</v>
      </c>
      <c r="D568" s="141" t="s">
        <v>1442</v>
      </c>
      <c r="E568" s="138">
        <v>4</v>
      </c>
      <c r="F568" s="210">
        <v>1092</v>
      </c>
      <c r="G568" s="2269">
        <f t="shared" ref="G568:G600" si="174">F568*E568</f>
        <v>4368</v>
      </c>
      <c r="H568" s="241"/>
      <c r="I568" s="255" t="s">
        <v>1442</v>
      </c>
      <c r="J568" s="138">
        <v>0</v>
      </c>
      <c r="K568" s="2270">
        <f t="shared" ref="K568:K600" si="175">F568</f>
        <v>1092</v>
      </c>
      <c r="L568" s="251">
        <f t="shared" ref="L568:L600" si="176">K568*J568</f>
        <v>0</v>
      </c>
      <c r="N568" s="220">
        <f t="shared" si="167"/>
        <v>4368</v>
      </c>
    </row>
    <row r="569" spans="1:14" ht="13.8">
      <c r="A569" s="197"/>
      <c r="B569" s="143"/>
      <c r="C569" s="71"/>
      <c r="D569" s="141"/>
      <c r="E569" s="138"/>
      <c r="F569" s="210"/>
      <c r="G569" s="1701"/>
      <c r="H569" s="242"/>
      <c r="I569" s="255"/>
      <c r="J569" s="138"/>
      <c r="K569" s="1701"/>
      <c r="L569" s="2253"/>
      <c r="N569" s="220">
        <f t="shared" si="167"/>
        <v>0</v>
      </c>
    </row>
    <row r="570" spans="1:14" ht="13.8">
      <c r="A570" s="197" t="s">
        <v>1443</v>
      </c>
      <c r="B570" s="202" t="s">
        <v>1319</v>
      </c>
      <c r="C570" s="71" t="s">
        <v>1322</v>
      </c>
      <c r="D570" s="141" t="s">
        <v>1442</v>
      </c>
      <c r="E570" s="138">
        <v>16</v>
      </c>
      <c r="F570" s="210">
        <v>1055</v>
      </c>
      <c r="G570" s="2269">
        <f t="shared" si="174"/>
        <v>16880</v>
      </c>
      <c r="H570" s="241"/>
      <c r="I570" s="255" t="s">
        <v>1442</v>
      </c>
      <c r="J570" s="138">
        <v>16</v>
      </c>
      <c r="K570" s="2270">
        <f t="shared" si="175"/>
        <v>1055</v>
      </c>
      <c r="L570" s="251">
        <f t="shared" si="176"/>
        <v>16880</v>
      </c>
      <c r="N570" s="220">
        <f t="shared" si="167"/>
        <v>0</v>
      </c>
    </row>
    <row r="571" spans="1:14" ht="13.8">
      <c r="A571" s="197"/>
      <c r="B571" s="143"/>
      <c r="C571" s="71"/>
      <c r="D571" s="285"/>
      <c r="E571" s="138"/>
      <c r="F571" s="210"/>
      <c r="G571" s="1701"/>
      <c r="H571" s="242"/>
      <c r="I571" s="258"/>
      <c r="J571" s="138"/>
      <c r="K571" s="1701"/>
      <c r="L571" s="2253"/>
      <c r="N571" s="220">
        <f t="shared" si="167"/>
        <v>0</v>
      </c>
    </row>
    <row r="572" spans="1:14" ht="13.8">
      <c r="A572" s="197" t="s">
        <v>1444</v>
      </c>
      <c r="B572" s="202" t="s">
        <v>1319</v>
      </c>
      <c r="C572" s="71" t="s">
        <v>1324</v>
      </c>
      <c r="D572" s="141" t="s">
        <v>1442</v>
      </c>
      <c r="E572" s="138">
        <v>2</v>
      </c>
      <c r="F572" s="210">
        <v>626</v>
      </c>
      <c r="G572" s="2269">
        <f t="shared" si="174"/>
        <v>1252</v>
      </c>
      <c r="H572" s="241"/>
      <c r="I572" s="255" t="s">
        <v>1442</v>
      </c>
      <c r="J572" s="138">
        <v>2</v>
      </c>
      <c r="K572" s="2270">
        <f t="shared" si="175"/>
        <v>626</v>
      </c>
      <c r="L572" s="251">
        <f t="shared" si="176"/>
        <v>1252</v>
      </c>
      <c r="N572" s="220">
        <f t="shared" si="167"/>
        <v>0</v>
      </c>
    </row>
    <row r="573" spans="1:14" ht="13.8">
      <c r="A573" s="197"/>
      <c r="B573" s="202"/>
      <c r="C573" s="71"/>
      <c r="D573" s="285"/>
      <c r="E573" s="106"/>
      <c r="F573" s="210"/>
      <c r="G573" s="2269"/>
      <c r="H573" s="241"/>
      <c r="I573" s="255"/>
      <c r="J573" s="106"/>
      <c r="K573" s="2270"/>
      <c r="L573" s="251"/>
      <c r="N573" s="220"/>
    </row>
    <row r="574" spans="1:14" ht="13.8">
      <c r="A574" s="105"/>
      <c r="B574" s="191"/>
      <c r="C574" s="237" t="s">
        <v>1325</v>
      </c>
      <c r="D574" s="141" t="s">
        <v>1442</v>
      </c>
      <c r="E574" s="106">
        <v>0</v>
      </c>
      <c r="F574" s="210">
        <v>0</v>
      </c>
      <c r="G574" s="2269">
        <f t="shared" ref="G574" si="177">F574*E574</f>
        <v>0</v>
      </c>
      <c r="H574" s="241"/>
      <c r="I574" s="255" t="s">
        <v>561</v>
      </c>
      <c r="J574" s="238"/>
      <c r="K574" s="2291"/>
      <c r="L574" s="251">
        <f t="shared" ref="L574" si="178">K574*J574</f>
        <v>0</v>
      </c>
      <c r="N574" s="220">
        <f t="shared" ref="N574" si="179">G574-L574</f>
        <v>0</v>
      </c>
    </row>
    <row r="575" spans="1:14" ht="13.8">
      <c r="A575" s="105"/>
      <c r="B575" s="191"/>
      <c r="C575" s="71"/>
      <c r="D575" s="285"/>
      <c r="E575" s="106"/>
      <c r="F575" s="210"/>
      <c r="G575" s="2269"/>
      <c r="H575" s="241"/>
      <c r="I575" s="255"/>
      <c r="J575" s="106"/>
      <c r="K575" s="2270"/>
      <c r="L575" s="251"/>
      <c r="N575" s="220"/>
    </row>
    <row r="576" spans="1:14" ht="13.8">
      <c r="A576" s="105"/>
      <c r="B576" s="191"/>
      <c r="C576" s="237" t="s">
        <v>1326</v>
      </c>
      <c r="D576" s="141" t="s">
        <v>1442</v>
      </c>
      <c r="E576" s="106">
        <v>0</v>
      </c>
      <c r="F576" s="210">
        <v>0</v>
      </c>
      <c r="G576" s="2269">
        <f t="shared" ref="G576" si="180">F576*E576</f>
        <v>0</v>
      </c>
      <c r="H576" s="241"/>
      <c r="I576" s="255" t="s">
        <v>561</v>
      </c>
      <c r="J576" s="238"/>
      <c r="K576" s="2291"/>
      <c r="L576" s="251">
        <f t="shared" ref="L576" si="181">K576*J576</f>
        <v>0</v>
      </c>
      <c r="N576" s="220">
        <f t="shared" ref="N576" si="182">G576-L576</f>
        <v>0</v>
      </c>
    </row>
    <row r="577" spans="1:14" ht="13.8">
      <c r="A577" s="197"/>
      <c r="B577" s="201"/>
      <c r="C577" s="100"/>
      <c r="D577" s="285"/>
      <c r="E577" s="138"/>
      <c r="F577" s="210"/>
      <c r="G577" s="1701"/>
      <c r="H577" s="242"/>
      <c r="I577" s="258"/>
      <c r="J577" s="138"/>
      <c r="K577" s="1701"/>
      <c r="L577" s="2253"/>
      <c r="N577" s="220">
        <f t="shared" si="167"/>
        <v>0</v>
      </c>
    </row>
    <row r="578" spans="1:14" ht="13.8">
      <c r="A578" s="197" t="s">
        <v>1445</v>
      </c>
      <c r="B578" s="202" t="s">
        <v>1319</v>
      </c>
      <c r="C578" s="71" t="s">
        <v>1328</v>
      </c>
      <c r="D578" s="141" t="s">
        <v>1442</v>
      </c>
      <c r="E578" s="138">
        <v>4</v>
      </c>
      <c r="F578" s="210">
        <v>342</v>
      </c>
      <c r="G578" s="2269">
        <f t="shared" si="174"/>
        <v>1368</v>
      </c>
      <c r="H578" s="241"/>
      <c r="I578" s="255" t="s">
        <v>1442</v>
      </c>
      <c r="J578" s="138">
        <v>4</v>
      </c>
      <c r="K578" s="2270">
        <f t="shared" si="175"/>
        <v>342</v>
      </c>
      <c r="L578" s="251">
        <f t="shared" si="176"/>
        <v>1368</v>
      </c>
      <c r="N578" s="220">
        <f t="shared" si="167"/>
        <v>0</v>
      </c>
    </row>
    <row r="579" spans="1:14" ht="13.8">
      <c r="A579" s="197"/>
      <c r="B579" s="202"/>
      <c r="C579" s="101"/>
      <c r="D579" s="285"/>
      <c r="E579" s="138"/>
      <c r="F579" s="210"/>
      <c r="G579" s="1701"/>
      <c r="H579" s="242"/>
      <c r="I579" s="258"/>
      <c r="J579" s="138"/>
      <c r="K579" s="1701"/>
      <c r="L579" s="2253"/>
      <c r="N579" s="220">
        <f t="shared" si="167"/>
        <v>0</v>
      </c>
    </row>
    <row r="580" spans="1:14" ht="13.8">
      <c r="A580" s="197" t="s">
        <v>1446</v>
      </c>
      <c r="B580" s="202" t="s">
        <v>1319</v>
      </c>
      <c r="C580" s="71" t="s">
        <v>1330</v>
      </c>
      <c r="D580" s="141" t="s">
        <v>1442</v>
      </c>
      <c r="E580" s="138">
        <v>40</v>
      </c>
      <c r="F580" s="210">
        <v>259</v>
      </c>
      <c r="G580" s="2269">
        <f t="shared" si="174"/>
        <v>10360</v>
      </c>
      <c r="H580" s="241"/>
      <c r="I580" s="255" t="s">
        <v>1442</v>
      </c>
      <c r="J580" s="138">
        <v>40</v>
      </c>
      <c r="K580" s="2270">
        <f t="shared" si="175"/>
        <v>259</v>
      </c>
      <c r="L580" s="251">
        <f t="shared" si="176"/>
        <v>10360</v>
      </c>
      <c r="N580" s="220">
        <f t="shared" si="167"/>
        <v>0</v>
      </c>
    </row>
    <row r="581" spans="1:14" ht="13.8">
      <c r="A581" s="197"/>
      <c r="B581" s="143"/>
      <c r="C581" s="103"/>
      <c r="D581" s="141"/>
      <c r="E581" s="138"/>
      <c r="F581" s="210"/>
      <c r="G581" s="1701"/>
      <c r="H581" s="242"/>
      <c r="I581" s="255"/>
      <c r="J581" s="138"/>
      <c r="K581" s="1701"/>
      <c r="L581" s="2253"/>
      <c r="N581" s="220">
        <f t="shared" si="167"/>
        <v>0</v>
      </c>
    </row>
    <row r="582" spans="1:14" ht="13.8">
      <c r="A582" s="197" t="s">
        <v>1447</v>
      </c>
      <c r="B582" s="202" t="s">
        <v>1319</v>
      </c>
      <c r="C582" s="71" t="s">
        <v>1332</v>
      </c>
      <c r="D582" s="141" t="s">
        <v>1442</v>
      </c>
      <c r="E582" s="138">
        <v>14</v>
      </c>
      <c r="F582" s="210">
        <v>256</v>
      </c>
      <c r="G582" s="2269">
        <f t="shared" si="174"/>
        <v>3584</v>
      </c>
      <c r="H582" s="241"/>
      <c r="I582" s="255" t="s">
        <v>1442</v>
      </c>
      <c r="J582" s="138">
        <v>14</v>
      </c>
      <c r="K582" s="2270">
        <f t="shared" si="175"/>
        <v>256</v>
      </c>
      <c r="L582" s="251">
        <f t="shared" si="176"/>
        <v>3584</v>
      </c>
      <c r="N582" s="220">
        <f t="shared" si="167"/>
        <v>0</v>
      </c>
    </row>
    <row r="583" spans="1:14" ht="13.8">
      <c r="A583" s="197"/>
      <c r="B583" s="143"/>
      <c r="C583" s="100"/>
      <c r="D583" s="141"/>
      <c r="E583" s="138"/>
      <c r="F583" s="210"/>
      <c r="G583" s="1701"/>
      <c r="H583" s="242"/>
      <c r="I583" s="255"/>
      <c r="J583" s="138"/>
      <c r="K583" s="1701"/>
      <c r="L583" s="2253"/>
      <c r="N583" s="220">
        <f t="shared" si="167"/>
        <v>0</v>
      </c>
    </row>
    <row r="584" spans="1:14" ht="13.8">
      <c r="A584" s="197" t="s">
        <v>1448</v>
      </c>
      <c r="B584" s="202" t="s">
        <v>1319</v>
      </c>
      <c r="C584" s="71" t="s">
        <v>1334</v>
      </c>
      <c r="D584" s="141" t="s">
        <v>1442</v>
      </c>
      <c r="E584" s="138">
        <v>12</v>
      </c>
      <c r="F584" s="210">
        <v>459</v>
      </c>
      <c r="G584" s="2269">
        <f t="shared" si="174"/>
        <v>5508</v>
      </c>
      <c r="H584" s="241"/>
      <c r="I584" s="255" t="s">
        <v>1442</v>
      </c>
      <c r="J584" s="138">
        <v>12</v>
      </c>
      <c r="K584" s="2270">
        <f t="shared" si="175"/>
        <v>459</v>
      </c>
      <c r="L584" s="251">
        <f t="shared" si="176"/>
        <v>5508</v>
      </c>
      <c r="N584" s="220">
        <f t="shared" si="167"/>
        <v>0</v>
      </c>
    </row>
    <row r="585" spans="1:14" ht="13.8">
      <c r="A585" s="197"/>
      <c r="B585" s="143"/>
      <c r="C585" s="100"/>
      <c r="D585" s="141"/>
      <c r="E585" s="2295"/>
      <c r="F585" s="210"/>
      <c r="G585" s="1701"/>
      <c r="H585" s="242"/>
      <c r="I585" s="255"/>
      <c r="J585" s="2295"/>
      <c r="K585" s="1701"/>
      <c r="L585" s="2253"/>
      <c r="N585" s="220">
        <f t="shared" si="167"/>
        <v>0</v>
      </c>
    </row>
    <row r="586" spans="1:14" ht="13.8">
      <c r="A586" s="197" t="s">
        <v>1449</v>
      </c>
      <c r="B586" s="202" t="s">
        <v>1319</v>
      </c>
      <c r="C586" s="71" t="s">
        <v>1336</v>
      </c>
      <c r="D586" s="141" t="s">
        <v>1442</v>
      </c>
      <c r="E586" s="138">
        <v>12</v>
      </c>
      <c r="F586" s="210">
        <v>610</v>
      </c>
      <c r="G586" s="2269">
        <f t="shared" si="174"/>
        <v>7320</v>
      </c>
      <c r="H586" s="241"/>
      <c r="I586" s="255" t="s">
        <v>1442</v>
      </c>
      <c r="J586" s="138">
        <v>12</v>
      </c>
      <c r="K586" s="2270">
        <f t="shared" si="175"/>
        <v>610</v>
      </c>
      <c r="L586" s="251">
        <f t="shared" si="176"/>
        <v>7320</v>
      </c>
      <c r="N586" s="220">
        <f t="shared" si="167"/>
        <v>0</v>
      </c>
    </row>
    <row r="587" spans="1:14" ht="13.8">
      <c r="A587" s="197"/>
      <c r="B587" s="202"/>
      <c r="C587" s="71"/>
      <c r="D587" s="141"/>
      <c r="E587" s="138"/>
      <c r="F587" s="210"/>
      <c r="G587" s="1701"/>
      <c r="H587" s="242"/>
      <c r="I587" s="255"/>
      <c r="J587" s="138"/>
      <c r="K587" s="1701"/>
      <c r="L587" s="2253"/>
      <c r="N587" s="220">
        <f t="shared" si="167"/>
        <v>0</v>
      </c>
    </row>
    <row r="588" spans="1:14" ht="13.8">
      <c r="A588" s="197" t="s">
        <v>1450</v>
      </c>
      <c r="B588" s="202" t="s">
        <v>1319</v>
      </c>
      <c r="C588" s="71" t="s">
        <v>1338</v>
      </c>
      <c r="D588" s="141" t="s">
        <v>1442</v>
      </c>
      <c r="E588" s="138">
        <v>34</v>
      </c>
      <c r="F588" s="210">
        <v>46</v>
      </c>
      <c r="G588" s="2269">
        <f t="shared" si="174"/>
        <v>1564</v>
      </c>
      <c r="H588" s="241"/>
      <c r="I588" s="255" t="s">
        <v>1442</v>
      </c>
      <c r="J588" s="138">
        <v>34</v>
      </c>
      <c r="K588" s="2270">
        <f t="shared" si="175"/>
        <v>46</v>
      </c>
      <c r="L588" s="251">
        <f t="shared" si="176"/>
        <v>1564</v>
      </c>
      <c r="N588" s="220">
        <f t="shared" si="167"/>
        <v>0</v>
      </c>
    </row>
    <row r="589" spans="1:14" ht="13.8">
      <c r="A589" s="197"/>
      <c r="B589" s="202"/>
      <c r="C589" s="71"/>
      <c r="D589" s="141"/>
      <c r="E589" s="138"/>
      <c r="F589" s="210"/>
      <c r="G589" s="1701"/>
      <c r="H589" s="242"/>
      <c r="I589" s="255"/>
      <c r="J589" s="138"/>
      <c r="K589" s="1701"/>
      <c r="L589" s="2253"/>
      <c r="N589" s="220">
        <f t="shared" si="167"/>
        <v>0</v>
      </c>
    </row>
    <row r="590" spans="1:14" ht="13.8">
      <c r="A590" s="197" t="s">
        <v>1451</v>
      </c>
      <c r="B590" s="202" t="s">
        <v>1319</v>
      </c>
      <c r="C590" s="71" t="s">
        <v>1340</v>
      </c>
      <c r="D590" s="141" t="s">
        <v>1442</v>
      </c>
      <c r="E590" s="138">
        <v>4</v>
      </c>
      <c r="F590" s="210">
        <v>55</v>
      </c>
      <c r="G590" s="2269">
        <f t="shared" si="174"/>
        <v>220</v>
      </c>
      <c r="H590" s="241"/>
      <c r="I590" s="255" t="s">
        <v>1442</v>
      </c>
      <c r="J590" s="138">
        <v>4</v>
      </c>
      <c r="K590" s="2270">
        <f t="shared" si="175"/>
        <v>55</v>
      </c>
      <c r="L590" s="251">
        <f t="shared" si="176"/>
        <v>220</v>
      </c>
      <c r="N590" s="220">
        <f t="shared" si="167"/>
        <v>0</v>
      </c>
    </row>
    <row r="591" spans="1:14" ht="13.8">
      <c r="A591" s="105"/>
      <c r="B591" s="191"/>
      <c r="C591" s="71"/>
      <c r="D591" s="141"/>
      <c r="E591" s="106"/>
      <c r="F591" s="210"/>
      <c r="G591" s="2269"/>
      <c r="H591" s="241"/>
      <c r="I591" s="255"/>
      <c r="J591" s="106"/>
      <c r="K591" s="2270"/>
      <c r="L591" s="251"/>
      <c r="N591" s="220"/>
    </row>
    <row r="592" spans="1:14" ht="13.8">
      <c r="A592" s="105"/>
      <c r="B592" s="191"/>
      <c r="C592" s="237" t="s">
        <v>1341</v>
      </c>
      <c r="D592" s="141" t="s">
        <v>1442</v>
      </c>
      <c r="E592" s="106"/>
      <c r="F592" s="210">
        <v>0</v>
      </c>
      <c r="G592" s="2269">
        <f t="shared" ref="G592" si="183">F592*E592</f>
        <v>0</v>
      </c>
      <c r="H592" s="241"/>
      <c r="I592" s="255" t="s">
        <v>561</v>
      </c>
      <c r="J592" s="238"/>
      <c r="K592" s="2291"/>
      <c r="L592" s="251">
        <f t="shared" ref="L592" si="184">K592*J592</f>
        <v>0</v>
      </c>
      <c r="N592" s="220">
        <f t="shared" ref="N592" si="185">G592-L592</f>
        <v>0</v>
      </c>
    </row>
    <row r="593" spans="1:14" ht="13.8">
      <c r="A593" s="105"/>
      <c r="B593" s="191"/>
      <c r="C593" s="71"/>
      <c r="D593" s="141"/>
      <c r="E593" s="106"/>
      <c r="F593" s="210"/>
      <c r="G593" s="2269"/>
      <c r="H593" s="241"/>
      <c r="I593" s="255"/>
      <c r="J593" s="106"/>
      <c r="K593" s="2270"/>
      <c r="L593" s="251"/>
      <c r="N593" s="220"/>
    </row>
    <row r="594" spans="1:14" ht="13.8">
      <c r="A594" s="105"/>
      <c r="B594" s="191"/>
      <c r="C594" s="237" t="s">
        <v>1342</v>
      </c>
      <c r="D594" s="141" t="s">
        <v>1442</v>
      </c>
      <c r="E594" s="106"/>
      <c r="F594" s="210">
        <v>0</v>
      </c>
      <c r="G594" s="2269">
        <f t="shared" ref="G594" si="186">F594*E594</f>
        <v>0</v>
      </c>
      <c r="H594" s="241"/>
      <c r="I594" s="255" t="s">
        <v>561</v>
      </c>
      <c r="J594" s="238"/>
      <c r="K594" s="2291"/>
      <c r="L594" s="251">
        <f t="shared" ref="L594" si="187">K594*J594</f>
        <v>0</v>
      </c>
      <c r="N594" s="220">
        <f t="shared" ref="N594" si="188">G594-L594</f>
        <v>0</v>
      </c>
    </row>
    <row r="595" spans="1:14" ht="13.8">
      <c r="A595" s="197"/>
      <c r="B595" s="202"/>
      <c r="C595" s="71"/>
      <c r="D595" s="141"/>
      <c r="E595" s="138"/>
      <c r="F595" s="210"/>
      <c r="G595" s="1701"/>
      <c r="H595" s="242"/>
      <c r="I595" s="255"/>
      <c r="J595" s="138"/>
      <c r="K595" s="1701"/>
      <c r="L595" s="2253"/>
      <c r="N595" s="220">
        <f t="shared" si="167"/>
        <v>0</v>
      </c>
    </row>
    <row r="596" spans="1:14" ht="13.8">
      <c r="A596" s="197" t="s">
        <v>1452</v>
      </c>
      <c r="B596" s="202" t="s">
        <v>1319</v>
      </c>
      <c r="C596" s="71" t="s">
        <v>1344</v>
      </c>
      <c r="D596" s="141" t="s">
        <v>1442</v>
      </c>
      <c r="E596" s="138">
        <v>2</v>
      </c>
      <c r="F596" s="210">
        <v>78</v>
      </c>
      <c r="G596" s="2269">
        <f t="shared" si="174"/>
        <v>156</v>
      </c>
      <c r="H596" s="241"/>
      <c r="I596" s="255" t="s">
        <v>1442</v>
      </c>
      <c r="J596" s="138">
        <v>2</v>
      </c>
      <c r="K596" s="2270">
        <f t="shared" si="175"/>
        <v>78</v>
      </c>
      <c r="L596" s="251">
        <f t="shared" si="176"/>
        <v>156</v>
      </c>
      <c r="N596" s="220">
        <f t="shared" si="167"/>
        <v>0</v>
      </c>
    </row>
    <row r="597" spans="1:14" ht="13.8">
      <c r="A597" s="197"/>
      <c r="B597" s="202"/>
      <c r="C597" s="103"/>
      <c r="D597" s="141"/>
      <c r="E597" s="138"/>
      <c r="F597" s="210"/>
      <c r="G597" s="1701"/>
      <c r="H597" s="242"/>
      <c r="I597" s="255"/>
      <c r="J597" s="138"/>
      <c r="K597" s="1701"/>
      <c r="L597" s="2253"/>
      <c r="N597" s="220">
        <f t="shared" si="167"/>
        <v>0</v>
      </c>
    </row>
    <row r="598" spans="1:14" ht="13.8">
      <c r="A598" s="197" t="s">
        <v>1453</v>
      </c>
      <c r="B598" s="202" t="s">
        <v>1319</v>
      </c>
      <c r="C598" s="71" t="s">
        <v>1346</v>
      </c>
      <c r="D598" s="141" t="s">
        <v>1442</v>
      </c>
      <c r="E598" s="138">
        <v>8</v>
      </c>
      <c r="F598" s="210">
        <v>92</v>
      </c>
      <c r="G598" s="2269">
        <f t="shared" si="174"/>
        <v>736</v>
      </c>
      <c r="H598" s="241"/>
      <c r="I598" s="255" t="s">
        <v>1442</v>
      </c>
      <c r="J598" s="138">
        <v>8</v>
      </c>
      <c r="K598" s="2270">
        <f t="shared" si="175"/>
        <v>92</v>
      </c>
      <c r="L598" s="251">
        <f t="shared" si="176"/>
        <v>736</v>
      </c>
      <c r="N598" s="220">
        <f t="shared" si="167"/>
        <v>0</v>
      </c>
    </row>
    <row r="599" spans="1:14" ht="13.8">
      <c r="A599" s="197"/>
      <c r="B599" s="202"/>
      <c r="C599" s="103"/>
      <c r="D599" s="141"/>
      <c r="E599" s="138"/>
      <c r="F599" s="210"/>
      <c r="G599" s="1701"/>
      <c r="H599" s="242"/>
      <c r="I599" s="255"/>
      <c r="J599" s="138"/>
      <c r="K599" s="1701"/>
      <c r="L599" s="2253"/>
      <c r="N599" s="220">
        <f t="shared" si="167"/>
        <v>0</v>
      </c>
    </row>
    <row r="600" spans="1:14" ht="13.8">
      <c r="A600" s="197" t="s">
        <v>1453</v>
      </c>
      <c r="B600" s="202" t="s">
        <v>1319</v>
      </c>
      <c r="C600" s="71" t="s">
        <v>1348</v>
      </c>
      <c r="D600" s="141" t="s">
        <v>1442</v>
      </c>
      <c r="E600" s="138">
        <v>4</v>
      </c>
      <c r="F600" s="210">
        <v>111</v>
      </c>
      <c r="G600" s="2269">
        <f t="shared" si="174"/>
        <v>444</v>
      </c>
      <c r="H600" s="241"/>
      <c r="I600" s="255" t="s">
        <v>1442</v>
      </c>
      <c r="J600" s="138">
        <v>2</v>
      </c>
      <c r="K600" s="2270">
        <f t="shared" si="175"/>
        <v>111</v>
      </c>
      <c r="L600" s="251">
        <f t="shared" si="176"/>
        <v>222</v>
      </c>
      <c r="N600" s="220">
        <f t="shared" si="167"/>
        <v>222</v>
      </c>
    </row>
    <row r="601" spans="1:14" ht="13.8">
      <c r="A601" s="197"/>
      <c r="B601" s="202"/>
      <c r="C601" s="71"/>
      <c r="D601" s="141"/>
      <c r="E601" s="138"/>
      <c r="F601" s="210"/>
      <c r="G601" s="1701"/>
      <c r="H601" s="242"/>
      <c r="I601" s="255"/>
      <c r="J601" s="138"/>
      <c r="K601" s="1701"/>
      <c r="L601" s="2253"/>
      <c r="N601" s="220"/>
    </row>
    <row r="602" spans="1:14" ht="13.8">
      <c r="A602" s="197"/>
      <c r="B602" s="202"/>
      <c r="C602" s="71"/>
      <c r="D602" s="141"/>
      <c r="E602" s="138"/>
      <c r="F602" s="210"/>
      <c r="G602" s="1701"/>
      <c r="H602" s="242"/>
      <c r="I602" s="255"/>
      <c r="J602" s="138"/>
      <c r="K602" s="1701"/>
      <c r="L602" s="2253"/>
      <c r="N602" s="220"/>
    </row>
    <row r="603" spans="1:14" ht="13.8">
      <c r="A603" s="197"/>
      <c r="B603" s="202"/>
      <c r="C603" s="71"/>
      <c r="D603" s="141"/>
      <c r="E603" s="138"/>
      <c r="F603" s="210"/>
      <c r="G603" s="1701"/>
      <c r="H603" s="242"/>
      <c r="I603" s="255"/>
      <c r="J603" s="138"/>
      <c r="K603" s="1701"/>
      <c r="L603" s="2253"/>
      <c r="N603" s="220"/>
    </row>
    <row r="604" spans="1:14" ht="13.8">
      <c r="A604" s="197"/>
      <c r="B604" s="202"/>
      <c r="C604" s="71"/>
      <c r="D604" s="141"/>
      <c r="E604" s="138"/>
      <c r="F604" s="210"/>
      <c r="G604" s="1701"/>
      <c r="H604" s="242"/>
      <c r="I604" s="255"/>
      <c r="J604" s="138"/>
      <c r="K604" s="1701"/>
      <c r="L604" s="2253"/>
      <c r="N604" s="220"/>
    </row>
    <row r="605" spans="1:14" ht="13.8">
      <c r="A605" s="197"/>
      <c r="B605" s="202"/>
      <c r="C605" s="71"/>
      <c r="D605" s="141"/>
      <c r="E605" s="138"/>
      <c r="F605" s="210"/>
      <c r="G605" s="1701"/>
      <c r="H605" s="242"/>
      <c r="I605" s="255"/>
      <c r="J605" s="138"/>
      <c r="K605" s="1701"/>
      <c r="L605" s="2253"/>
      <c r="N605" s="220"/>
    </row>
    <row r="606" spans="1:14" ht="13.8">
      <c r="A606" s="197"/>
      <c r="B606" s="202"/>
      <c r="C606" s="71"/>
      <c r="D606" s="141"/>
      <c r="E606" s="138"/>
      <c r="F606" s="210"/>
      <c r="G606" s="1701"/>
      <c r="H606" s="242"/>
      <c r="I606" s="255"/>
      <c r="J606" s="138"/>
      <c r="K606" s="1701"/>
      <c r="L606" s="2253"/>
      <c r="N606" s="220"/>
    </row>
    <row r="607" spans="1:14" ht="13.8">
      <c r="A607" s="197"/>
      <c r="B607" s="202"/>
      <c r="C607" s="71"/>
      <c r="D607" s="141"/>
      <c r="E607" s="138"/>
      <c r="F607" s="210"/>
      <c r="G607" s="1701"/>
      <c r="H607" s="242"/>
      <c r="I607" s="255"/>
      <c r="J607" s="138"/>
      <c r="K607" s="1701"/>
      <c r="L607" s="2253"/>
      <c r="N607" s="220"/>
    </row>
    <row r="608" spans="1:14" ht="13.8">
      <c r="A608" s="197"/>
      <c r="B608" s="202"/>
      <c r="C608" s="71"/>
      <c r="D608" s="141"/>
      <c r="E608" s="138"/>
      <c r="F608" s="210"/>
      <c r="G608" s="1701"/>
      <c r="H608" s="242"/>
      <c r="I608" s="255"/>
      <c r="J608" s="138"/>
      <c r="K608" s="1701"/>
      <c r="L608" s="2253"/>
      <c r="N608" s="220"/>
    </row>
    <row r="609" spans="1:14">
      <c r="A609" s="11"/>
      <c r="B609" s="11"/>
      <c r="C609" s="14"/>
      <c r="D609" s="874"/>
      <c r="E609" s="16"/>
      <c r="F609" s="211"/>
      <c r="G609" s="203"/>
      <c r="H609" s="244"/>
      <c r="I609" s="253"/>
      <c r="J609" s="16"/>
      <c r="K609" s="1701"/>
      <c r="L609" s="2253"/>
      <c r="N609" s="220"/>
    </row>
    <row r="610" spans="1:14">
      <c r="A610" s="1754"/>
      <c r="B610" s="428"/>
      <c r="C610" s="429"/>
      <c r="D610" s="428"/>
      <c r="E610" s="524"/>
      <c r="F610" s="564"/>
      <c r="G610" s="3027">
        <f>SUM(G9:G609)</f>
        <v>5511217.4000000004</v>
      </c>
      <c r="H610" s="218"/>
      <c r="I610" s="3019"/>
      <c r="J610" s="3022"/>
      <c r="K610" s="3030"/>
      <c r="L610" s="3032">
        <f>SUM(L9:L609)</f>
        <v>2907178.87</v>
      </c>
      <c r="N610" s="3018">
        <f>SUM(N2:N609)</f>
        <v>2604038.5299999998</v>
      </c>
    </row>
    <row r="611" spans="1:14" ht="13.8" thickBot="1">
      <c r="A611" s="424"/>
      <c r="B611" s="427"/>
      <c r="C611" s="26" t="s">
        <v>1454</v>
      </c>
      <c r="D611" s="427"/>
      <c r="E611" s="23"/>
      <c r="F611" s="212"/>
      <c r="G611" s="3028"/>
      <c r="H611" s="218"/>
      <c r="I611" s="3021"/>
      <c r="J611" s="3029"/>
      <c r="K611" s="3031"/>
      <c r="L611" s="3033"/>
      <c r="N611" s="3018"/>
    </row>
    <row r="612" spans="1:14">
      <c r="A612" s="301"/>
      <c r="B612" s="301"/>
      <c r="C612" s="302"/>
      <c r="D612" s="301"/>
      <c r="E612" s="303"/>
      <c r="F612" s="304"/>
      <c r="G612" s="305"/>
      <c r="H612" s="218"/>
      <c r="I612" s="306"/>
      <c r="J612" s="306"/>
      <c r="K612" s="218"/>
      <c r="L612" s="305"/>
      <c r="N612" s="586"/>
    </row>
    <row r="613" spans="1:14" ht="13.8" thickBot="1">
      <c r="A613" s="9"/>
      <c r="B613" s="9"/>
      <c r="D613" s="9"/>
      <c r="E613" s="9"/>
      <c r="I613" s="9"/>
      <c r="J613" s="9"/>
    </row>
    <row r="614" spans="1:14">
      <c r="C614" s="297" t="s">
        <v>1455</v>
      </c>
      <c r="D614" s="308">
        <f>SUM(L245:L609)</f>
        <v>1869245.4699999997</v>
      </c>
      <c r="F614" s="12"/>
    </row>
    <row r="615" spans="1:14">
      <c r="C615" s="300"/>
      <c r="D615" s="299"/>
      <c r="F615" s="12"/>
    </row>
    <row r="616" spans="1:14">
      <c r="C616" s="300" t="s">
        <v>1456</v>
      </c>
      <c r="D616" s="309">
        <f>SUM(L3:L242)</f>
        <v>1037933.4</v>
      </c>
      <c r="F616" s="12"/>
      <c r="N616" s="220"/>
    </row>
    <row r="617" spans="1:14">
      <c r="C617" s="300"/>
      <c r="D617" s="309"/>
      <c r="F617" s="12"/>
      <c r="N617" s="220"/>
    </row>
    <row r="618" spans="1:14">
      <c r="C618" s="300" t="s">
        <v>1457</v>
      </c>
      <c r="D618" s="309">
        <v>280000</v>
      </c>
      <c r="F618" s="12"/>
      <c r="N618" s="220"/>
    </row>
    <row r="619" spans="1:14">
      <c r="C619" s="300"/>
      <c r="D619" s="309"/>
      <c r="F619" s="12"/>
      <c r="N619" s="220"/>
    </row>
    <row r="620" spans="1:14">
      <c r="C620" s="300" t="s">
        <v>1458</v>
      </c>
      <c r="D620" s="309">
        <f>D640</f>
        <v>147000</v>
      </c>
      <c r="F620" s="12"/>
      <c r="N620" s="220"/>
    </row>
    <row r="621" spans="1:14" ht="13.8" thickBot="1">
      <c r="C621" s="298"/>
      <c r="D621" s="310"/>
      <c r="F621" s="12"/>
      <c r="N621" s="220"/>
    </row>
    <row r="622" spans="1:14" ht="13.8" thickBot="1">
      <c r="D622" s="296">
        <f>SUM(D614:D621)</f>
        <v>3334178.8699999996</v>
      </c>
      <c r="F622" s="12"/>
    </row>
    <row r="623" spans="1:14" ht="13.8" thickTop="1">
      <c r="D623" s="307"/>
      <c r="F623" s="12"/>
    </row>
    <row r="624" spans="1:14" ht="13.8" thickBot="1">
      <c r="F624" s="12"/>
    </row>
    <row r="625" spans="2:6">
      <c r="B625" s="290" t="s">
        <v>273</v>
      </c>
      <c r="C625" s="291" t="s">
        <v>1459</v>
      </c>
      <c r="D625" s="292" t="s">
        <v>1460</v>
      </c>
      <c r="F625" s="12"/>
    </row>
    <row r="626" spans="2:6">
      <c r="B626" s="313" t="s">
        <v>1461</v>
      </c>
      <c r="C626" s="635" t="s">
        <v>1462</v>
      </c>
      <c r="D626" s="295">
        <v>50000</v>
      </c>
      <c r="F626" s="12"/>
    </row>
    <row r="627" spans="2:6">
      <c r="B627" s="313" t="s">
        <v>1463</v>
      </c>
      <c r="C627" s="635" t="s">
        <v>1464</v>
      </c>
      <c r="D627" s="295">
        <v>60000</v>
      </c>
      <c r="F627" s="12"/>
    </row>
    <row r="628" spans="2:6">
      <c r="B628" s="313" t="s">
        <v>1465</v>
      </c>
      <c r="C628" s="635" t="s">
        <v>1466</v>
      </c>
      <c r="D628" s="295">
        <v>10000</v>
      </c>
      <c r="F628" s="12"/>
    </row>
    <row r="629" spans="2:6">
      <c r="B629" s="313" t="s">
        <v>1467</v>
      </c>
      <c r="C629" s="635" t="s">
        <v>1468</v>
      </c>
      <c r="D629" s="295">
        <v>0</v>
      </c>
      <c r="F629" s="12"/>
    </row>
    <row r="630" spans="2:6">
      <c r="B630" s="313" t="s">
        <v>1469</v>
      </c>
      <c r="C630" s="635" t="s">
        <v>1470</v>
      </c>
      <c r="D630" s="295">
        <v>27000</v>
      </c>
      <c r="F630" s="12"/>
    </row>
    <row r="631" spans="2:6">
      <c r="B631" s="313" t="s">
        <v>1471</v>
      </c>
      <c r="C631" s="635" t="s">
        <v>1472</v>
      </c>
      <c r="D631" s="295"/>
      <c r="F631" s="12"/>
    </row>
    <row r="632" spans="2:6">
      <c r="B632" s="313" t="s">
        <v>1473</v>
      </c>
      <c r="C632" s="635" t="s">
        <v>1474</v>
      </c>
      <c r="D632" s="295"/>
      <c r="F632" s="12"/>
    </row>
    <row r="633" spans="2:6">
      <c r="B633" s="313" t="s">
        <v>1475</v>
      </c>
      <c r="C633" s="635"/>
      <c r="D633" s="295"/>
      <c r="F633" s="12"/>
    </row>
    <row r="634" spans="2:6">
      <c r="B634" s="313" t="s">
        <v>1476</v>
      </c>
      <c r="C634" s="635"/>
      <c r="D634" s="295"/>
      <c r="F634" s="12"/>
    </row>
    <row r="635" spans="2:6">
      <c r="B635" s="313" t="s">
        <v>1477</v>
      </c>
      <c r="C635" s="635"/>
      <c r="D635" s="295"/>
      <c r="F635" s="12"/>
    </row>
    <row r="636" spans="2:6">
      <c r="B636" s="313" t="s">
        <v>1478</v>
      </c>
      <c r="C636" s="635"/>
      <c r="D636" s="295"/>
      <c r="F636" s="12"/>
    </row>
    <row r="637" spans="2:6">
      <c r="B637" s="313" t="s">
        <v>1479</v>
      </c>
      <c r="C637" s="635"/>
      <c r="D637" s="295"/>
      <c r="F637" s="12"/>
    </row>
    <row r="638" spans="2:6">
      <c r="B638" s="313" t="s">
        <v>1480</v>
      </c>
      <c r="C638" s="635"/>
      <c r="D638" s="295"/>
      <c r="F638" s="12"/>
    </row>
    <row r="639" spans="2:6" ht="13.8" thickBot="1">
      <c r="B639" s="314" t="s">
        <v>1481</v>
      </c>
      <c r="C639" s="293"/>
      <c r="D639" s="294"/>
      <c r="F639" s="12"/>
    </row>
    <row r="640" spans="2:6" ht="13.8" thickBot="1">
      <c r="D640" s="296">
        <f>SUM(D626:D639)</f>
        <v>147000</v>
      </c>
      <c r="F640" s="12"/>
    </row>
    <row r="641" ht="13.8" thickTop="1"/>
  </sheetData>
  <mergeCells count="27">
    <mergeCell ref="K610:K611"/>
    <mergeCell ref="L610:L611"/>
    <mergeCell ref="I287:I288"/>
    <mergeCell ref="I339:I340"/>
    <mergeCell ref="J339:J340"/>
    <mergeCell ref="J421:J422"/>
    <mergeCell ref="I49:I50"/>
    <mergeCell ref="I104:I105"/>
    <mergeCell ref="J287:J288"/>
    <mergeCell ref="G610:G611"/>
    <mergeCell ref="J610:J611"/>
    <mergeCell ref="A1:C1"/>
    <mergeCell ref="D1:G1"/>
    <mergeCell ref="N610:N611"/>
    <mergeCell ref="I421:I422"/>
    <mergeCell ref="I469:I470"/>
    <mergeCell ref="I519:I520"/>
    <mergeCell ref="I610:I611"/>
    <mergeCell ref="J469:J470"/>
    <mergeCell ref="J519:J520"/>
    <mergeCell ref="J49:J50"/>
    <mergeCell ref="J104:J105"/>
    <mergeCell ref="J155:J156"/>
    <mergeCell ref="J221:J222"/>
    <mergeCell ref="I155:I156"/>
    <mergeCell ref="I221:I222"/>
    <mergeCell ref="I1:L1"/>
  </mergeCells>
  <conditionalFormatting sqref="N1:N1048576">
    <cfRule type="cellIs" dxfId="1" priority="1" operator="lessThan">
      <formula>0</formula>
    </cfRule>
    <cfRule type="cellIs" dxfId="0" priority="2" operator="greaterThan">
      <formula>1</formula>
    </cfRule>
  </conditionalFormatting>
  <pageMargins left="0.74803149606299213" right="0.51181102362204722" top="1.3779527559055118" bottom="0.94488188976377963" header="0.51181102362204722" footer="0.74803149606299213"/>
  <pageSetup paperSize="9" scale="40" firstPageNumber="45" fitToHeight="0" orientation="portrait" useFirstPageNumber="1" copies="2" r:id="rId1"/>
  <headerFooter alignWithMargins="0">
    <oddHeader>&amp;L&amp;G&amp;CContract JW 6130R
Driefontein Wastewater Treatment Works:
Upgrade of the Emergency Overflow Dam
Volume 1 
C 2.2 Bill of Quantities&amp;R&amp;G</oddHeader>
    <oddFooter>&amp;C&amp;12PD.&amp;P&amp;R&amp;12Bill of Quantities</oddFooter>
  </headerFooter>
  <rowBreaks count="7" manualBreakCount="7">
    <brk id="50" max="16383" man="1"/>
    <brk id="105" max="16383" man="1"/>
    <brk id="156" max="16383" man="1"/>
    <brk id="288" max="16383" man="1"/>
    <brk id="422" max="16383" man="1"/>
    <brk id="470" max="16383" man="1"/>
    <brk id="520" max="16383" man="1"/>
  </rowBreaks>
  <legacy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5D53C-297D-4660-B8FA-85C52098572D}">
  <sheetPr codeName="Sheet10">
    <pageSetUpPr fitToPage="1"/>
  </sheetPr>
  <dimension ref="A1:Q244"/>
  <sheetViews>
    <sheetView view="pageBreakPreview" topLeftCell="A173" zoomScaleNormal="100" zoomScaleSheetLayoutView="100" workbookViewId="0">
      <selection activeCell="G194" sqref="G194"/>
    </sheetView>
  </sheetViews>
  <sheetFormatPr defaultColWidth="6.109375" defaultRowHeight="13.2"/>
  <cols>
    <col min="1" max="1" width="9.109375" style="335" customWidth="1"/>
    <col min="2" max="2" width="8.88671875" style="335" customWidth="1"/>
    <col min="3" max="3" width="9.88671875" style="31" customWidth="1"/>
    <col min="4" max="4" width="58.88671875" style="31" customWidth="1"/>
    <col min="5" max="5" width="8.88671875" style="405" customWidth="1"/>
    <col min="6" max="6" width="10.88671875" style="404" customWidth="1"/>
    <col min="7" max="7" width="14.88671875" style="1399" customWidth="1"/>
    <col min="8" max="8" width="20.88671875" style="346" customWidth="1"/>
    <col min="9" max="11" width="6.109375" style="31" customWidth="1"/>
    <col min="12" max="12" width="8" style="31" customWidth="1"/>
    <col min="13" max="16" width="6.109375" style="31"/>
    <col min="17" max="17" width="0" style="31" hidden="1" customWidth="1"/>
    <col min="18" max="16384" width="6.109375" style="31"/>
  </cols>
  <sheetData>
    <row r="1" spans="1:8" s="5" customFormat="1" ht="15">
      <c r="A1" s="3034" t="s">
        <v>1482</v>
      </c>
      <c r="B1" s="3034"/>
      <c r="C1" s="3034"/>
      <c r="D1" s="3034"/>
      <c r="E1" s="3034"/>
      <c r="F1" s="3034"/>
      <c r="G1" s="3034"/>
      <c r="H1" s="3034"/>
    </row>
    <row r="2" spans="1:8" s="29" customFormat="1" ht="25.5" customHeight="1">
      <c r="A2" s="453" t="s">
        <v>541</v>
      </c>
      <c r="B2" s="453" t="s">
        <v>217</v>
      </c>
      <c r="C2" s="453" t="s">
        <v>218</v>
      </c>
      <c r="D2" s="453" t="s">
        <v>219</v>
      </c>
      <c r="E2" s="495" t="s">
        <v>220</v>
      </c>
      <c r="F2" s="496" t="s">
        <v>221</v>
      </c>
      <c r="G2" s="1331" t="s">
        <v>222</v>
      </c>
      <c r="H2" s="498" t="s">
        <v>223</v>
      </c>
    </row>
    <row r="3" spans="1:8">
      <c r="A3" s="2192"/>
      <c r="B3" s="1738"/>
      <c r="C3" s="30"/>
      <c r="D3" s="361"/>
      <c r="E3" s="663"/>
      <c r="F3" s="400"/>
      <c r="G3" s="2311"/>
      <c r="H3" s="956"/>
    </row>
    <row r="4" spans="1:8" s="1332" customFormat="1" ht="13.8">
      <c r="A4" s="2312">
        <v>9</v>
      </c>
      <c r="B4" s="2313">
        <v>1</v>
      </c>
      <c r="C4" s="2314"/>
      <c r="D4" s="540" t="s">
        <v>1483</v>
      </c>
      <c r="E4" s="2315"/>
      <c r="F4" s="2316"/>
      <c r="G4" s="2317"/>
      <c r="H4" s="2318"/>
    </row>
    <row r="5" spans="1:8">
      <c r="A5" s="16"/>
      <c r="B5" s="1738"/>
      <c r="C5" s="30"/>
      <c r="D5" s="361"/>
      <c r="E5" s="663"/>
      <c r="F5" s="400"/>
      <c r="G5" s="1326"/>
      <c r="H5" s="956"/>
    </row>
    <row r="6" spans="1:8" s="330" customFormat="1" ht="26.4">
      <c r="A6" s="377"/>
      <c r="B6" s="2319" t="s">
        <v>543</v>
      </c>
      <c r="C6" s="542" t="s">
        <v>544</v>
      </c>
      <c r="D6" s="456" t="s">
        <v>893</v>
      </c>
      <c r="E6" s="2320"/>
      <c r="F6" s="2321"/>
      <c r="G6" s="2322"/>
      <c r="H6" s="2323"/>
    </row>
    <row r="7" spans="1:8">
      <c r="A7" s="16"/>
      <c r="B7" s="1738"/>
      <c r="C7" s="30"/>
      <c r="D7" s="361"/>
      <c r="E7" s="663"/>
      <c r="F7" s="400"/>
      <c r="G7" s="1326"/>
      <c r="H7" s="956"/>
    </row>
    <row r="8" spans="1:8" ht="15.6">
      <c r="A8" s="16">
        <f>$A$4</f>
        <v>9</v>
      </c>
      <c r="B8" s="1738">
        <v>1.1000000000000001</v>
      </c>
      <c r="C8" s="30" t="s">
        <v>546</v>
      </c>
      <c r="D8" s="361" t="s">
        <v>894</v>
      </c>
      <c r="E8" s="663" t="s">
        <v>641</v>
      </c>
      <c r="F8" s="400">
        <v>327</v>
      </c>
      <c r="G8" s="1326"/>
      <c r="H8" s="1493">
        <f t="shared" ref="H8:H64" si="0">IF(E8="","",ROUND(F8*G8,2))</f>
        <v>0</v>
      </c>
    </row>
    <row r="9" spans="1:8">
      <c r="A9" s="16"/>
      <c r="B9" s="1738"/>
      <c r="C9" s="30"/>
      <c r="D9" s="361"/>
      <c r="E9" s="663"/>
      <c r="F9" s="400"/>
      <c r="G9" s="1326"/>
      <c r="H9" s="1493" t="str">
        <f t="shared" si="0"/>
        <v/>
      </c>
    </row>
    <row r="10" spans="1:8" ht="26.4">
      <c r="A10" s="16">
        <f>$A$4</f>
        <v>9</v>
      </c>
      <c r="B10" s="874">
        <v>1.2</v>
      </c>
      <c r="C10" s="16"/>
      <c r="D10" s="369" t="s">
        <v>1484</v>
      </c>
      <c r="E10" s="16" t="s">
        <v>691</v>
      </c>
      <c r="F10" s="16">
        <v>4</v>
      </c>
      <c r="G10" s="1308"/>
      <c r="H10" s="1493">
        <f t="shared" si="0"/>
        <v>0</v>
      </c>
    </row>
    <row r="11" spans="1:8">
      <c r="A11" s="16"/>
      <c r="B11" s="1393"/>
      <c r="C11" s="16"/>
      <c r="D11" s="369"/>
      <c r="E11" s="16"/>
      <c r="F11" s="16"/>
      <c r="G11" s="1330"/>
      <c r="H11" s="1493" t="str">
        <f t="shared" si="0"/>
        <v/>
      </c>
    </row>
    <row r="12" spans="1:8" s="330" customFormat="1" ht="26.4">
      <c r="A12" s="377"/>
      <c r="B12" s="2324" t="s">
        <v>549</v>
      </c>
      <c r="C12" s="542" t="s">
        <v>895</v>
      </c>
      <c r="D12" s="456" t="s">
        <v>627</v>
      </c>
      <c r="E12" s="660"/>
      <c r="F12" s="1340"/>
      <c r="G12" s="2322"/>
      <c r="H12" s="1493" t="str">
        <f t="shared" si="0"/>
        <v/>
      </c>
    </row>
    <row r="13" spans="1:8">
      <c r="A13" s="16"/>
      <c r="B13" s="1333"/>
      <c r="C13" s="2325"/>
      <c r="D13" s="2326"/>
      <c r="E13" s="399"/>
      <c r="F13" s="571"/>
      <c r="G13" s="1326"/>
      <c r="H13" s="1493" t="str">
        <f t="shared" si="0"/>
        <v/>
      </c>
    </row>
    <row r="14" spans="1:8">
      <c r="A14" s="16"/>
      <c r="B14" s="1333"/>
      <c r="C14" s="2325" t="s">
        <v>302</v>
      </c>
      <c r="D14" s="2327" t="s">
        <v>48</v>
      </c>
      <c r="E14" s="399"/>
      <c r="F14" s="571"/>
      <c r="G14" s="1326"/>
      <c r="H14" s="1493" t="str">
        <f t="shared" si="0"/>
        <v/>
      </c>
    </row>
    <row r="15" spans="1:8">
      <c r="A15" s="16"/>
      <c r="B15" s="1333"/>
      <c r="C15" s="2325"/>
      <c r="D15" s="2326"/>
      <c r="E15" s="399"/>
      <c r="F15" s="571"/>
      <c r="G15" s="1326"/>
      <c r="H15" s="1493" t="str">
        <f t="shared" si="0"/>
        <v/>
      </c>
    </row>
    <row r="16" spans="1:8" s="32" customFormat="1" ht="38.25" customHeight="1">
      <c r="A16" s="16"/>
      <c r="B16" s="1333"/>
      <c r="C16" s="2328" t="s">
        <v>775</v>
      </c>
      <c r="D16" s="2329" t="s">
        <v>1485</v>
      </c>
      <c r="E16" s="399"/>
      <c r="F16" s="571"/>
      <c r="G16" s="1326"/>
      <c r="H16" s="1493" t="str">
        <f t="shared" si="0"/>
        <v/>
      </c>
    </row>
    <row r="17" spans="1:8">
      <c r="A17" s="16"/>
      <c r="B17" s="1333"/>
      <c r="C17" s="2325"/>
      <c r="D17" s="2326"/>
      <c r="E17" s="399"/>
      <c r="F17" s="571"/>
      <c r="G17" s="1326"/>
      <c r="H17" s="1493" t="str">
        <f t="shared" si="0"/>
        <v/>
      </c>
    </row>
    <row r="18" spans="1:8">
      <c r="A18" s="16">
        <f>$A$4</f>
        <v>9</v>
      </c>
      <c r="B18" s="1333">
        <v>1.3</v>
      </c>
      <c r="C18" s="2325"/>
      <c r="D18" s="2326" t="s">
        <v>997</v>
      </c>
      <c r="E18" s="399" t="s">
        <v>508</v>
      </c>
      <c r="F18" s="571">
        <v>105</v>
      </c>
      <c r="G18" s="1327"/>
      <c r="H18" s="1493">
        <f t="shared" si="0"/>
        <v>0</v>
      </c>
    </row>
    <row r="19" spans="1:8">
      <c r="A19" s="16"/>
      <c r="B19" s="1333"/>
      <c r="C19" s="379"/>
      <c r="D19" s="953"/>
      <c r="E19" s="399"/>
      <c r="F19" s="571"/>
      <c r="G19" s="1326"/>
      <c r="H19" s="1493" t="str">
        <f t="shared" si="0"/>
        <v/>
      </c>
    </row>
    <row r="20" spans="1:8">
      <c r="A20" s="16"/>
      <c r="B20" s="1333"/>
      <c r="C20" s="379"/>
      <c r="D20" s="1334" t="s">
        <v>1486</v>
      </c>
      <c r="E20" s="399"/>
      <c r="F20" s="571"/>
      <c r="G20" s="1326"/>
      <c r="H20" s="1493" t="str">
        <f t="shared" si="0"/>
        <v/>
      </c>
    </row>
    <row r="21" spans="1:8">
      <c r="A21" s="16"/>
      <c r="B21" s="1333"/>
      <c r="C21" s="379"/>
      <c r="D21" s="953"/>
      <c r="E21" s="399"/>
      <c r="F21" s="571"/>
      <c r="G21" s="1326"/>
      <c r="H21" s="1493" t="str">
        <f t="shared" si="0"/>
        <v/>
      </c>
    </row>
    <row r="22" spans="1:8">
      <c r="A22" s="16">
        <f>$A$4</f>
        <v>9</v>
      </c>
      <c r="B22" s="1333">
        <v>1.4</v>
      </c>
      <c r="C22" s="379" t="s">
        <v>781</v>
      </c>
      <c r="D22" s="953" t="s">
        <v>1487</v>
      </c>
      <c r="E22" s="399" t="s">
        <v>508</v>
      </c>
      <c r="F22" s="571">
        <v>80</v>
      </c>
      <c r="G22" s="1326"/>
      <c r="H22" s="1493">
        <f t="shared" si="0"/>
        <v>0</v>
      </c>
    </row>
    <row r="23" spans="1:8">
      <c r="A23" s="16"/>
      <c r="B23" s="1333"/>
      <c r="C23" s="379"/>
      <c r="D23" s="953"/>
      <c r="E23" s="399"/>
      <c r="F23" s="571"/>
      <c r="G23" s="1326"/>
      <c r="H23" s="1493" t="str">
        <f t="shared" si="0"/>
        <v/>
      </c>
    </row>
    <row r="24" spans="1:8">
      <c r="A24" s="16">
        <f>$A$4</f>
        <v>9</v>
      </c>
      <c r="B24" s="1333">
        <v>1.5</v>
      </c>
      <c r="C24" s="379" t="s">
        <v>782</v>
      </c>
      <c r="D24" s="953" t="s">
        <v>1488</v>
      </c>
      <c r="E24" s="2330" t="s">
        <v>508</v>
      </c>
      <c r="F24" s="571">
        <v>30</v>
      </c>
      <c r="G24" s="1326"/>
      <c r="H24" s="1493">
        <f t="shared" si="0"/>
        <v>0</v>
      </c>
    </row>
    <row r="25" spans="1:8">
      <c r="A25" s="16"/>
      <c r="B25" s="1333"/>
      <c r="C25" s="379"/>
      <c r="D25" s="953"/>
      <c r="E25" s="1350"/>
      <c r="F25" s="571"/>
      <c r="G25" s="1326"/>
      <c r="H25" s="1493" t="str">
        <f t="shared" si="0"/>
        <v/>
      </c>
    </row>
    <row r="26" spans="1:8" s="2" customFormat="1">
      <c r="A26" s="18"/>
      <c r="B26" s="1335"/>
      <c r="C26" s="2217" t="s">
        <v>305</v>
      </c>
      <c r="D26" s="2331" t="s">
        <v>998</v>
      </c>
      <c r="E26" s="338"/>
      <c r="F26" s="643"/>
      <c r="G26" s="1325"/>
      <c r="H26" s="1493" t="str">
        <f t="shared" si="0"/>
        <v/>
      </c>
    </row>
    <row r="27" spans="1:8" s="2" customFormat="1">
      <c r="A27" s="18"/>
      <c r="B27" s="1335"/>
      <c r="C27" s="2217"/>
      <c r="D27" s="2332"/>
      <c r="E27" s="338"/>
      <c r="F27" s="643"/>
      <c r="G27" s="1325"/>
      <c r="H27" s="1493" t="str">
        <f t="shared" si="0"/>
        <v/>
      </c>
    </row>
    <row r="28" spans="1:8" s="2" customFormat="1" ht="26.4">
      <c r="A28" s="16">
        <f>$A$4</f>
        <v>9</v>
      </c>
      <c r="B28" s="1335">
        <v>1.6</v>
      </c>
      <c r="C28" s="2217" t="s">
        <v>999</v>
      </c>
      <c r="D28" s="2332" t="s">
        <v>1000</v>
      </c>
      <c r="E28" s="338" t="s">
        <v>508</v>
      </c>
      <c r="F28" s="643">
        <v>2.5</v>
      </c>
      <c r="G28" s="1400"/>
      <c r="H28" s="1493">
        <f t="shared" si="0"/>
        <v>0</v>
      </c>
    </row>
    <row r="29" spans="1:8" s="2" customFormat="1">
      <c r="A29" s="18"/>
      <c r="B29" s="1337"/>
      <c r="C29" s="50"/>
      <c r="D29" s="34"/>
      <c r="E29" s="205"/>
      <c r="F29" s="664"/>
      <c r="G29" s="1322"/>
      <c r="H29" s="1493" t="str">
        <f t="shared" si="0"/>
        <v/>
      </c>
    </row>
    <row r="30" spans="1:8" s="330" customFormat="1" ht="26.4">
      <c r="A30" s="377"/>
      <c r="B30" s="1338" t="s">
        <v>558</v>
      </c>
      <c r="C30" s="376" t="s">
        <v>783</v>
      </c>
      <c r="D30" s="1339" t="s">
        <v>784</v>
      </c>
      <c r="E30" s="365"/>
      <c r="F30" s="1340"/>
      <c r="G30" s="2322"/>
      <c r="H30" s="1493" t="str">
        <f t="shared" si="0"/>
        <v/>
      </c>
    </row>
    <row r="31" spans="1:8">
      <c r="A31" s="16"/>
      <c r="B31" s="1333"/>
      <c r="C31" s="17"/>
      <c r="D31" s="1341"/>
      <c r="E31" s="356"/>
      <c r="F31" s="571"/>
      <c r="G31" s="1326"/>
      <c r="H31" s="1493" t="str">
        <f t="shared" si="0"/>
        <v/>
      </c>
    </row>
    <row r="32" spans="1:8" s="343" customFormat="1">
      <c r="A32" s="16">
        <f>$A$4</f>
        <v>9</v>
      </c>
      <c r="B32" s="1342">
        <v>1.7</v>
      </c>
      <c r="C32" s="398"/>
      <c r="D32" s="645" t="s">
        <v>1489</v>
      </c>
      <c r="E32" s="663" t="s">
        <v>230</v>
      </c>
      <c r="F32" s="400">
        <v>1</v>
      </c>
      <c r="G32" s="1326"/>
      <c r="H32" s="1493">
        <f t="shared" si="0"/>
        <v>0</v>
      </c>
    </row>
    <row r="33" spans="1:8" s="343" customFormat="1">
      <c r="A33" s="318"/>
      <c r="B33" s="1343"/>
      <c r="C33" s="1344"/>
      <c r="D33" s="1345"/>
      <c r="E33" s="663"/>
      <c r="F33" s="400"/>
      <c r="G33" s="1326"/>
      <c r="H33" s="1493" t="str">
        <f t="shared" si="0"/>
        <v/>
      </c>
    </row>
    <row r="34" spans="1:8">
      <c r="A34" s="16"/>
      <c r="B34" s="1333"/>
      <c r="C34" s="17"/>
      <c r="D34" s="1346" t="s">
        <v>785</v>
      </c>
      <c r="E34" s="356"/>
      <c r="F34" s="571"/>
      <c r="G34" s="1326"/>
      <c r="H34" s="1493" t="str">
        <f t="shared" si="0"/>
        <v/>
      </c>
    </row>
    <row r="35" spans="1:8">
      <c r="A35" s="16"/>
      <c r="B35" s="1333"/>
      <c r="C35" s="17"/>
      <c r="D35" s="1341"/>
      <c r="E35" s="356"/>
      <c r="F35" s="571"/>
      <c r="G35" s="1326"/>
      <c r="H35" s="1493" t="str">
        <f t="shared" si="0"/>
        <v/>
      </c>
    </row>
    <row r="36" spans="1:8">
      <c r="A36" s="16"/>
      <c r="B36" s="1333"/>
      <c r="C36" s="401" t="s">
        <v>302</v>
      </c>
      <c r="D36" s="871" t="s">
        <v>786</v>
      </c>
      <c r="E36" s="1347"/>
      <c r="F36" s="571"/>
      <c r="G36" s="1326"/>
      <c r="H36" s="1493" t="str">
        <f t="shared" si="0"/>
        <v/>
      </c>
    </row>
    <row r="37" spans="1:8">
      <c r="A37" s="16"/>
      <c r="B37" s="1333"/>
      <c r="C37" s="401"/>
      <c r="E37" s="1347"/>
      <c r="F37" s="571"/>
      <c r="G37" s="1326"/>
      <c r="H37" s="1493" t="str">
        <f t="shared" si="0"/>
        <v/>
      </c>
    </row>
    <row r="38" spans="1:8">
      <c r="A38" s="16"/>
      <c r="B38" s="1333"/>
      <c r="C38" s="401" t="s">
        <v>775</v>
      </c>
      <c r="D38" s="330" t="s">
        <v>787</v>
      </c>
      <c r="E38" s="1347"/>
      <c r="F38" s="571"/>
      <c r="G38" s="1326"/>
      <c r="H38" s="1493" t="str">
        <f t="shared" si="0"/>
        <v/>
      </c>
    </row>
    <row r="39" spans="1:8">
      <c r="A39" s="16"/>
      <c r="B39" s="1333"/>
      <c r="C39" s="401"/>
      <c r="E39" s="1347"/>
      <c r="F39" s="571"/>
      <c r="G39" s="1326"/>
      <c r="H39" s="1493" t="str">
        <f t="shared" si="0"/>
        <v/>
      </c>
    </row>
    <row r="40" spans="1:8" s="32" customFormat="1" ht="26.4">
      <c r="A40" s="16">
        <f>$A$4</f>
        <v>9</v>
      </c>
      <c r="B40" s="1333">
        <v>1.8</v>
      </c>
      <c r="C40" s="16" t="s">
        <v>788</v>
      </c>
      <c r="D40" s="29" t="s">
        <v>789</v>
      </c>
      <c r="E40" s="356" t="s">
        <v>508</v>
      </c>
      <c r="F40" s="571">
        <v>70</v>
      </c>
      <c r="G40" s="1297"/>
      <c r="H40" s="1493">
        <f t="shared" si="0"/>
        <v>0</v>
      </c>
    </row>
    <row r="41" spans="1:8">
      <c r="A41" s="16"/>
      <c r="B41" s="1333"/>
      <c r="C41" s="16"/>
      <c r="D41" s="871"/>
      <c r="E41" s="356"/>
      <c r="F41" s="571"/>
      <c r="G41" s="1326"/>
      <c r="H41" s="1493" t="str">
        <f t="shared" si="0"/>
        <v/>
      </c>
    </row>
    <row r="42" spans="1:8" ht="26.4">
      <c r="A42" s="16"/>
      <c r="B42" s="1338" t="s">
        <v>562</v>
      </c>
      <c r="C42" s="376" t="s">
        <v>790</v>
      </c>
      <c r="D42" s="871" t="s">
        <v>791</v>
      </c>
      <c r="E42" s="1347"/>
      <c r="F42" s="571"/>
      <c r="G42" s="1326"/>
      <c r="H42" s="1493" t="str">
        <f t="shared" si="0"/>
        <v/>
      </c>
    </row>
    <row r="43" spans="1:8">
      <c r="A43" s="16"/>
      <c r="B43" s="1333"/>
      <c r="C43" s="16"/>
      <c r="D43" s="871"/>
      <c r="E43" s="1347"/>
      <c r="F43" s="571"/>
      <c r="G43" s="1326"/>
      <c r="H43" s="1493" t="str">
        <f t="shared" si="0"/>
        <v/>
      </c>
    </row>
    <row r="44" spans="1:8" ht="26.4">
      <c r="A44" s="16"/>
      <c r="B44" s="1333"/>
      <c r="C44" s="16" t="s">
        <v>302</v>
      </c>
      <c r="D44" s="1348" t="s">
        <v>792</v>
      </c>
      <c r="E44" s="1347"/>
      <c r="F44" s="571"/>
      <c r="G44" s="1326"/>
      <c r="H44" s="1493" t="str">
        <f t="shared" si="0"/>
        <v/>
      </c>
    </row>
    <row r="45" spans="1:8">
      <c r="A45" s="16"/>
      <c r="B45" s="1333"/>
      <c r="C45" s="401"/>
      <c r="E45" s="1347"/>
      <c r="F45" s="571"/>
      <c r="G45" s="1326"/>
      <c r="H45" s="1493" t="str">
        <f t="shared" si="0"/>
        <v/>
      </c>
    </row>
    <row r="46" spans="1:8" s="32" customFormat="1" ht="26.4">
      <c r="A46" s="16">
        <f>$A$4</f>
        <v>9</v>
      </c>
      <c r="B46" s="1333">
        <v>1.9</v>
      </c>
      <c r="C46" s="16"/>
      <c r="D46" s="1349" t="s">
        <v>793</v>
      </c>
      <c r="E46" s="356" t="s">
        <v>508</v>
      </c>
      <c r="F46" s="571">
        <v>70</v>
      </c>
      <c r="G46" s="1326"/>
      <c r="H46" s="1493">
        <f t="shared" si="0"/>
        <v>0</v>
      </c>
    </row>
    <row r="47" spans="1:8">
      <c r="A47" s="16"/>
      <c r="B47" s="1333"/>
      <c r="C47" s="379"/>
      <c r="D47" s="953"/>
      <c r="E47" s="1350"/>
      <c r="F47" s="571"/>
      <c r="G47" s="1326"/>
      <c r="H47" s="1493" t="str">
        <f t="shared" si="0"/>
        <v/>
      </c>
    </row>
    <row r="48" spans="1:8" s="2" customFormat="1">
      <c r="A48" s="18"/>
      <c r="B48" s="1335"/>
      <c r="C48" s="2217" t="s">
        <v>305</v>
      </c>
      <c r="D48" s="2331" t="s">
        <v>998</v>
      </c>
      <c r="E48" s="338"/>
      <c r="F48" s="643"/>
      <c r="G48" s="1325"/>
      <c r="H48" s="1493" t="str">
        <f t="shared" si="0"/>
        <v/>
      </c>
    </row>
    <row r="49" spans="1:8" s="2" customFormat="1">
      <c r="A49" s="18"/>
      <c r="B49" s="1335"/>
      <c r="C49" s="2217"/>
      <c r="D49" s="2332"/>
      <c r="E49" s="338"/>
      <c r="F49" s="643"/>
      <c r="G49" s="1325"/>
      <c r="H49" s="1493" t="str">
        <f t="shared" si="0"/>
        <v/>
      </c>
    </row>
    <row r="50" spans="1:8" s="2" customFormat="1" ht="26.4">
      <c r="A50" s="16">
        <f>$A$4</f>
        <v>9</v>
      </c>
      <c r="B50" s="1351">
        <v>1.1000000000000001</v>
      </c>
      <c r="C50" s="2217" t="s">
        <v>999</v>
      </c>
      <c r="D50" s="2332" t="s">
        <v>1000</v>
      </c>
      <c r="E50" s="338" t="s">
        <v>508</v>
      </c>
      <c r="F50" s="643">
        <v>70</v>
      </c>
      <c r="G50" s="1400"/>
      <c r="H50" s="1493">
        <f t="shared" si="0"/>
        <v>0</v>
      </c>
    </row>
    <row r="51" spans="1:8">
      <c r="A51" s="16"/>
      <c r="B51" s="1333"/>
      <c r="C51" s="401"/>
      <c r="E51" s="1347"/>
      <c r="F51" s="571"/>
      <c r="G51" s="1326"/>
      <c r="H51" s="1493" t="str">
        <f t="shared" si="0"/>
        <v/>
      </c>
    </row>
    <row r="52" spans="1:8" s="32" customFormat="1" ht="26.4">
      <c r="A52" s="16"/>
      <c r="B52" s="1338" t="s">
        <v>580</v>
      </c>
      <c r="C52" s="376" t="s">
        <v>794</v>
      </c>
      <c r="D52" s="1339" t="s">
        <v>795</v>
      </c>
      <c r="E52" s="1352"/>
      <c r="F52" s="571"/>
      <c r="G52" s="1326"/>
      <c r="H52" s="1493" t="str">
        <f t="shared" si="0"/>
        <v/>
      </c>
    </row>
    <row r="53" spans="1:8">
      <c r="A53" s="16"/>
      <c r="B53" s="1333"/>
      <c r="C53" s="16"/>
      <c r="E53" s="1347"/>
      <c r="F53" s="571"/>
      <c r="G53" s="1326"/>
      <c r="H53" s="1493" t="str">
        <f t="shared" si="0"/>
        <v/>
      </c>
    </row>
    <row r="54" spans="1:8" ht="26.4">
      <c r="A54" s="16"/>
      <c r="B54" s="1333"/>
      <c r="C54" s="551"/>
      <c r="D54" s="1353" t="s">
        <v>796</v>
      </c>
      <c r="E54" s="1347"/>
      <c r="F54" s="571"/>
      <c r="G54" s="1326"/>
      <c r="H54" s="1493" t="str">
        <f t="shared" si="0"/>
        <v/>
      </c>
    </row>
    <row r="55" spans="1:8">
      <c r="A55" s="16"/>
      <c r="B55" s="1333"/>
      <c r="C55" s="551"/>
      <c r="D55" s="1353"/>
      <c r="E55" s="1347"/>
      <c r="F55" s="571"/>
      <c r="G55" s="1326"/>
      <c r="H55" s="1493" t="str">
        <f t="shared" si="0"/>
        <v/>
      </c>
    </row>
    <row r="56" spans="1:8" ht="26.4">
      <c r="A56" s="16">
        <f>$A$4</f>
        <v>9</v>
      </c>
      <c r="B56" s="1333">
        <v>1.1100000000000001</v>
      </c>
      <c r="C56" s="551" t="s">
        <v>775</v>
      </c>
      <c r="D56" s="1354" t="s">
        <v>797</v>
      </c>
      <c r="E56" s="356" t="s">
        <v>508</v>
      </c>
      <c r="F56" s="571">
        <v>70</v>
      </c>
      <c r="G56" s="1326"/>
      <c r="H56" s="1493">
        <f t="shared" si="0"/>
        <v>0</v>
      </c>
    </row>
    <row r="57" spans="1:8">
      <c r="A57" s="16"/>
      <c r="B57" s="1333"/>
      <c r="C57" s="551"/>
      <c r="D57" s="1354"/>
      <c r="E57" s="356"/>
      <c r="F57" s="571"/>
      <c r="G57" s="1326"/>
      <c r="H57" s="1493" t="str">
        <f t="shared" si="0"/>
        <v/>
      </c>
    </row>
    <row r="58" spans="1:8" ht="26.4">
      <c r="A58" s="16"/>
      <c r="B58" s="994"/>
      <c r="C58" s="551" t="s">
        <v>798</v>
      </c>
      <c r="D58" s="1353" t="s">
        <v>799</v>
      </c>
      <c r="E58" s="1347"/>
      <c r="F58" s="571"/>
      <c r="G58" s="1326"/>
      <c r="H58" s="1493" t="str">
        <f t="shared" si="0"/>
        <v/>
      </c>
    </row>
    <row r="59" spans="1:8">
      <c r="A59" s="16"/>
      <c r="B59" s="994"/>
      <c r="C59" s="551"/>
      <c r="D59" s="1353"/>
      <c r="E59" s="1355"/>
      <c r="F59" s="571"/>
      <c r="G59" s="1326"/>
      <c r="H59" s="1493" t="str">
        <f t="shared" si="0"/>
        <v/>
      </c>
    </row>
    <row r="60" spans="1:8">
      <c r="A60" s="16">
        <f>$A$4</f>
        <v>9</v>
      </c>
      <c r="B60" s="994">
        <v>1.1200000000000001</v>
      </c>
      <c r="C60" s="1356" t="s">
        <v>800</v>
      </c>
      <c r="D60" s="1357" t="s">
        <v>1490</v>
      </c>
      <c r="E60" s="356" t="s">
        <v>508</v>
      </c>
      <c r="F60" s="571">
        <v>70</v>
      </c>
      <c r="G60" s="1326"/>
      <c r="H60" s="1493">
        <f t="shared" si="0"/>
        <v>0</v>
      </c>
    </row>
    <row r="61" spans="1:8">
      <c r="A61" s="16"/>
      <c r="B61" s="994"/>
      <c r="C61" s="1356"/>
      <c r="D61" s="1357"/>
      <c r="E61" s="356"/>
      <c r="F61" s="571"/>
      <c r="G61" s="1326"/>
      <c r="H61" s="1493" t="str">
        <f t="shared" si="0"/>
        <v/>
      </c>
    </row>
    <row r="62" spans="1:8">
      <c r="A62" s="16"/>
      <c r="B62" s="1358"/>
      <c r="C62" s="1359" t="s">
        <v>802</v>
      </c>
      <c r="D62" s="1360" t="s">
        <v>803</v>
      </c>
      <c r="E62" s="387"/>
      <c r="F62" s="571"/>
      <c r="G62" s="1326"/>
      <c r="H62" s="1493" t="str">
        <f t="shared" si="0"/>
        <v/>
      </c>
    </row>
    <row r="63" spans="1:8" s="343" customFormat="1">
      <c r="A63" s="318"/>
      <c r="B63" s="1358"/>
      <c r="C63" s="1359"/>
      <c r="D63" s="1361"/>
      <c r="E63" s="387"/>
      <c r="F63" s="571"/>
      <c r="G63" s="1326"/>
      <c r="H63" s="1493" t="str">
        <f t="shared" si="0"/>
        <v/>
      </c>
    </row>
    <row r="64" spans="1:8" s="343" customFormat="1">
      <c r="A64" s="16">
        <f>$A$4</f>
        <v>9</v>
      </c>
      <c r="B64" s="1358">
        <v>1.1299999999999999</v>
      </c>
      <c r="C64" s="1359" t="s">
        <v>804</v>
      </c>
      <c r="D64" s="1361" t="s">
        <v>805</v>
      </c>
      <c r="E64" s="387" t="s">
        <v>649</v>
      </c>
      <c r="F64" s="571">
        <v>1</v>
      </c>
      <c r="G64" s="1326"/>
      <c r="H64" s="1493">
        <f t="shared" si="0"/>
        <v>0</v>
      </c>
    </row>
    <row r="65" spans="1:8">
      <c r="A65" s="16"/>
      <c r="B65" s="994"/>
      <c r="C65" s="1356"/>
      <c r="D65" s="1357"/>
      <c r="E65" s="356"/>
      <c r="F65" s="571"/>
      <c r="G65" s="1326"/>
      <c r="H65" s="1336"/>
    </row>
    <row r="66" spans="1:8">
      <c r="A66" s="16"/>
      <c r="B66" s="1333"/>
      <c r="C66" s="551"/>
      <c r="D66" s="1354"/>
      <c r="E66" s="356"/>
      <c r="F66" s="571"/>
      <c r="G66" s="1326"/>
      <c r="H66" s="1336"/>
    </row>
    <row r="67" spans="1:8">
      <c r="A67" s="16"/>
      <c r="B67" s="1333"/>
      <c r="C67" s="551"/>
      <c r="D67" s="1354"/>
      <c r="E67" s="356"/>
      <c r="F67" s="571"/>
      <c r="G67" s="1326"/>
      <c r="H67" s="1336"/>
    </row>
    <row r="68" spans="1:8">
      <c r="A68" s="16"/>
      <c r="B68" s="1333"/>
      <c r="C68" s="551"/>
      <c r="D68" s="1353"/>
      <c r="E68" s="1347"/>
      <c r="F68" s="571"/>
      <c r="G68" s="1326"/>
      <c r="H68" s="956"/>
    </row>
    <row r="69" spans="1:8">
      <c r="A69" s="16"/>
      <c r="B69" s="1333"/>
      <c r="C69" s="551"/>
      <c r="D69" s="1353"/>
      <c r="E69" s="1347"/>
      <c r="F69" s="571"/>
      <c r="G69" s="1326"/>
      <c r="H69" s="956"/>
    </row>
    <row r="70" spans="1:8">
      <c r="A70" s="2333"/>
      <c r="B70" s="822"/>
      <c r="C70" s="819"/>
      <c r="D70" s="819"/>
      <c r="E70" s="820"/>
      <c r="F70" s="821"/>
      <c r="G70" s="2334"/>
      <c r="H70" s="2335"/>
    </row>
    <row r="71" spans="1:8">
      <c r="A71" s="2336"/>
      <c r="B71" s="823"/>
      <c r="C71" s="438"/>
      <c r="D71" s="328" t="s">
        <v>289</v>
      </c>
      <c r="E71" s="402"/>
      <c r="F71" s="403"/>
      <c r="G71" s="2337"/>
      <c r="H71" s="2338">
        <f>SUM(H3:H69)</f>
        <v>0</v>
      </c>
    </row>
    <row r="72" spans="1:8">
      <c r="A72" s="16"/>
      <c r="B72" s="1333"/>
      <c r="C72" s="551"/>
      <c r="D72" s="2062" t="s">
        <v>290</v>
      </c>
      <c r="E72" s="2339"/>
      <c r="F72" s="571"/>
      <c r="G72" s="1326"/>
      <c r="H72" s="954">
        <f>H71</f>
        <v>0</v>
      </c>
    </row>
    <row r="73" spans="1:8" s="343" customFormat="1">
      <c r="A73" s="318"/>
      <c r="B73" s="994"/>
      <c r="C73" s="1356"/>
      <c r="D73" s="1362"/>
      <c r="E73" s="2339"/>
      <c r="F73" s="571"/>
      <c r="G73" s="1326"/>
      <c r="H73" s="956"/>
    </row>
    <row r="74" spans="1:8" s="343" customFormat="1" ht="26.4">
      <c r="A74" s="318"/>
      <c r="B74" s="1363" t="s">
        <v>586</v>
      </c>
      <c r="C74" s="1364" t="s">
        <v>1491</v>
      </c>
      <c r="D74" s="1365" t="s">
        <v>1492</v>
      </c>
      <c r="E74" s="387"/>
      <c r="F74" s="571"/>
      <c r="G74" s="1326"/>
      <c r="H74" s="956"/>
    </row>
    <row r="75" spans="1:8" s="343" customFormat="1">
      <c r="A75" s="318"/>
      <c r="B75" s="1358"/>
      <c r="C75" s="973"/>
      <c r="D75" s="1366"/>
      <c r="E75" s="387"/>
      <c r="F75" s="571"/>
      <c r="G75" s="1326"/>
      <c r="H75" s="956"/>
    </row>
    <row r="76" spans="1:8" s="343" customFormat="1">
      <c r="A76" s="16">
        <f>$A$4</f>
        <v>9</v>
      </c>
      <c r="B76" s="1358">
        <v>1.1399999999999999</v>
      </c>
      <c r="C76" s="1359" t="s">
        <v>546</v>
      </c>
      <c r="D76" s="1361" t="s">
        <v>1493</v>
      </c>
      <c r="E76" s="387" t="s">
        <v>561</v>
      </c>
      <c r="F76" s="571">
        <v>189.5</v>
      </c>
      <c r="G76" s="1326"/>
      <c r="H76" s="1493">
        <f t="shared" ref="H76:H139" si="1">IF(E76="","",ROUND(F76*G76,2))</f>
        <v>0</v>
      </c>
    </row>
    <row r="77" spans="1:8">
      <c r="A77" s="16"/>
      <c r="B77" s="1358"/>
      <c r="C77" s="973"/>
      <c r="D77" s="1366"/>
      <c r="E77" s="387"/>
      <c r="F77" s="571"/>
      <c r="G77" s="1326"/>
      <c r="H77" s="1493" t="str">
        <f t="shared" si="1"/>
        <v/>
      </c>
    </row>
    <row r="78" spans="1:8" ht="26.4">
      <c r="A78" s="16">
        <f>$A$4</f>
        <v>9</v>
      </c>
      <c r="B78" s="1358">
        <v>1.1499999999999999</v>
      </c>
      <c r="C78" s="973" t="s">
        <v>590</v>
      </c>
      <c r="D78" s="1366" t="s">
        <v>1494</v>
      </c>
      <c r="E78" s="955" t="s">
        <v>641</v>
      </c>
      <c r="F78" s="571">
        <v>460</v>
      </c>
      <c r="G78" s="1297"/>
      <c r="H78" s="1493">
        <f t="shared" si="1"/>
        <v>0</v>
      </c>
    </row>
    <row r="79" spans="1:8" s="343" customFormat="1">
      <c r="A79" s="318"/>
      <c r="B79" s="1358"/>
      <c r="C79" s="973"/>
      <c r="D79" s="1366"/>
      <c r="E79" s="387"/>
      <c r="F79" s="571"/>
      <c r="G79" s="1326"/>
      <c r="H79" s="1493" t="str">
        <f t="shared" si="1"/>
        <v/>
      </c>
    </row>
    <row r="80" spans="1:8">
      <c r="A80" s="16">
        <f>$A$4</f>
        <v>9</v>
      </c>
      <c r="B80" s="1358">
        <v>1.1599999999999999</v>
      </c>
      <c r="C80" s="1359" t="s">
        <v>599</v>
      </c>
      <c r="D80" s="1361" t="s">
        <v>1495</v>
      </c>
      <c r="E80" s="387" t="s">
        <v>561</v>
      </c>
      <c r="F80" s="571">
        <v>80</v>
      </c>
      <c r="G80" s="1326"/>
      <c r="H80" s="1493">
        <f t="shared" si="1"/>
        <v>0</v>
      </c>
    </row>
    <row r="81" spans="1:8">
      <c r="A81" s="16"/>
      <c r="B81" s="1358"/>
      <c r="C81" s="551"/>
      <c r="D81" s="13"/>
      <c r="E81" s="382"/>
      <c r="F81" s="571"/>
      <c r="G81" s="1326"/>
      <c r="H81" s="1493" t="str">
        <f t="shared" si="1"/>
        <v/>
      </c>
    </row>
    <row r="82" spans="1:8" ht="26.4">
      <c r="A82" s="16"/>
      <c r="B82" s="1367" t="s">
        <v>597</v>
      </c>
      <c r="C82" s="996" t="s">
        <v>1001</v>
      </c>
      <c r="D82" s="521" t="s">
        <v>636</v>
      </c>
      <c r="E82" s="1368"/>
      <c r="F82" s="1369"/>
      <c r="G82" s="1326"/>
      <c r="H82" s="1493" t="str">
        <f t="shared" si="1"/>
        <v/>
      </c>
    </row>
    <row r="83" spans="1:8" s="343" customFormat="1">
      <c r="A83" s="318"/>
      <c r="B83" s="883"/>
      <c r="C83" s="439"/>
      <c r="D83" s="997"/>
      <c r="E83" s="1368"/>
      <c r="F83" s="1369"/>
      <c r="G83" s="1326"/>
      <c r="H83" s="1493" t="str">
        <f t="shared" si="1"/>
        <v/>
      </c>
    </row>
    <row r="84" spans="1:8">
      <c r="A84" s="16"/>
      <c r="B84" s="1370"/>
      <c r="C84" s="2340">
        <v>8.1999999999999993</v>
      </c>
      <c r="D84" s="2341" t="s">
        <v>637</v>
      </c>
      <c r="E84" s="398"/>
      <c r="F84" s="400"/>
      <c r="G84" s="1401"/>
      <c r="H84" s="1493" t="str">
        <f t="shared" si="1"/>
        <v/>
      </c>
    </row>
    <row r="85" spans="1:8">
      <c r="A85" s="16"/>
      <c r="B85" s="1370"/>
      <c r="C85" s="2340"/>
      <c r="D85" s="2341"/>
      <c r="E85" s="398"/>
      <c r="F85" s="400"/>
      <c r="G85" s="1401"/>
      <c r="H85" s="1493" t="str">
        <f t="shared" si="1"/>
        <v/>
      </c>
    </row>
    <row r="86" spans="1:8">
      <c r="A86" s="16"/>
      <c r="B86" s="1371"/>
      <c r="C86" s="439" t="s">
        <v>590</v>
      </c>
      <c r="D86" s="2341" t="s">
        <v>638</v>
      </c>
      <c r="E86" s="1368"/>
      <c r="F86" s="1369"/>
      <c r="G86" s="1326"/>
      <c r="H86" s="1493" t="str">
        <f t="shared" si="1"/>
        <v/>
      </c>
    </row>
    <row r="87" spans="1:8">
      <c r="A87" s="16"/>
      <c r="B87" s="1371"/>
      <c r="C87" s="439"/>
      <c r="D87" s="1372"/>
      <c r="E87" s="1368"/>
      <c r="F87" s="1369"/>
      <c r="G87" s="1326"/>
      <c r="H87" s="1493" t="str">
        <f t="shared" si="1"/>
        <v/>
      </c>
    </row>
    <row r="88" spans="1:8">
      <c r="A88" s="16"/>
      <c r="B88" s="1371"/>
      <c r="C88" s="439"/>
      <c r="D88" s="412" t="s">
        <v>639</v>
      </c>
      <c r="E88" s="1368"/>
      <c r="F88" s="1369"/>
      <c r="G88" s="1326"/>
      <c r="H88" s="1493" t="str">
        <f t="shared" si="1"/>
        <v/>
      </c>
    </row>
    <row r="89" spans="1:8">
      <c r="A89" s="16"/>
      <c r="B89" s="1371"/>
      <c r="C89" s="439"/>
      <c r="D89" s="998"/>
      <c r="E89" s="1368"/>
      <c r="F89" s="1369"/>
      <c r="G89" s="1326"/>
      <c r="H89" s="1493" t="str">
        <f t="shared" si="1"/>
        <v/>
      </c>
    </row>
    <row r="90" spans="1:8">
      <c r="A90" s="16">
        <f>$A$4</f>
        <v>9</v>
      </c>
      <c r="B90" s="1373">
        <v>1.17</v>
      </c>
      <c r="C90" s="439"/>
      <c r="D90" s="998" t="s">
        <v>1496</v>
      </c>
      <c r="E90" s="1374" t="s">
        <v>644</v>
      </c>
      <c r="F90" s="1369">
        <v>181</v>
      </c>
      <c r="G90" s="1326"/>
      <c r="H90" s="1493">
        <f t="shared" si="1"/>
        <v>0</v>
      </c>
    </row>
    <row r="91" spans="1:8">
      <c r="A91" s="16"/>
      <c r="B91" s="1371"/>
      <c r="C91" s="439"/>
      <c r="D91" s="998"/>
      <c r="E91" s="1374"/>
      <c r="F91" s="1369"/>
      <c r="G91" s="1326"/>
      <c r="H91" s="1493" t="str">
        <f t="shared" si="1"/>
        <v/>
      </c>
    </row>
    <row r="92" spans="1:8">
      <c r="A92" s="16">
        <f>$A$4</f>
        <v>9</v>
      </c>
      <c r="B92" s="1373">
        <v>1.18</v>
      </c>
      <c r="C92" s="439"/>
      <c r="D92" s="998" t="s">
        <v>1497</v>
      </c>
      <c r="E92" s="1374" t="s">
        <v>644</v>
      </c>
      <c r="F92" s="1369">
        <v>30</v>
      </c>
      <c r="G92" s="1326"/>
      <c r="H92" s="1493">
        <f t="shared" si="1"/>
        <v>0</v>
      </c>
    </row>
    <row r="93" spans="1:8">
      <c r="A93" s="16"/>
      <c r="B93" s="1371"/>
      <c r="C93" s="439"/>
      <c r="D93" s="998"/>
      <c r="E93" s="1374"/>
      <c r="F93" s="1369"/>
      <c r="G93" s="1326"/>
      <c r="H93" s="1493" t="str">
        <f t="shared" si="1"/>
        <v/>
      </c>
    </row>
    <row r="94" spans="1:8" ht="15.6">
      <c r="A94" s="16">
        <f>$A$4</f>
        <v>9</v>
      </c>
      <c r="B94" s="1373">
        <v>1.19</v>
      </c>
      <c r="C94" s="439"/>
      <c r="D94" s="1375" t="s">
        <v>810</v>
      </c>
      <c r="E94" s="356" t="s">
        <v>641</v>
      </c>
      <c r="F94" s="1369">
        <v>5</v>
      </c>
      <c r="G94" s="1326"/>
      <c r="H94" s="1493">
        <f t="shared" si="1"/>
        <v>0</v>
      </c>
    </row>
    <row r="95" spans="1:8">
      <c r="A95" s="16"/>
      <c r="B95" s="1371"/>
      <c r="C95" s="439"/>
      <c r="D95" s="1375"/>
      <c r="E95" s="356"/>
      <c r="F95" s="1369"/>
      <c r="G95" s="1326"/>
      <c r="H95" s="1493" t="str">
        <f t="shared" si="1"/>
        <v/>
      </c>
    </row>
    <row r="96" spans="1:8" ht="15.6">
      <c r="A96" s="16">
        <f>$A$4</f>
        <v>9</v>
      </c>
      <c r="B96" s="1373">
        <v>1.2</v>
      </c>
      <c r="C96" s="439"/>
      <c r="D96" s="1375" t="s">
        <v>811</v>
      </c>
      <c r="E96" s="356" t="s">
        <v>641</v>
      </c>
      <c r="F96" s="1369">
        <v>5</v>
      </c>
      <c r="G96" s="1326"/>
      <c r="H96" s="1493">
        <f t="shared" si="1"/>
        <v>0</v>
      </c>
    </row>
    <row r="97" spans="1:8">
      <c r="A97" s="16"/>
      <c r="B97" s="1371"/>
      <c r="C97" s="439"/>
      <c r="D97" s="1375"/>
      <c r="E97" s="356"/>
      <c r="F97" s="1369"/>
      <c r="G97" s="1326"/>
      <c r="H97" s="1493" t="str">
        <f t="shared" si="1"/>
        <v/>
      </c>
    </row>
    <row r="98" spans="1:8">
      <c r="A98" s="16">
        <f>$A$4</f>
        <v>9</v>
      </c>
      <c r="B98" s="1373">
        <v>1.21</v>
      </c>
      <c r="C98" s="439"/>
      <c r="D98" s="1375" t="s">
        <v>1498</v>
      </c>
      <c r="E98" s="1374" t="s">
        <v>644</v>
      </c>
      <c r="F98" s="1369">
        <v>2</v>
      </c>
      <c r="G98" s="1326"/>
      <c r="H98" s="1493">
        <f t="shared" si="1"/>
        <v>0</v>
      </c>
    </row>
    <row r="99" spans="1:8">
      <c r="A99" s="16"/>
      <c r="B99" s="1371"/>
      <c r="C99" s="439"/>
      <c r="D99" s="1375"/>
      <c r="E99" s="356"/>
      <c r="F99" s="1369"/>
      <c r="G99" s="1326"/>
      <c r="H99" s="1493" t="str">
        <f t="shared" si="1"/>
        <v/>
      </c>
    </row>
    <row r="100" spans="1:8">
      <c r="A100" s="16">
        <f>$A$4</f>
        <v>9</v>
      </c>
      <c r="B100" s="1373">
        <v>1.22</v>
      </c>
      <c r="C100" s="439"/>
      <c r="D100" s="998" t="s">
        <v>1499</v>
      </c>
      <c r="E100" s="1374" t="s">
        <v>644</v>
      </c>
      <c r="F100" s="1369">
        <v>5</v>
      </c>
      <c r="G100" s="1326"/>
      <c r="H100" s="1493">
        <f t="shared" si="1"/>
        <v>0</v>
      </c>
    </row>
    <row r="101" spans="1:8">
      <c r="A101" s="16"/>
      <c r="B101" s="1371"/>
      <c r="C101" s="439"/>
      <c r="D101" s="998"/>
      <c r="E101" s="1374"/>
      <c r="F101" s="1369"/>
      <c r="G101" s="1326"/>
      <c r="H101" s="1493" t="str">
        <f t="shared" si="1"/>
        <v/>
      </c>
    </row>
    <row r="102" spans="1:8">
      <c r="A102" s="16"/>
      <c r="B102" s="1371"/>
      <c r="C102" s="439"/>
      <c r="D102" s="499" t="s">
        <v>1500</v>
      </c>
      <c r="E102" s="1374"/>
      <c r="F102" s="1369"/>
      <c r="G102" s="1326"/>
      <c r="H102" s="1493" t="str">
        <f t="shared" si="1"/>
        <v/>
      </c>
    </row>
    <row r="103" spans="1:8">
      <c r="A103" s="16"/>
      <c r="B103" s="1371"/>
      <c r="C103" s="439"/>
      <c r="D103" s="998"/>
      <c r="E103" s="1374"/>
      <c r="F103" s="1369"/>
      <c r="G103" s="1326"/>
      <c r="H103" s="1493" t="str">
        <f t="shared" si="1"/>
        <v/>
      </c>
    </row>
    <row r="104" spans="1:8">
      <c r="A104" s="16">
        <f>$A$4</f>
        <v>9</v>
      </c>
      <c r="B104" s="1373">
        <v>1.23</v>
      </c>
      <c r="C104" s="439"/>
      <c r="D104" s="998" t="s">
        <v>1501</v>
      </c>
      <c r="E104" s="1374" t="s">
        <v>644</v>
      </c>
      <c r="F104" s="1369">
        <v>3</v>
      </c>
      <c r="G104" s="1326"/>
      <c r="H104" s="1493">
        <f t="shared" si="1"/>
        <v>0</v>
      </c>
    </row>
    <row r="105" spans="1:8">
      <c r="A105" s="16"/>
      <c r="B105" s="1371"/>
      <c r="C105" s="439"/>
      <c r="D105" s="998"/>
      <c r="E105" s="961"/>
      <c r="F105" s="1369"/>
      <c r="G105" s="1326"/>
      <c r="H105" s="1493" t="str">
        <f t="shared" si="1"/>
        <v/>
      </c>
    </row>
    <row r="106" spans="1:8">
      <c r="A106" s="16"/>
      <c r="B106" s="1371"/>
      <c r="C106" s="439"/>
      <c r="D106" s="499" t="s">
        <v>814</v>
      </c>
      <c r="E106" s="961"/>
      <c r="F106" s="1369"/>
      <c r="G106" s="1326"/>
      <c r="H106" s="1493" t="str">
        <f t="shared" si="1"/>
        <v/>
      </c>
    </row>
    <row r="107" spans="1:8">
      <c r="A107" s="16"/>
      <c r="B107" s="1371"/>
      <c r="C107" s="439"/>
      <c r="D107" s="998"/>
      <c r="E107" s="961"/>
      <c r="F107" s="1369"/>
      <c r="G107" s="1326"/>
      <c r="H107" s="1493" t="str">
        <f t="shared" si="1"/>
        <v/>
      </c>
    </row>
    <row r="108" spans="1:8">
      <c r="A108" s="16">
        <f>$A$4</f>
        <v>9</v>
      </c>
      <c r="B108" s="1373">
        <v>1.24</v>
      </c>
      <c r="C108" s="439"/>
      <c r="D108" s="998" t="s">
        <v>815</v>
      </c>
      <c r="E108" s="1374" t="s">
        <v>644</v>
      </c>
      <c r="F108" s="1369">
        <v>6</v>
      </c>
      <c r="G108" s="1326"/>
      <c r="H108" s="1493">
        <f t="shared" si="1"/>
        <v>0</v>
      </c>
    </row>
    <row r="109" spans="1:8">
      <c r="A109" s="16"/>
      <c r="B109" s="1371"/>
      <c r="C109" s="439"/>
      <c r="D109" s="998"/>
      <c r="E109" s="1374"/>
      <c r="F109" s="1376"/>
      <c r="G109" s="1326"/>
      <c r="H109" s="1493" t="str">
        <f t="shared" si="1"/>
        <v/>
      </c>
    </row>
    <row r="110" spans="1:8">
      <c r="A110" s="16"/>
      <c r="B110" s="1377"/>
      <c r="C110" s="398" t="s">
        <v>907</v>
      </c>
      <c r="D110" s="648" t="s">
        <v>908</v>
      </c>
      <c r="E110" s="649"/>
      <c r="F110" s="650"/>
      <c r="G110" s="1291"/>
      <c r="H110" s="1493" t="str">
        <f t="shared" si="1"/>
        <v/>
      </c>
    </row>
    <row r="111" spans="1:8">
      <c r="A111" s="16"/>
      <c r="B111" s="1377"/>
      <c r="C111" s="398"/>
      <c r="D111" s="410"/>
      <c r="E111" s="411"/>
      <c r="F111" s="400"/>
      <c r="G111" s="1286"/>
      <c r="H111" s="1493" t="str">
        <f t="shared" si="1"/>
        <v/>
      </c>
    </row>
    <row r="112" spans="1:8">
      <c r="A112" s="16"/>
      <c r="B112" s="1377"/>
      <c r="C112" s="398" t="s">
        <v>909</v>
      </c>
      <c r="D112" s="648" t="s">
        <v>910</v>
      </c>
      <c r="E112" s="411"/>
      <c r="F112" s="400"/>
      <c r="G112" s="1286"/>
      <c r="H112" s="1493" t="str">
        <f t="shared" si="1"/>
        <v/>
      </c>
    </row>
    <row r="113" spans="1:17" s="355" customFormat="1">
      <c r="A113" s="547"/>
      <c r="B113" s="1377"/>
      <c r="C113" s="398"/>
      <c r="D113" s="648"/>
      <c r="E113" s="411"/>
      <c r="F113" s="400"/>
      <c r="G113" s="1286"/>
      <c r="H113" s="1493" t="str">
        <f t="shared" si="1"/>
        <v/>
      </c>
    </row>
    <row r="114" spans="1:17" s="355" customFormat="1">
      <c r="A114" s="547"/>
      <c r="B114" s="1377"/>
      <c r="C114" s="398"/>
      <c r="D114" s="648" t="s">
        <v>911</v>
      </c>
      <c r="E114" s="411"/>
      <c r="F114" s="400"/>
      <c r="G114" s="1286"/>
      <c r="H114" s="1493" t="str">
        <f t="shared" si="1"/>
        <v/>
      </c>
    </row>
    <row r="115" spans="1:17" s="355" customFormat="1">
      <c r="A115" s="547"/>
      <c r="B115" s="1378"/>
      <c r="C115" s="546"/>
      <c r="D115" s="546"/>
      <c r="E115" s="546"/>
      <c r="F115" s="546"/>
      <c r="G115" s="1292"/>
      <c r="H115" s="1493" t="str">
        <f t="shared" si="1"/>
        <v/>
      </c>
    </row>
    <row r="116" spans="1:17" s="355" customFormat="1">
      <c r="A116" s="16">
        <f>$A$4</f>
        <v>9</v>
      </c>
      <c r="B116" s="1377">
        <v>1.25</v>
      </c>
      <c r="C116" s="398"/>
      <c r="D116" s="410" t="s">
        <v>1502</v>
      </c>
      <c r="E116" s="411" t="s">
        <v>273</v>
      </c>
      <c r="F116" s="400">
        <v>4</v>
      </c>
      <c r="G116" s="1293"/>
      <c r="H116" s="1493">
        <f t="shared" si="1"/>
        <v>0</v>
      </c>
    </row>
    <row r="117" spans="1:17" s="355" customFormat="1">
      <c r="A117" s="547"/>
      <c r="B117" s="1379"/>
      <c r="C117" s="651"/>
      <c r="D117" s="646"/>
      <c r="E117" s="647"/>
      <c r="F117" s="644"/>
      <c r="G117" s="1294"/>
      <c r="H117" s="1493" t="str">
        <f t="shared" si="1"/>
        <v/>
      </c>
    </row>
    <row r="118" spans="1:17" s="355" customFormat="1">
      <c r="A118" s="547"/>
      <c r="B118" s="1380"/>
      <c r="C118" s="1381"/>
      <c r="D118" s="456" t="s">
        <v>645</v>
      </c>
      <c r="E118" s="963"/>
      <c r="F118" s="1382"/>
      <c r="G118" s="1326"/>
      <c r="H118" s="1493" t="str">
        <f t="shared" si="1"/>
        <v/>
      </c>
    </row>
    <row r="119" spans="1:17" s="355" customFormat="1">
      <c r="A119" s="547"/>
      <c r="B119" s="2342"/>
      <c r="C119" s="2343"/>
      <c r="D119" s="659"/>
      <c r="E119" s="963"/>
      <c r="F119" s="1382"/>
      <c r="G119" s="1326"/>
      <c r="H119" s="1493" t="str">
        <f t="shared" si="1"/>
        <v/>
      </c>
      <c r="Q119" s="355">
        <f>0.15*0.15*0.25</f>
        <v>5.6249999999999998E-3</v>
      </c>
    </row>
    <row r="120" spans="1:17" s="326" customFormat="1">
      <c r="A120" s="549"/>
      <c r="B120" s="2342"/>
      <c r="C120" s="2340" t="s">
        <v>226</v>
      </c>
      <c r="D120" s="2344" t="s">
        <v>646</v>
      </c>
      <c r="E120" s="2208"/>
      <c r="F120" s="2345"/>
      <c r="G120" s="1326"/>
      <c r="H120" s="1493" t="str">
        <f t="shared" si="1"/>
        <v/>
      </c>
    </row>
    <row r="121" spans="1:17">
      <c r="A121" s="16"/>
      <c r="B121" s="2342"/>
      <c r="C121" s="2340"/>
      <c r="D121" s="2346"/>
      <c r="E121" s="2208"/>
      <c r="F121" s="2345"/>
      <c r="G121" s="1326"/>
      <c r="H121" s="1493" t="str">
        <f t="shared" si="1"/>
        <v/>
      </c>
    </row>
    <row r="122" spans="1:17">
      <c r="A122" s="16">
        <f>$A$4</f>
        <v>9</v>
      </c>
      <c r="B122" s="2347">
        <v>1.26</v>
      </c>
      <c r="C122" s="2348" t="s">
        <v>647</v>
      </c>
      <c r="D122" s="2349" t="s">
        <v>648</v>
      </c>
      <c r="E122" s="2208" t="s">
        <v>649</v>
      </c>
      <c r="F122" s="2345">
        <v>19.600000000000001</v>
      </c>
      <c r="G122" s="1326"/>
      <c r="H122" s="1493">
        <f t="shared" si="1"/>
        <v>0</v>
      </c>
    </row>
    <row r="123" spans="1:17">
      <c r="A123" s="16"/>
      <c r="B123" s="2342"/>
      <c r="C123" s="2340"/>
      <c r="D123" s="2346"/>
      <c r="E123" s="2208"/>
      <c r="G123" s="1326"/>
      <c r="H123" s="1493" t="str">
        <f t="shared" si="1"/>
        <v/>
      </c>
    </row>
    <row r="124" spans="1:17">
      <c r="A124" s="16"/>
      <c r="B124" s="2350"/>
      <c r="C124" s="2150" t="s">
        <v>226</v>
      </c>
      <c r="D124" s="2151" t="s">
        <v>650</v>
      </c>
      <c r="E124" s="1832"/>
      <c r="F124" s="1270"/>
      <c r="G124" s="1533"/>
      <c r="H124" s="1493" t="str">
        <f t="shared" si="1"/>
        <v/>
      </c>
    </row>
    <row r="125" spans="1:17" s="346" customFormat="1">
      <c r="A125" s="356"/>
      <c r="B125" s="1383"/>
      <c r="C125" s="2150"/>
      <c r="D125" s="2152"/>
      <c r="E125" s="1832"/>
      <c r="F125" s="1270"/>
      <c r="G125" s="1533"/>
      <c r="H125" s="1493" t="str">
        <f t="shared" si="1"/>
        <v/>
      </c>
    </row>
    <row r="126" spans="1:17">
      <c r="A126" s="16">
        <f>$A$4</f>
        <v>9</v>
      </c>
      <c r="B126" s="1383">
        <v>1.27</v>
      </c>
      <c r="C126" s="2150" t="s">
        <v>647</v>
      </c>
      <c r="D126" s="2153" t="s">
        <v>682</v>
      </c>
      <c r="E126" s="356" t="s">
        <v>649</v>
      </c>
      <c r="F126" s="1270">
        <v>0.5</v>
      </c>
      <c r="G126" s="1533"/>
      <c r="H126" s="1493">
        <f t="shared" si="1"/>
        <v>0</v>
      </c>
    </row>
    <row r="127" spans="1:17" s="355" customFormat="1">
      <c r="A127" s="1961"/>
      <c r="B127" s="2351"/>
      <c r="C127" s="2352"/>
      <c r="D127" s="2353"/>
      <c r="E127" s="2208"/>
      <c r="F127" s="404"/>
      <c r="G127" s="1326"/>
      <c r="H127" s="1493" t="str">
        <f t="shared" si="1"/>
        <v/>
      </c>
    </row>
    <row r="128" spans="1:17" s="355" customFormat="1">
      <c r="A128" s="1961"/>
      <c r="B128" s="2342"/>
      <c r="C128" s="2340"/>
      <c r="D128" s="2344" t="s">
        <v>817</v>
      </c>
      <c r="E128" s="2208"/>
      <c r="F128" s="2345"/>
      <c r="G128" s="1326"/>
      <c r="H128" s="1493" t="str">
        <f t="shared" si="1"/>
        <v/>
      </c>
    </row>
    <row r="129" spans="1:17" s="355" customFormat="1">
      <c r="A129" s="1961"/>
      <c r="B129" s="2342"/>
      <c r="C129" s="2340"/>
      <c r="D129" s="2346"/>
      <c r="E129" s="2208"/>
      <c r="F129" s="2345"/>
      <c r="G129" s="1326"/>
      <c r="H129" s="1493" t="str">
        <f t="shared" si="1"/>
        <v/>
      </c>
    </row>
    <row r="130" spans="1:17">
      <c r="A130" s="16">
        <f>$A$4</f>
        <v>9</v>
      </c>
      <c r="B130" s="2342">
        <v>1.28</v>
      </c>
      <c r="C130" s="2340"/>
      <c r="D130" s="2346" t="s">
        <v>1503</v>
      </c>
      <c r="E130" s="1555" t="s">
        <v>644</v>
      </c>
      <c r="F130" s="2345">
        <v>65</v>
      </c>
      <c r="G130" s="1326"/>
      <c r="H130" s="1493">
        <f t="shared" si="1"/>
        <v>0</v>
      </c>
      <c r="I130" s="1384"/>
      <c r="J130" s="1384"/>
      <c r="K130" s="1384"/>
      <c r="L130" s="1384"/>
      <c r="M130" s="1384"/>
      <c r="N130" s="1384"/>
      <c r="O130" s="1384"/>
      <c r="P130" s="1384"/>
      <c r="Q130" s="1384"/>
    </row>
    <row r="131" spans="1:17">
      <c r="A131" s="16"/>
      <c r="B131" s="2342"/>
      <c r="C131" s="2340"/>
      <c r="D131" s="2346"/>
      <c r="E131" s="2354"/>
      <c r="G131" s="1326"/>
      <c r="H131" s="1493" t="str">
        <f t="shared" si="1"/>
        <v/>
      </c>
    </row>
    <row r="132" spans="1:17">
      <c r="A132" s="16"/>
      <c r="B132" s="2355"/>
      <c r="C132" s="439">
        <v>8.4</v>
      </c>
      <c r="D132" s="2356" t="s">
        <v>1008</v>
      </c>
      <c r="E132" s="1555"/>
      <c r="F132" s="2357"/>
      <c r="G132" s="1326"/>
      <c r="H132" s="1493" t="str">
        <f t="shared" si="1"/>
        <v/>
      </c>
    </row>
    <row r="133" spans="1:17">
      <c r="A133" s="16"/>
      <c r="B133" s="1371"/>
      <c r="C133" s="439"/>
      <c r="D133" s="2358"/>
      <c r="E133" s="1555"/>
      <c r="F133" s="1369"/>
      <c r="G133" s="1326"/>
      <c r="H133" s="1493" t="str">
        <f t="shared" si="1"/>
        <v/>
      </c>
    </row>
    <row r="134" spans="1:17">
      <c r="A134" s="16"/>
      <c r="B134" s="1371"/>
      <c r="C134" s="439" t="s">
        <v>337</v>
      </c>
      <c r="D134" s="2061" t="s">
        <v>1504</v>
      </c>
      <c r="E134" s="1555"/>
      <c r="F134" s="1369"/>
      <c r="G134" s="1326"/>
      <c r="H134" s="1493" t="str">
        <f t="shared" si="1"/>
        <v/>
      </c>
    </row>
    <row r="135" spans="1:17">
      <c r="A135" s="16"/>
      <c r="B135" s="1371"/>
      <c r="C135" s="439"/>
      <c r="D135" s="2358"/>
      <c r="E135" s="1555"/>
      <c r="F135" s="1369"/>
      <c r="G135" s="1326"/>
      <c r="H135" s="1493" t="str">
        <f t="shared" si="1"/>
        <v/>
      </c>
    </row>
    <row r="136" spans="1:17">
      <c r="A136" s="16">
        <f>$A$4</f>
        <v>9</v>
      </c>
      <c r="B136" s="1373">
        <v>1.29</v>
      </c>
      <c r="C136" s="439"/>
      <c r="D136" s="1983" t="s">
        <v>1505</v>
      </c>
      <c r="E136" s="1555" t="s">
        <v>644</v>
      </c>
      <c r="F136" s="1369">
        <v>70</v>
      </c>
      <c r="G136" s="1326"/>
      <c r="H136" s="1493">
        <f t="shared" si="1"/>
        <v>0</v>
      </c>
    </row>
    <row r="137" spans="1:17">
      <c r="A137" s="16"/>
      <c r="B137" s="1385"/>
      <c r="C137" s="1554"/>
      <c r="D137" s="1386"/>
      <c r="E137" s="1555"/>
      <c r="F137" s="1556"/>
      <c r="G137" s="1326"/>
      <c r="H137" s="1493" t="str">
        <f t="shared" si="1"/>
        <v/>
      </c>
    </row>
    <row r="138" spans="1:17">
      <c r="A138" s="16"/>
      <c r="B138" s="1371"/>
      <c r="C138" s="16" t="s">
        <v>375</v>
      </c>
      <c r="D138" s="2061" t="s">
        <v>1506</v>
      </c>
      <c r="E138" s="1555"/>
      <c r="F138" s="1369"/>
      <c r="G138" s="1326"/>
      <c r="H138" s="1493" t="str">
        <f t="shared" si="1"/>
        <v/>
      </c>
    </row>
    <row r="139" spans="1:17">
      <c r="A139" s="16"/>
      <c r="B139" s="1371"/>
      <c r="C139" s="16"/>
      <c r="D139" s="2061"/>
      <c r="E139" s="1555"/>
      <c r="F139" s="1369"/>
      <c r="G139" s="1326"/>
      <c r="H139" s="1493" t="str">
        <f t="shared" si="1"/>
        <v/>
      </c>
    </row>
    <row r="140" spans="1:17">
      <c r="A140" s="16">
        <f>$A$4</f>
        <v>9</v>
      </c>
      <c r="B140" s="1373">
        <v>1.3</v>
      </c>
      <c r="C140" s="439"/>
      <c r="D140" s="2359" t="s">
        <v>1507</v>
      </c>
      <c r="E140" s="1555" t="s">
        <v>644</v>
      </c>
      <c r="F140" s="1369">
        <v>65</v>
      </c>
      <c r="G140" s="1326"/>
      <c r="H140" s="1493">
        <f t="shared" ref="H140:H146" si="2">IF(E140="","",ROUND(F140*G140,2))</f>
        <v>0</v>
      </c>
    </row>
    <row r="141" spans="1:17">
      <c r="A141" s="16"/>
      <c r="B141" s="1371"/>
      <c r="C141" s="439"/>
      <c r="D141" s="2359"/>
      <c r="E141" s="1555"/>
      <c r="F141" s="1369"/>
      <c r="G141" s="1326"/>
      <c r="H141" s="1493" t="str">
        <f t="shared" si="2"/>
        <v/>
      </c>
    </row>
    <row r="142" spans="1:17" ht="15.6">
      <c r="A142" s="16">
        <f>$A$4</f>
        <v>9</v>
      </c>
      <c r="B142" s="1373">
        <v>1.31</v>
      </c>
      <c r="C142" s="439"/>
      <c r="D142" s="2358" t="s">
        <v>1508</v>
      </c>
      <c r="E142" s="356" t="s">
        <v>657</v>
      </c>
      <c r="F142" s="1369">
        <v>5</v>
      </c>
      <c r="G142" s="1326"/>
      <c r="H142" s="1493">
        <f t="shared" si="2"/>
        <v>0</v>
      </c>
    </row>
    <row r="143" spans="1:17">
      <c r="A143" s="16"/>
      <c r="B143" s="1371"/>
      <c r="C143" s="439"/>
      <c r="D143" s="2358"/>
      <c r="E143" s="961"/>
      <c r="F143" s="2357"/>
      <c r="G143" s="1326"/>
      <c r="H143" s="1493" t="str">
        <f t="shared" si="2"/>
        <v/>
      </c>
    </row>
    <row r="144" spans="1:17">
      <c r="A144" s="16"/>
      <c r="B144" s="1371"/>
      <c r="C144" s="439" t="s">
        <v>375</v>
      </c>
      <c r="D144" s="2061" t="s">
        <v>1509</v>
      </c>
      <c r="E144" s="1555"/>
      <c r="F144" s="1369"/>
      <c r="G144" s="1326"/>
      <c r="H144" s="1493" t="str">
        <f t="shared" si="2"/>
        <v/>
      </c>
    </row>
    <row r="145" spans="1:8">
      <c r="A145" s="16"/>
      <c r="B145" s="1371"/>
      <c r="C145" s="439"/>
      <c r="D145" s="2061"/>
      <c r="E145" s="1555"/>
      <c r="F145" s="1369"/>
      <c r="G145" s="1326"/>
      <c r="H145" s="1493" t="str">
        <f t="shared" si="2"/>
        <v/>
      </c>
    </row>
    <row r="146" spans="1:8">
      <c r="A146" s="16">
        <f>$A$4</f>
        <v>9</v>
      </c>
      <c r="B146" s="1373">
        <v>1.32</v>
      </c>
      <c r="C146" s="439"/>
      <c r="D146" s="2358" t="s">
        <v>820</v>
      </c>
      <c r="E146" s="1555" t="s">
        <v>508</v>
      </c>
      <c r="F146" s="1369">
        <v>69</v>
      </c>
      <c r="G146" s="1326"/>
      <c r="H146" s="1493">
        <f t="shared" si="2"/>
        <v>0</v>
      </c>
    </row>
    <row r="147" spans="1:8">
      <c r="A147" s="16"/>
      <c r="B147" s="1385"/>
      <c r="C147" s="1554"/>
      <c r="D147" s="1386"/>
      <c r="E147" s="1555"/>
      <c r="F147" s="1556"/>
      <c r="G147" s="1326"/>
      <c r="H147" s="1336"/>
    </row>
    <row r="148" spans="1:8">
      <c r="A148" s="16"/>
      <c r="B148" s="1385"/>
      <c r="C148" s="1554"/>
      <c r="D148" s="1386"/>
      <c r="E148" s="1555"/>
      <c r="F148" s="1556"/>
      <c r="G148" s="1326"/>
      <c r="H148" s="1336"/>
    </row>
    <row r="149" spans="1:8">
      <c r="A149" s="16"/>
      <c r="B149" s="1387"/>
      <c r="C149" s="439"/>
      <c r="D149" s="1386"/>
      <c r="E149" s="1555"/>
      <c r="F149" s="1369"/>
      <c r="G149" s="1326"/>
      <c r="H149" s="1336"/>
    </row>
    <row r="150" spans="1:8">
      <c r="A150" s="16"/>
      <c r="B150" s="1387"/>
      <c r="C150" s="439"/>
      <c r="D150" s="1386"/>
      <c r="E150" s="1555"/>
      <c r="F150" s="1369"/>
      <c r="G150" s="1326"/>
      <c r="H150" s="1336"/>
    </row>
    <row r="151" spans="1:8">
      <c r="A151" s="16"/>
      <c r="B151" s="1333"/>
      <c r="C151" s="551"/>
      <c r="D151" s="1353"/>
      <c r="E151" s="1347"/>
      <c r="F151" s="571"/>
      <c r="G151" s="1326"/>
      <c r="H151" s="956"/>
    </row>
    <row r="152" spans="1:8">
      <c r="A152" s="2333"/>
      <c r="B152" s="822"/>
      <c r="C152" s="819"/>
      <c r="D152" s="819"/>
      <c r="E152" s="820"/>
      <c r="F152" s="821"/>
      <c r="G152" s="2334"/>
      <c r="H152" s="2335"/>
    </row>
    <row r="153" spans="1:8">
      <c r="A153" s="2336"/>
      <c r="B153" s="823"/>
      <c r="C153" s="438"/>
      <c r="D153" s="328" t="s">
        <v>289</v>
      </c>
      <c r="E153" s="402"/>
      <c r="F153" s="403"/>
      <c r="G153" s="2337"/>
      <c r="H153" s="2338">
        <f>SUM(H72:H151)</f>
        <v>0</v>
      </c>
    </row>
    <row r="154" spans="1:8" ht="13.35" customHeight="1">
      <c r="A154" s="16"/>
      <c r="B154" s="1333"/>
      <c r="C154" s="551"/>
      <c r="D154" s="2062" t="s">
        <v>290</v>
      </c>
      <c r="E154" s="2339"/>
      <c r="F154" s="571"/>
      <c r="G154" s="1326"/>
      <c r="H154" s="954">
        <f>H153</f>
        <v>0</v>
      </c>
    </row>
    <row r="155" spans="1:8">
      <c r="A155" s="16"/>
      <c r="B155" s="1371"/>
      <c r="C155" s="439"/>
      <c r="D155" s="2358"/>
      <c r="E155" s="1555"/>
      <c r="F155" s="1369"/>
      <c r="G155" s="1326"/>
      <c r="H155" s="956"/>
    </row>
    <row r="156" spans="1:8" ht="12" customHeight="1">
      <c r="A156" s="16"/>
      <c r="B156" s="1371"/>
      <c r="C156" s="439"/>
      <c r="D156" s="2061" t="s">
        <v>655</v>
      </c>
      <c r="E156" s="1555"/>
      <c r="F156" s="1369"/>
      <c r="G156" s="1326"/>
      <c r="H156" s="956"/>
    </row>
    <row r="157" spans="1:8">
      <c r="A157" s="16"/>
      <c r="B157" s="1371"/>
      <c r="C157" s="439"/>
      <c r="D157" s="2358"/>
      <c r="E157" s="1555"/>
      <c r="F157" s="1369"/>
      <c r="G157" s="1326"/>
      <c r="H157" s="956"/>
    </row>
    <row r="158" spans="1:8">
      <c r="A158" s="16">
        <f>$A$4</f>
        <v>9</v>
      </c>
      <c r="B158" s="1373">
        <v>1.33</v>
      </c>
      <c r="C158" s="439"/>
      <c r="D158" s="2358" t="s">
        <v>1510</v>
      </c>
      <c r="E158" s="1555" t="s">
        <v>508</v>
      </c>
      <c r="F158" s="1369">
        <v>30</v>
      </c>
      <c r="G158" s="1326"/>
      <c r="H158" s="1493">
        <f t="shared" ref="H158:H196" si="3">IF(E158="","",ROUND(F158*G158,2))</f>
        <v>0</v>
      </c>
    </row>
    <row r="159" spans="1:8">
      <c r="A159" s="16"/>
      <c r="B159" s="1371"/>
      <c r="C159" s="439"/>
      <c r="D159" s="2358"/>
      <c r="E159" s="1555"/>
      <c r="F159" s="1369"/>
      <c r="G159" s="1326"/>
      <c r="H159" s="1493" t="str">
        <f t="shared" si="3"/>
        <v/>
      </c>
    </row>
    <row r="160" spans="1:8">
      <c r="A160" s="16">
        <f>$A$4</f>
        <v>9</v>
      </c>
      <c r="B160" s="1373">
        <v>1.34</v>
      </c>
      <c r="C160" s="439"/>
      <c r="D160" s="2358" t="s">
        <v>1511</v>
      </c>
      <c r="E160" s="1555" t="s">
        <v>508</v>
      </c>
      <c r="F160" s="1369">
        <v>20</v>
      </c>
      <c r="G160" s="1326"/>
      <c r="H160" s="1493">
        <f t="shared" si="3"/>
        <v>0</v>
      </c>
    </row>
    <row r="161" spans="1:8">
      <c r="A161" s="16"/>
      <c r="B161" s="1371"/>
      <c r="C161" s="439"/>
      <c r="D161" s="2358"/>
      <c r="E161" s="1555"/>
      <c r="F161" s="1369"/>
      <c r="G161" s="1326"/>
      <c r="H161" s="1493" t="str">
        <f t="shared" si="3"/>
        <v/>
      </c>
    </row>
    <row r="162" spans="1:8">
      <c r="A162" s="16">
        <f>$A$4</f>
        <v>9</v>
      </c>
      <c r="B162" s="1373">
        <v>1.35</v>
      </c>
      <c r="C162" s="439"/>
      <c r="D162" s="2358" t="s">
        <v>1512</v>
      </c>
      <c r="E162" s="1555" t="s">
        <v>508</v>
      </c>
      <c r="F162" s="1369">
        <v>3</v>
      </c>
      <c r="G162" s="1326"/>
      <c r="H162" s="1493">
        <f t="shared" si="3"/>
        <v>0</v>
      </c>
    </row>
    <row r="163" spans="1:8" ht="12" customHeight="1">
      <c r="A163" s="16"/>
      <c r="B163" s="1371"/>
      <c r="C163" s="439"/>
      <c r="D163" s="2358"/>
      <c r="E163" s="1555"/>
      <c r="F163" s="1369"/>
      <c r="G163" s="1326"/>
      <c r="H163" s="1493" t="str">
        <f t="shared" si="3"/>
        <v/>
      </c>
    </row>
    <row r="164" spans="1:8" ht="12" customHeight="1">
      <c r="A164" s="16">
        <f>$A$4</f>
        <v>9</v>
      </c>
      <c r="B164" s="1373">
        <v>1.36</v>
      </c>
      <c r="C164" s="439"/>
      <c r="D164" s="2358" t="s">
        <v>925</v>
      </c>
      <c r="E164" s="1555" t="s">
        <v>508</v>
      </c>
      <c r="F164" s="1369">
        <v>3.2473999999999998</v>
      </c>
      <c r="G164" s="1326"/>
      <c r="H164" s="1493">
        <f t="shared" si="3"/>
        <v>0</v>
      </c>
    </row>
    <row r="165" spans="1:8" ht="12" customHeight="1">
      <c r="A165" s="16"/>
      <c r="B165" s="1371"/>
      <c r="C165" s="439"/>
      <c r="D165" s="2358"/>
      <c r="E165" s="1555"/>
      <c r="F165" s="1369"/>
      <c r="G165" s="1326"/>
      <c r="H165" s="1493" t="str">
        <f t="shared" si="3"/>
        <v/>
      </c>
    </row>
    <row r="166" spans="1:8" ht="12" customHeight="1">
      <c r="A166" s="16"/>
      <c r="B166" s="1371"/>
      <c r="C166" s="439" t="s">
        <v>384</v>
      </c>
      <c r="D166" s="2360" t="s">
        <v>1019</v>
      </c>
      <c r="E166" s="1368"/>
      <c r="F166" s="1369"/>
      <c r="G166" s="1326"/>
      <c r="H166" s="1493" t="str">
        <f t="shared" si="3"/>
        <v/>
      </c>
    </row>
    <row r="167" spans="1:8" ht="12" customHeight="1">
      <c r="A167" s="16"/>
      <c r="B167" s="1371"/>
      <c r="C167" s="439"/>
      <c r="D167" s="2361"/>
      <c r="E167" s="1368"/>
      <c r="F167" s="1369"/>
      <c r="G167" s="1326"/>
      <c r="H167" s="1493" t="str">
        <f t="shared" si="3"/>
        <v/>
      </c>
    </row>
    <row r="168" spans="1:8" ht="12" customHeight="1">
      <c r="A168" s="16"/>
      <c r="B168" s="1371"/>
      <c r="C168" s="439"/>
      <c r="D168" s="2362" t="s">
        <v>660</v>
      </c>
      <c r="E168" s="1555"/>
      <c r="F168" s="1369"/>
      <c r="G168" s="1326"/>
      <c r="H168" s="1493" t="str">
        <f t="shared" si="3"/>
        <v/>
      </c>
    </row>
    <row r="169" spans="1:8" ht="12" customHeight="1">
      <c r="A169" s="16"/>
      <c r="B169" s="1371"/>
      <c r="C169" s="439"/>
      <c r="D169" s="2358"/>
      <c r="E169" s="1555"/>
      <c r="F169" s="1369"/>
      <c r="G169" s="1326"/>
      <c r="H169" s="1493" t="str">
        <f t="shared" si="3"/>
        <v/>
      </c>
    </row>
    <row r="170" spans="1:8" ht="12" customHeight="1">
      <c r="A170" s="16">
        <f>$A$4</f>
        <v>9</v>
      </c>
      <c r="B170" s="1373">
        <v>1.37</v>
      </c>
      <c r="C170" s="439"/>
      <c r="D170" s="2358" t="s">
        <v>820</v>
      </c>
      <c r="E170" s="1555" t="s">
        <v>644</v>
      </c>
      <c r="F170" s="1369">
        <v>460</v>
      </c>
      <c r="G170" s="1326"/>
      <c r="H170" s="1493">
        <f t="shared" si="3"/>
        <v>0</v>
      </c>
    </row>
    <row r="171" spans="1:8" ht="12" customHeight="1">
      <c r="A171" s="16"/>
      <c r="B171" s="1371"/>
      <c r="C171" s="439"/>
      <c r="D171" s="2358"/>
      <c r="E171" s="1555"/>
      <c r="F171" s="1369"/>
      <c r="G171" s="1326"/>
      <c r="H171" s="1493" t="str">
        <f t="shared" si="3"/>
        <v/>
      </c>
    </row>
    <row r="172" spans="1:8" ht="12" customHeight="1">
      <c r="A172" s="16">
        <f>$A$4</f>
        <v>9</v>
      </c>
      <c r="B172" s="1373">
        <v>1.38</v>
      </c>
      <c r="C172" s="439"/>
      <c r="D172" s="2358" t="s">
        <v>1513</v>
      </c>
      <c r="E172" s="1555" t="s">
        <v>644</v>
      </c>
      <c r="F172" s="1369">
        <v>70</v>
      </c>
      <c r="G172" s="1326"/>
      <c r="H172" s="1493">
        <f t="shared" si="3"/>
        <v>0</v>
      </c>
    </row>
    <row r="173" spans="1:8" ht="12" customHeight="1">
      <c r="A173" s="16"/>
      <c r="B173" s="1371"/>
      <c r="C173" s="439"/>
      <c r="D173" s="1388"/>
      <c r="E173" s="1555"/>
      <c r="F173" s="1369"/>
      <c r="G173" s="1326"/>
      <c r="H173" s="1493" t="str">
        <f t="shared" si="3"/>
        <v/>
      </c>
    </row>
    <row r="174" spans="1:8" ht="12" customHeight="1">
      <c r="A174" s="16">
        <f>$A$4</f>
        <v>9</v>
      </c>
      <c r="B174" s="1373">
        <v>1.39</v>
      </c>
      <c r="C174" s="439"/>
      <c r="D174" s="1388" t="s">
        <v>1514</v>
      </c>
      <c r="E174" s="1555" t="s">
        <v>644</v>
      </c>
      <c r="F174" s="1369">
        <v>5.58</v>
      </c>
      <c r="G174" s="1326"/>
      <c r="H174" s="1493">
        <f t="shared" si="3"/>
        <v>0</v>
      </c>
    </row>
    <row r="175" spans="1:8" ht="12" customHeight="1">
      <c r="A175" s="16"/>
      <c r="B175" s="1371"/>
      <c r="C175" s="439"/>
      <c r="D175" s="2358"/>
      <c r="E175" s="1555"/>
      <c r="F175" s="1369"/>
      <c r="G175" s="1326"/>
      <c r="H175" s="1493" t="str">
        <f t="shared" si="3"/>
        <v/>
      </c>
    </row>
    <row r="176" spans="1:8" ht="12" customHeight="1">
      <c r="A176" s="16"/>
      <c r="B176" s="1371"/>
      <c r="C176" s="439"/>
      <c r="D176" s="2362" t="s">
        <v>704</v>
      </c>
      <c r="E176" s="1555"/>
      <c r="F176" s="1369"/>
      <c r="G176" s="1326"/>
      <c r="H176" s="1493" t="str">
        <f t="shared" si="3"/>
        <v/>
      </c>
    </row>
    <row r="177" spans="1:8" ht="12" customHeight="1">
      <c r="A177" s="16"/>
      <c r="B177" s="1371"/>
      <c r="C177" s="2363"/>
      <c r="D177" s="2358"/>
      <c r="E177" s="1555"/>
      <c r="F177" s="1369"/>
      <c r="G177" s="1326"/>
      <c r="H177" s="1493" t="str">
        <f t="shared" si="3"/>
        <v/>
      </c>
    </row>
    <row r="178" spans="1:8" ht="12" customHeight="1">
      <c r="A178" s="16">
        <f>$A$4</f>
        <v>9</v>
      </c>
      <c r="B178" s="1373">
        <v>1.4</v>
      </c>
      <c r="C178" s="2363"/>
      <c r="D178" s="2358" t="s">
        <v>1020</v>
      </c>
      <c r="E178" s="1555" t="s">
        <v>644</v>
      </c>
      <c r="F178" s="1369">
        <v>10</v>
      </c>
      <c r="G178" s="1326"/>
      <c r="H178" s="1493">
        <f t="shared" si="3"/>
        <v>0</v>
      </c>
    </row>
    <row r="179" spans="1:8" ht="12" customHeight="1">
      <c r="A179" s="16"/>
      <c r="B179" s="1371"/>
      <c r="C179" s="2363"/>
      <c r="D179" s="1388"/>
      <c r="E179" s="1555"/>
      <c r="F179" s="1369"/>
      <c r="G179" s="1326"/>
      <c r="H179" s="1493" t="str">
        <f t="shared" si="3"/>
        <v/>
      </c>
    </row>
    <row r="180" spans="1:8" ht="12" customHeight="1">
      <c r="A180" s="16"/>
      <c r="B180" s="2364"/>
      <c r="C180" s="2001" t="s">
        <v>855</v>
      </c>
      <c r="D180" s="2365" t="s">
        <v>11</v>
      </c>
      <c r="E180" s="2364" t="s">
        <v>11</v>
      </c>
      <c r="F180" s="1556"/>
      <c r="G180" s="1326"/>
      <c r="H180" s="1493">
        <f t="shared" si="3"/>
        <v>0</v>
      </c>
    </row>
    <row r="181" spans="1:8" ht="12" customHeight="1">
      <c r="A181" s="16"/>
      <c r="B181" s="1389" t="s">
        <v>1515</v>
      </c>
      <c r="C181" s="2001" t="s">
        <v>856</v>
      </c>
      <c r="D181" s="2366" t="s">
        <v>857</v>
      </c>
      <c r="E181" s="2364"/>
      <c r="F181" s="1556"/>
      <c r="G181" s="1326"/>
      <c r="H181" s="1493" t="str">
        <f t="shared" si="3"/>
        <v/>
      </c>
    </row>
    <row r="182" spans="1:8" ht="12" customHeight="1">
      <c r="A182" s="16"/>
      <c r="B182" s="2364"/>
      <c r="C182" s="2001" t="s">
        <v>858</v>
      </c>
      <c r="D182" s="1390"/>
      <c r="E182" s="2367"/>
      <c r="F182" s="1369"/>
      <c r="G182" s="1326"/>
      <c r="H182" s="1493" t="str">
        <f t="shared" si="3"/>
        <v/>
      </c>
    </row>
    <row r="183" spans="1:8" ht="12" customHeight="1">
      <c r="A183" s="16"/>
      <c r="B183" s="1391"/>
      <c r="C183" s="2367"/>
      <c r="D183" s="1392"/>
      <c r="E183" s="2367"/>
      <c r="F183" s="1369"/>
      <c r="G183" s="1326"/>
      <c r="H183" s="1493" t="str">
        <f t="shared" si="3"/>
        <v/>
      </c>
    </row>
    <row r="184" spans="1:8" ht="12" customHeight="1">
      <c r="A184" s="16">
        <f>$A$4</f>
        <v>9</v>
      </c>
      <c r="B184" s="1391">
        <v>1.41</v>
      </c>
      <c r="C184" s="2367" t="s">
        <v>859</v>
      </c>
      <c r="D184" s="1390" t="s">
        <v>986</v>
      </c>
      <c r="E184" s="2367" t="s">
        <v>561</v>
      </c>
      <c r="F184" s="1369">
        <v>55</v>
      </c>
      <c r="G184" s="1326"/>
      <c r="H184" s="1493">
        <f t="shared" si="3"/>
        <v>0</v>
      </c>
    </row>
    <row r="185" spans="1:8" ht="12" customHeight="1">
      <c r="A185" s="16"/>
      <c r="B185" s="1391"/>
      <c r="C185" s="2367"/>
      <c r="D185" s="1390"/>
      <c r="E185" s="2367"/>
      <c r="F185" s="1556"/>
      <c r="G185" s="1326"/>
      <c r="H185" s="1493" t="str">
        <f t="shared" si="3"/>
        <v/>
      </c>
    </row>
    <row r="186" spans="1:8" ht="12" customHeight="1">
      <c r="A186" s="16"/>
      <c r="B186" s="2368"/>
      <c r="C186" s="2177"/>
      <c r="D186" s="953"/>
      <c r="E186" s="2369"/>
      <c r="F186" s="2072"/>
      <c r="G186" s="1326"/>
      <c r="H186" s="1493" t="str">
        <f t="shared" si="3"/>
        <v/>
      </c>
    </row>
    <row r="187" spans="1:8" ht="12" customHeight="1">
      <c r="A187" s="16"/>
      <c r="B187" s="2370" t="s">
        <v>1516</v>
      </c>
      <c r="C187" s="2371" t="s">
        <v>1023</v>
      </c>
      <c r="D187" s="2327" t="s">
        <v>1024</v>
      </c>
      <c r="E187" s="356"/>
      <c r="F187" s="356"/>
      <c r="G187" s="1326"/>
      <c r="H187" s="1493" t="str">
        <f t="shared" si="3"/>
        <v/>
      </c>
    </row>
    <row r="188" spans="1:8" ht="12" customHeight="1">
      <c r="A188" s="16"/>
      <c r="B188" s="1393"/>
      <c r="C188" s="1565"/>
      <c r="D188" s="2372"/>
      <c r="E188" s="356"/>
      <c r="F188" s="356"/>
      <c r="G188" s="1326"/>
      <c r="H188" s="1493" t="str">
        <f t="shared" si="3"/>
        <v/>
      </c>
    </row>
    <row r="189" spans="1:8" ht="26.4">
      <c r="A189" s="16">
        <f>$A$4</f>
        <v>9</v>
      </c>
      <c r="B189" s="874">
        <v>1.42</v>
      </c>
      <c r="C189" s="1565" t="s">
        <v>1517</v>
      </c>
      <c r="D189" s="2165" t="s">
        <v>1518</v>
      </c>
      <c r="E189" s="1350" t="s">
        <v>644</v>
      </c>
      <c r="F189" s="356">
        <v>1</v>
      </c>
      <c r="G189" s="1326"/>
      <c r="H189" s="1493">
        <f t="shared" si="3"/>
        <v>0</v>
      </c>
    </row>
    <row r="190" spans="1:8" ht="12" customHeight="1">
      <c r="A190" s="16"/>
      <c r="B190" s="1393"/>
      <c r="C190" s="2113"/>
      <c r="D190" s="2106"/>
      <c r="E190" s="387"/>
      <c r="F190" s="1781"/>
      <c r="G190" s="1513"/>
      <c r="H190" s="1493" t="str">
        <f t="shared" si="3"/>
        <v/>
      </c>
    </row>
    <row r="191" spans="1:8">
      <c r="A191" s="16"/>
      <c r="B191" s="1394" t="s">
        <v>1519</v>
      </c>
      <c r="C191" s="2373"/>
      <c r="D191" s="2061" t="s">
        <v>1520</v>
      </c>
      <c r="E191" s="387"/>
      <c r="F191" s="1781"/>
      <c r="G191" s="1513"/>
      <c r="H191" s="1493" t="str">
        <f t="shared" si="3"/>
        <v/>
      </c>
    </row>
    <row r="192" spans="1:8">
      <c r="A192" s="16"/>
      <c r="B192" s="1396"/>
      <c r="C192" s="2113"/>
      <c r="D192" s="967"/>
      <c r="E192" s="387"/>
      <c r="F192" s="1781"/>
      <c r="G192" s="1513"/>
      <c r="H192" s="1493" t="str">
        <f t="shared" si="3"/>
        <v/>
      </c>
    </row>
    <row r="193" spans="1:8">
      <c r="A193" s="16">
        <f>$A$4</f>
        <v>9</v>
      </c>
      <c r="B193" s="1391">
        <v>1.43</v>
      </c>
      <c r="C193" s="2367"/>
      <c r="D193" s="694" t="s">
        <v>1521</v>
      </c>
      <c r="E193" s="387" t="s">
        <v>252</v>
      </c>
      <c r="F193" s="356">
        <v>1</v>
      </c>
      <c r="G193" s="2374">
        <v>50000</v>
      </c>
      <c r="H193" s="1493">
        <f t="shared" si="3"/>
        <v>50000</v>
      </c>
    </row>
    <row r="194" spans="1:8">
      <c r="A194" s="16"/>
      <c r="B194" s="1396"/>
      <c r="C194" s="2001"/>
      <c r="D194" s="2366"/>
      <c r="E194" s="1391"/>
      <c r="F194" s="1781"/>
      <c r="G194" s="1513"/>
      <c r="H194" s="1493" t="str">
        <f t="shared" si="3"/>
        <v/>
      </c>
    </row>
    <row r="195" spans="1:8">
      <c r="A195" s="16">
        <f>$A$4</f>
        <v>9</v>
      </c>
      <c r="B195" s="1391">
        <v>1.44</v>
      </c>
      <c r="C195" s="2367"/>
      <c r="D195" s="694" t="s">
        <v>1522</v>
      </c>
      <c r="E195" s="387" t="s">
        <v>252</v>
      </c>
      <c r="F195" s="356">
        <v>1</v>
      </c>
      <c r="G195" s="2374">
        <v>89025</v>
      </c>
      <c r="H195" s="1493">
        <f t="shared" si="3"/>
        <v>89025</v>
      </c>
    </row>
    <row r="196" spans="1:8">
      <c r="A196" s="16"/>
      <c r="B196" s="2364"/>
      <c r="C196" s="2001"/>
      <c r="D196" s="2375"/>
      <c r="E196" s="1391"/>
      <c r="F196" s="1781"/>
      <c r="G196" s="1513"/>
      <c r="H196" s="1493" t="str">
        <f t="shared" si="3"/>
        <v/>
      </c>
    </row>
    <row r="197" spans="1:8">
      <c r="A197" s="16"/>
      <c r="B197" s="2364"/>
      <c r="C197" s="2001"/>
      <c r="D197" s="2365"/>
      <c r="E197" s="1391"/>
      <c r="F197" s="1781"/>
      <c r="G197" s="1513"/>
      <c r="H197" s="1395"/>
    </row>
    <row r="198" spans="1:8">
      <c r="A198" s="16"/>
      <c r="B198" s="1396"/>
      <c r="C198" s="2046"/>
      <c r="D198" s="967"/>
      <c r="E198" s="387"/>
      <c r="F198" s="1781"/>
      <c r="G198" s="1513"/>
      <c r="H198" s="1395"/>
    </row>
    <row r="199" spans="1:8">
      <c r="A199" s="16"/>
      <c r="B199" s="1396"/>
      <c r="C199" s="2046"/>
      <c r="D199" s="967"/>
      <c r="E199" s="387"/>
      <c r="F199" s="1781"/>
      <c r="G199" s="1513"/>
      <c r="H199" s="1395"/>
    </row>
    <row r="200" spans="1:8">
      <c r="A200" s="16"/>
      <c r="B200" s="1396"/>
      <c r="C200" s="2046"/>
      <c r="D200" s="967"/>
      <c r="E200" s="387"/>
      <c r="F200" s="1781"/>
      <c r="G200" s="1513"/>
      <c r="H200" s="1395"/>
    </row>
    <row r="201" spans="1:8">
      <c r="A201" s="16"/>
      <c r="B201" s="1396"/>
      <c r="C201" s="2046"/>
      <c r="D201" s="967"/>
      <c r="E201" s="387"/>
      <c r="F201" s="1781"/>
      <c r="G201" s="1513"/>
      <c r="H201" s="1395"/>
    </row>
    <row r="202" spans="1:8">
      <c r="A202" s="16"/>
      <c r="B202" s="1396"/>
      <c r="C202" s="2046"/>
      <c r="D202" s="967"/>
      <c r="E202" s="2376"/>
      <c r="F202" s="1781"/>
      <c r="G202" s="1513"/>
      <c r="H202" s="1395"/>
    </row>
    <row r="203" spans="1:8">
      <c r="A203" s="16"/>
      <c r="B203" s="1396"/>
      <c r="C203" s="2046"/>
      <c r="D203" s="967"/>
      <c r="E203" s="2376"/>
      <c r="F203" s="1781"/>
      <c r="G203" s="1513"/>
      <c r="H203" s="1395"/>
    </row>
    <row r="204" spans="1:8">
      <c r="A204" s="16"/>
      <c r="B204" s="1396"/>
      <c r="C204" s="2046"/>
      <c r="D204" s="967"/>
      <c r="E204" s="2376"/>
      <c r="F204" s="1781"/>
      <c r="G204" s="1513"/>
      <c r="H204" s="1395"/>
    </row>
    <row r="205" spans="1:8">
      <c r="A205" s="16"/>
      <c r="B205" s="1396"/>
      <c r="C205" s="2046"/>
      <c r="D205" s="967"/>
      <c r="E205" s="2376"/>
      <c r="F205" s="1781"/>
      <c r="G205" s="1513"/>
      <c r="H205" s="1395"/>
    </row>
    <row r="206" spans="1:8">
      <c r="A206" s="16"/>
      <c r="B206" s="1396"/>
      <c r="C206" s="2046"/>
      <c r="D206" s="967"/>
      <c r="E206" s="2376"/>
      <c r="F206" s="1781"/>
      <c r="G206" s="1513"/>
      <c r="H206" s="1395"/>
    </row>
    <row r="207" spans="1:8">
      <c r="A207" s="16"/>
      <c r="B207" s="1396"/>
      <c r="C207" s="2046"/>
      <c r="D207" s="967"/>
      <c r="E207" s="2376"/>
      <c r="F207" s="1781"/>
      <c r="G207" s="1513"/>
      <c r="H207" s="1395"/>
    </row>
    <row r="208" spans="1:8">
      <c r="A208" s="16"/>
      <c r="B208" s="1396"/>
      <c r="C208" s="2046"/>
      <c r="D208" s="967"/>
      <c r="E208" s="2376"/>
      <c r="F208" s="1781"/>
      <c r="G208" s="1513"/>
      <c r="H208" s="1395"/>
    </row>
    <row r="209" spans="1:8">
      <c r="A209" s="16"/>
      <c r="B209" s="1396"/>
      <c r="C209" s="2046"/>
      <c r="D209" s="967"/>
      <c r="E209" s="2376"/>
      <c r="F209" s="1781"/>
      <c r="G209" s="1513"/>
      <c r="H209" s="1395"/>
    </row>
    <row r="210" spans="1:8">
      <c r="A210" s="16"/>
      <c r="B210" s="1396"/>
      <c r="C210" s="2046"/>
      <c r="D210" s="967"/>
      <c r="E210" s="2376"/>
      <c r="F210" s="1781"/>
      <c r="G210" s="1513"/>
      <c r="H210" s="1395"/>
    </row>
    <row r="211" spans="1:8">
      <c r="A211" s="16"/>
      <c r="B211" s="1396"/>
      <c r="C211" s="2046"/>
      <c r="D211" s="967"/>
      <c r="E211" s="2376"/>
      <c r="F211" s="1781"/>
      <c r="G211" s="1513"/>
      <c r="H211" s="1395"/>
    </row>
    <row r="212" spans="1:8">
      <c r="A212" s="16"/>
      <c r="B212" s="1396"/>
      <c r="C212" s="2046"/>
      <c r="D212" s="967"/>
      <c r="E212" s="2376"/>
      <c r="F212" s="1781"/>
      <c r="G212" s="1513"/>
      <c r="H212" s="1395"/>
    </row>
    <row r="213" spans="1:8">
      <c r="A213" s="16"/>
      <c r="B213" s="1396"/>
      <c r="C213" s="2046"/>
      <c r="D213" s="967"/>
      <c r="E213" s="2376"/>
      <c r="F213" s="1781"/>
      <c r="G213" s="1513"/>
      <c r="H213" s="1395"/>
    </row>
    <row r="214" spans="1:8">
      <c r="A214" s="16"/>
      <c r="B214" s="1396"/>
      <c r="C214" s="2046"/>
      <c r="D214" s="967"/>
      <c r="E214" s="2376"/>
      <c r="F214" s="1781"/>
      <c r="G214" s="1513"/>
      <c r="H214" s="1395"/>
    </row>
    <row r="215" spans="1:8">
      <c r="A215" s="16"/>
      <c r="B215" s="1396"/>
      <c r="C215" s="2046"/>
      <c r="D215" s="967"/>
      <c r="E215" s="2376"/>
      <c r="F215" s="1781"/>
      <c r="G215" s="1513"/>
      <c r="H215" s="1395"/>
    </row>
    <row r="216" spans="1:8">
      <c r="A216" s="16"/>
      <c r="B216" s="1396"/>
      <c r="C216" s="2046"/>
      <c r="D216" s="967"/>
      <c r="E216" s="2376"/>
      <c r="F216" s="1781"/>
      <c r="G216" s="1513"/>
      <c r="H216" s="1395"/>
    </row>
    <row r="217" spans="1:8">
      <c r="A217" s="16"/>
      <c r="B217" s="1396"/>
      <c r="C217" s="2046"/>
      <c r="D217" s="967"/>
      <c r="E217" s="2376"/>
      <c r="F217" s="1781"/>
      <c r="G217" s="1513"/>
      <c r="H217" s="1395"/>
    </row>
    <row r="218" spans="1:8">
      <c r="A218" s="16"/>
      <c r="B218" s="1396"/>
      <c r="C218" s="2046"/>
      <c r="D218" s="967"/>
      <c r="E218" s="2376"/>
      <c r="F218" s="1781"/>
      <c r="G218" s="1513"/>
      <c r="H218" s="1395"/>
    </row>
    <row r="219" spans="1:8">
      <c r="A219" s="16"/>
      <c r="B219" s="1396"/>
      <c r="C219" s="2046"/>
      <c r="D219" s="967"/>
      <c r="E219" s="2376"/>
      <c r="F219" s="1781"/>
      <c r="G219" s="1513"/>
      <c r="H219" s="1395"/>
    </row>
    <row r="220" spans="1:8">
      <c r="A220" s="16"/>
      <c r="B220" s="1396"/>
      <c r="C220" s="2046"/>
      <c r="D220" s="967"/>
      <c r="E220" s="2376"/>
      <c r="F220" s="1781"/>
      <c r="G220" s="1513"/>
      <c r="H220" s="1395"/>
    </row>
    <row r="221" spans="1:8">
      <c r="A221" s="16"/>
      <c r="B221" s="1396"/>
      <c r="C221" s="2046"/>
      <c r="D221" s="967"/>
      <c r="E221" s="2376"/>
      <c r="F221" s="1781"/>
      <c r="G221" s="1513"/>
      <c r="H221" s="1395"/>
    </row>
    <row r="222" spans="1:8">
      <c r="A222" s="16"/>
      <c r="B222" s="1396"/>
      <c r="C222" s="2046"/>
      <c r="D222" s="967"/>
      <c r="E222" s="356"/>
      <c r="F222" s="1781"/>
      <c r="G222" s="1513"/>
      <c r="H222" s="1395"/>
    </row>
    <row r="223" spans="1:8">
      <c r="A223" s="16"/>
      <c r="B223" s="1396"/>
      <c r="C223" s="2046"/>
      <c r="D223" s="967"/>
      <c r="E223" s="356"/>
      <c r="F223" s="1781"/>
      <c r="G223" s="1513"/>
      <c r="H223" s="1395"/>
    </row>
    <row r="224" spans="1:8">
      <c r="A224" s="16"/>
      <c r="B224" s="1396"/>
      <c r="C224" s="2046"/>
      <c r="D224" s="967"/>
      <c r="E224" s="356"/>
      <c r="F224" s="1781"/>
      <c r="G224" s="1513"/>
      <c r="H224" s="1395"/>
    </row>
    <row r="225" spans="1:8">
      <c r="A225" s="16"/>
      <c r="B225" s="1396"/>
      <c r="C225" s="2046"/>
      <c r="D225" s="967"/>
      <c r="E225" s="356"/>
      <c r="F225" s="1781"/>
      <c r="G225" s="1513"/>
      <c r="H225" s="1395"/>
    </row>
    <row r="226" spans="1:8">
      <c r="A226" s="16"/>
      <c r="B226" s="1396"/>
      <c r="C226" s="2046"/>
      <c r="D226" s="967"/>
      <c r="E226" s="356"/>
      <c r="F226" s="1781"/>
      <c r="G226" s="1513"/>
      <c r="H226" s="1395"/>
    </row>
    <row r="227" spans="1:8">
      <c r="A227" s="16"/>
      <c r="B227" s="1396"/>
      <c r="C227" s="2046"/>
      <c r="D227" s="967"/>
      <c r="E227" s="356"/>
      <c r="F227" s="1781"/>
      <c r="G227" s="1513"/>
      <c r="H227" s="1395"/>
    </row>
    <row r="228" spans="1:8">
      <c r="A228" s="16"/>
      <c r="B228" s="1396"/>
      <c r="C228" s="2046"/>
      <c r="D228" s="967"/>
      <c r="E228" s="356"/>
      <c r="F228" s="1781"/>
      <c r="G228" s="1513"/>
      <c r="H228" s="1395"/>
    </row>
    <row r="229" spans="1:8">
      <c r="A229" s="16"/>
      <c r="B229" s="1396"/>
      <c r="C229" s="2046"/>
      <c r="D229" s="967"/>
      <c r="E229" s="356"/>
      <c r="F229" s="1781"/>
      <c r="G229" s="1513"/>
      <c r="H229" s="1395"/>
    </row>
    <row r="230" spans="1:8">
      <c r="A230" s="16"/>
      <c r="B230" s="1396"/>
      <c r="C230" s="2046"/>
      <c r="D230" s="967"/>
      <c r="E230" s="356"/>
      <c r="F230" s="1781"/>
      <c r="G230" s="1513"/>
      <c r="H230" s="1395"/>
    </row>
    <row r="231" spans="1:8">
      <c r="A231" s="16"/>
      <c r="B231" s="1396"/>
      <c r="C231" s="2046"/>
      <c r="D231" s="967"/>
      <c r="E231" s="356"/>
      <c r="F231" s="1781"/>
      <c r="G231" s="1513"/>
      <c r="H231" s="1395"/>
    </row>
    <row r="232" spans="1:8">
      <c r="A232" s="16"/>
      <c r="B232" s="1396"/>
      <c r="C232" s="2046"/>
      <c r="D232" s="967"/>
      <c r="E232" s="356"/>
      <c r="F232" s="1781"/>
      <c r="G232" s="1513"/>
      <c r="H232" s="1395"/>
    </row>
    <row r="233" spans="1:8">
      <c r="A233" s="16"/>
      <c r="B233" s="1396"/>
      <c r="C233" s="2046"/>
      <c r="D233" s="967"/>
      <c r="E233" s="356"/>
      <c r="F233" s="1781"/>
      <c r="G233" s="1513"/>
      <c r="H233" s="1395"/>
    </row>
    <row r="234" spans="1:8">
      <c r="A234" s="16"/>
      <c r="B234" s="1396"/>
      <c r="C234" s="2046"/>
      <c r="D234" s="967"/>
      <c r="E234" s="356"/>
      <c r="F234" s="1781"/>
      <c r="G234" s="1513"/>
      <c r="H234" s="1395"/>
    </row>
    <row r="235" spans="1:8">
      <c r="A235" s="16"/>
      <c r="B235" s="1396"/>
      <c r="C235" s="2046"/>
      <c r="D235" s="967"/>
      <c r="E235" s="356"/>
      <c r="F235" s="1781"/>
      <c r="G235" s="1513"/>
      <c r="H235" s="1395"/>
    </row>
    <row r="236" spans="1:8">
      <c r="A236" s="16"/>
      <c r="B236" s="1396"/>
      <c r="C236" s="2046"/>
      <c r="D236" s="967"/>
      <c r="E236" s="356"/>
      <c r="F236" s="1781"/>
      <c r="G236" s="1513"/>
      <c r="H236" s="1395"/>
    </row>
    <row r="237" spans="1:8">
      <c r="A237" s="2377"/>
      <c r="B237" s="1396"/>
      <c r="C237" s="2046"/>
      <c r="D237" s="967"/>
      <c r="E237" s="356"/>
      <c r="F237" s="1781"/>
      <c r="G237" s="1513"/>
      <c r="H237" s="1395"/>
    </row>
    <row r="238" spans="1:8">
      <c r="A238" s="2378"/>
      <c r="B238" s="428"/>
      <c r="C238" s="502"/>
      <c r="D238" s="429"/>
      <c r="E238" s="503"/>
      <c r="F238" s="504"/>
      <c r="G238" s="1397"/>
      <c r="H238" s="2379"/>
    </row>
    <row r="239" spans="1:8">
      <c r="A239" s="2380"/>
      <c r="B239" s="316"/>
      <c r="C239" s="490"/>
      <c r="D239" s="491" t="s">
        <v>1089</v>
      </c>
      <c r="E239" s="505"/>
      <c r="F239" s="506"/>
      <c r="G239" s="2381"/>
      <c r="H239" s="2382">
        <f>SUM(H154:H237)</f>
        <v>139025</v>
      </c>
    </row>
    <row r="241" spans="7:8">
      <c r="G241" s="1398"/>
    </row>
    <row r="242" spans="7:8">
      <c r="G242" s="1398"/>
    </row>
    <row r="244" spans="7:8">
      <c r="H244" s="693"/>
    </row>
  </sheetData>
  <sheetProtection algorithmName="SHA-512" hashValue="+UBPazH60lUG+LKAAYtlUEQmTu1JiPB58Y2fe84HUwn66CcLleIgmxrjEV82RQHCQvQ8VY393hYxN+adfnFLQA==" saltValue="ArTFKUM73J7piiM4QsMG8Q==" spinCount="100000" sheet="1" objects="1" scenarios="1"/>
  <mergeCells count="1">
    <mergeCell ref="A1:H1"/>
  </mergeCells>
  <phoneticPr fontId="33" type="noConversion"/>
  <pageMargins left="0.59055118110236227" right="0.59055118110236227" top="1.1023622047244095" bottom="0.78740157480314965" header="0.27559055118110237" footer="0.27559055118110237"/>
  <pageSetup paperSize="9" scale="64" firstPageNumber="79" fitToHeight="0" orientation="portrait" useFirstPageNumber="1" r:id="rId1"/>
  <headerFooter alignWithMargins="0">
    <oddHeader>&amp;L&amp;G&amp;CContract JW 14425
Bushkoppie Wastewater Treatment Works:
Infrastructure Renewal Plan
Volume 1 
C 2.2 Bill of Quantities&amp;R&amp;G</oddHeader>
    <oddFooter>&amp;C&amp;12
&amp;G
C.&amp;P</oddFooter>
  </headerFooter>
  <rowBreaks count="2" manualBreakCount="2">
    <brk id="71" max="16383" man="1"/>
    <brk id="153" max="16383"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A9DEF-4B2C-4C1B-ABCD-D7B0F34FC063}">
  <sheetPr codeName="Sheet11">
    <pageSetUpPr fitToPage="1"/>
  </sheetPr>
  <dimension ref="A1:S475"/>
  <sheetViews>
    <sheetView view="pageBreakPreview" topLeftCell="A454" zoomScaleNormal="100" zoomScaleSheetLayoutView="100" workbookViewId="0">
      <selection activeCell="G478" sqref="G478"/>
    </sheetView>
  </sheetViews>
  <sheetFormatPr defaultColWidth="6.109375" defaultRowHeight="13.2"/>
  <cols>
    <col min="1" max="1" width="9.109375" style="448" customWidth="1"/>
    <col min="2" max="2" width="8.88671875" style="335" customWidth="1"/>
    <col min="3" max="3" width="9.88671875" style="31" customWidth="1"/>
    <col min="4" max="4" width="58.88671875" style="31" customWidth="1"/>
    <col min="5" max="5" width="8.88671875" style="405" customWidth="1"/>
    <col min="6" max="6" width="10.88671875" style="404" customWidth="1"/>
    <col min="7" max="7" width="14.88671875" style="406" customWidth="1"/>
    <col min="8" max="8" width="20.88671875" style="346" customWidth="1"/>
    <col min="9" max="11" width="6.109375" style="31" customWidth="1"/>
    <col min="12" max="12" width="8" style="31" customWidth="1"/>
    <col min="13" max="16" width="6.109375" style="31"/>
    <col min="17" max="17" width="3.44140625" style="31" hidden="1" customWidth="1"/>
    <col min="18" max="16384" width="6.109375" style="31"/>
  </cols>
  <sheetData>
    <row r="1" spans="1:8" s="5" customFormat="1" ht="15">
      <c r="A1" s="3035" t="s">
        <v>1523</v>
      </c>
      <c r="B1" s="3035"/>
      <c r="C1" s="3035"/>
      <c r="D1" s="3035"/>
      <c r="E1" s="3035"/>
      <c r="F1" s="3035"/>
      <c r="G1" s="3035"/>
      <c r="H1" s="3035"/>
    </row>
    <row r="2" spans="1:8" s="29" customFormat="1" ht="25.5" customHeight="1">
      <c r="A2" s="453" t="s">
        <v>541</v>
      </c>
      <c r="B2" s="453" t="s">
        <v>217</v>
      </c>
      <c r="C2" s="453" t="s">
        <v>218</v>
      </c>
      <c r="D2" s="453" t="s">
        <v>219</v>
      </c>
      <c r="E2" s="495" t="s">
        <v>220</v>
      </c>
      <c r="F2" s="496" t="s">
        <v>221</v>
      </c>
      <c r="G2" s="497" t="s">
        <v>222</v>
      </c>
      <c r="H2" s="498" t="s">
        <v>223</v>
      </c>
    </row>
    <row r="3" spans="1:8">
      <c r="A3" s="2383"/>
      <c r="B3" s="1667"/>
      <c r="C3" s="2029"/>
      <c r="D3" s="2030"/>
      <c r="E3" s="2384"/>
      <c r="F3" s="1823"/>
      <c r="G3" s="1524"/>
      <c r="H3" s="956"/>
    </row>
    <row r="4" spans="1:8" ht="13.8">
      <c r="A4" s="2385">
        <v>10</v>
      </c>
      <c r="B4" s="2385">
        <v>1</v>
      </c>
      <c r="C4" s="957"/>
      <c r="D4" s="1801" t="s">
        <v>1524</v>
      </c>
      <c r="E4" s="2386"/>
      <c r="F4" s="2386"/>
      <c r="G4" s="1402"/>
      <c r="H4" s="2387"/>
    </row>
    <row r="5" spans="1:8" s="330" customFormat="1">
      <c r="A5" s="2388"/>
      <c r="B5" s="2389"/>
      <c r="C5" s="957"/>
      <c r="D5" s="2390"/>
      <c r="E5" s="2386"/>
      <c r="F5" s="2386"/>
      <c r="G5" s="1402"/>
      <c r="H5" s="2387"/>
    </row>
    <row r="6" spans="1:8" ht="26.4">
      <c r="A6" s="2383"/>
      <c r="B6" s="1753" t="s">
        <v>543</v>
      </c>
      <c r="C6" s="1766" t="s">
        <v>544</v>
      </c>
      <c r="D6" s="1773" t="s">
        <v>893</v>
      </c>
      <c r="E6" s="1669"/>
      <c r="F6" s="1670"/>
      <c r="G6" s="1812"/>
      <c r="H6" s="2214"/>
    </row>
    <row r="7" spans="1:8">
      <c r="A7" s="2383"/>
      <c r="B7" s="1667"/>
      <c r="C7" s="2029"/>
      <c r="D7" s="2030"/>
      <c r="E7" s="1669"/>
      <c r="F7" s="1670"/>
      <c r="G7" s="1188"/>
      <c r="H7" s="2031"/>
    </row>
    <row r="8" spans="1:8" ht="15.6">
      <c r="A8" s="2391">
        <f>$A$4</f>
        <v>10</v>
      </c>
      <c r="B8" s="1667">
        <v>1.1000000000000001</v>
      </c>
      <c r="C8" s="2029" t="s">
        <v>546</v>
      </c>
      <c r="D8" s="2030" t="s">
        <v>894</v>
      </c>
      <c r="E8" s="1550" t="s">
        <v>565</v>
      </c>
      <c r="F8" s="1670">
        <v>80</v>
      </c>
      <c r="G8" s="1189"/>
      <c r="H8" s="1501">
        <f t="shared" ref="H8:H71" si="0">IF(E8="","",ROUND(F8*G8,2))</f>
        <v>0</v>
      </c>
    </row>
    <row r="9" spans="1:8">
      <c r="A9" s="2383"/>
      <c r="B9" s="1667"/>
      <c r="C9" s="2029"/>
      <c r="D9" s="2030"/>
      <c r="E9" s="1669"/>
      <c r="F9" s="1670"/>
      <c r="G9" s="1188"/>
      <c r="H9" s="1501" t="str">
        <f t="shared" si="0"/>
        <v/>
      </c>
    </row>
    <row r="10" spans="1:8" ht="26.4">
      <c r="A10" s="2383"/>
      <c r="B10" s="1753" t="s">
        <v>549</v>
      </c>
      <c r="C10" s="1766" t="s">
        <v>626</v>
      </c>
      <c r="D10" s="1773" t="s">
        <v>627</v>
      </c>
      <c r="E10" s="1766"/>
      <c r="F10" s="2096"/>
      <c r="G10" s="2099"/>
      <c r="H10" s="1501" t="str">
        <f t="shared" si="0"/>
        <v/>
      </c>
    </row>
    <row r="11" spans="1:8" s="330" customFormat="1">
      <c r="A11" s="2388"/>
      <c r="B11" s="2392"/>
      <c r="C11" s="2393"/>
      <c r="D11" s="2394"/>
      <c r="E11" s="1766"/>
      <c r="F11" s="2096"/>
      <c r="G11" s="2099"/>
      <c r="H11" s="1501" t="str">
        <f t="shared" si="0"/>
        <v/>
      </c>
    </row>
    <row r="12" spans="1:8">
      <c r="A12" s="2383"/>
      <c r="B12" s="1667"/>
      <c r="C12" s="2103" t="s">
        <v>896</v>
      </c>
      <c r="D12" s="1998" t="s">
        <v>48</v>
      </c>
      <c r="E12" s="1962"/>
      <c r="F12" s="1670"/>
      <c r="G12" s="1188"/>
      <c r="H12" s="1501" t="str">
        <f t="shared" si="0"/>
        <v/>
      </c>
    </row>
    <row r="13" spans="1:8">
      <c r="A13" s="2383"/>
      <c r="B13" s="1667"/>
      <c r="C13" s="2103"/>
      <c r="D13" s="1998"/>
      <c r="E13" s="1962"/>
      <c r="F13" s="1670"/>
      <c r="G13" s="1188"/>
      <c r="H13" s="1501" t="str">
        <f t="shared" si="0"/>
        <v/>
      </c>
    </row>
    <row r="14" spans="1:8" ht="31.5" customHeight="1">
      <c r="A14" s="2383"/>
      <c r="B14" s="1667"/>
      <c r="C14" s="2103" t="s">
        <v>775</v>
      </c>
      <c r="D14" s="1998" t="s">
        <v>1525</v>
      </c>
      <c r="E14" s="1962"/>
      <c r="F14" s="1670"/>
      <c r="G14" s="1188"/>
      <c r="H14" s="1501" t="str">
        <f t="shared" si="0"/>
        <v/>
      </c>
    </row>
    <row r="15" spans="1:8" s="32" customFormat="1">
      <c r="A15" s="1791"/>
      <c r="B15" s="1667"/>
      <c r="C15" s="2103"/>
      <c r="D15" s="1998"/>
      <c r="E15" s="1962"/>
      <c r="F15" s="1670"/>
      <c r="G15" s="1188"/>
      <c r="H15" s="1501" t="str">
        <f t="shared" si="0"/>
        <v/>
      </c>
    </row>
    <row r="16" spans="1:8">
      <c r="A16" s="2391">
        <f>$A$4</f>
        <v>10</v>
      </c>
      <c r="B16" s="1821">
        <v>1.2</v>
      </c>
      <c r="C16" s="1563"/>
      <c r="D16" s="1569" t="s">
        <v>1526</v>
      </c>
      <c r="E16" s="2188" t="s">
        <v>508</v>
      </c>
      <c r="F16" s="2395">
        <v>120</v>
      </c>
      <c r="G16" s="1191"/>
      <c r="H16" s="1501">
        <f t="shared" si="0"/>
        <v>0</v>
      </c>
    </row>
    <row r="17" spans="1:8">
      <c r="A17" s="2383"/>
      <c r="B17" s="2118"/>
      <c r="C17" s="2396"/>
      <c r="D17" s="2055"/>
      <c r="E17" s="2397"/>
      <c r="F17" s="2398"/>
      <c r="G17" s="1549"/>
      <c r="H17" s="1501" t="str">
        <f t="shared" si="0"/>
        <v/>
      </c>
    </row>
    <row r="18" spans="1:8">
      <c r="A18" s="2391">
        <f>$A$4</f>
        <v>10</v>
      </c>
      <c r="B18" s="1821">
        <v>1.3</v>
      </c>
      <c r="C18" s="1563"/>
      <c r="D18" s="1569" t="s">
        <v>1527</v>
      </c>
      <c r="E18" s="2188" t="s">
        <v>508</v>
      </c>
      <c r="F18" s="2395">
        <v>5</v>
      </c>
      <c r="G18" s="1191"/>
      <c r="H18" s="1501">
        <f t="shared" si="0"/>
        <v>0</v>
      </c>
    </row>
    <row r="19" spans="1:8">
      <c r="A19" s="2383"/>
      <c r="B19" s="2118"/>
      <c r="C19" s="2396"/>
      <c r="D19" s="2055"/>
      <c r="E19" s="2397"/>
      <c r="F19" s="2398"/>
      <c r="G19" s="1549"/>
      <c r="H19" s="1501" t="str">
        <f t="shared" si="0"/>
        <v/>
      </c>
    </row>
    <row r="20" spans="1:8">
      <c r="A20" s="2391">
        <f>$A$4</f>
        <v>10</v>
      </c>
      <c r="B20" s="1667">
        <v>1.4</v>
      </c>
      <c r="C20" s="2103"/>
      <c r="D20" s="2000" t="s">
        <v>1528</v>
      </c>
      <c r="E20" s="1962" t="s">
        <v>508</v>
      </c>
      <c r="F20" s="1670">
        <v>10</v>
      </c>
      <c r="G20" s="1189"/>
      <c r="H20" s="1501">
        <f t="shared" si="0"/>
        <v>0</v>
      </c>
    </row>
    <row r="21" spans="1:8">
      <c r="A21" s="2383"/>
      <c r="B21" s="2118"/>
      <c r="C21" s="2396"/>
      <c r="D21" s="2055"/>
      <c r="E21" s="2397"/>
      <c r="F21" s="2398"/>
      <c r="G21" s="1549"/>
      <c r="H21" s="1501" t="str">
        <f t="shared" si="0"/>
        <v/>
      </c>
    </row>
    <row r="22" spans="1:8" ht="26.4">
      <c r="A22" s="2383"/>
      <c r="B22" s="1783"/>
      <c r="C22" s="1616" t="s">
        <v>897</v>
      </c>
      <c r="D22" s="2105" t="s">
        <v>1529</v>
      </c>
      <c r="E22" s="1550"/>
      <c r="F22" s="1550"/>
      <c r="G22" s="1538"/>
      <c r="H22" s="1501" t="str">
        <f t="shared" si="0"/>
        <v/>
      </c>
    </row>
    <row r="23" spans="1:8">
      <c r="A23" s="2383"/>
      <c r="B23" s="1550"/>
      <c r="C23" s="1551"/>
      <c r="D23" s="2106"/>
      <c r="E23" s="1550"/>
      <c r="F23" s="1550"/>
      <c r="G23" s="1538"/>
      <c r="H23" s="1501" t="str">
        <f t="shared" si="0"/>
        <v/>
      </c>
    </row>
    <row r="24" spans="1:8" ht="15.6">
      <c r="A24" s="2391">
        <f>$A$4</f>
        <v>10</v>
      </c>
      <c r="B24" s="1550">
        <v>1.5</v>
      </c>
      <c r="C24" s="1551"/>
      <c r="D24" s="2106" t="s">
        <v>634</v>
      </c>
      <c r="E24" s="1550" t="s">
        <v>631</v>
      </c>
      <c r="F24" s="1550">
        <v>25</v>
      </c>
      <c r="G24" s="2107"/>
      <c r="H24" s="1501">
        <f t="shared" si="0"/>
        <v>0</v>
      </c>
    </row>
    <row r="25" spans="1:8" s="2" customFormat="1">
      <c r="A25" s="2019"/>
      <c r="B25" s="1550"/>
      <c r="C25" s="1551"/>
      <c r="D25" s="2106"/>
      <c r="E25" s="1550"/>
      <c r="F25" s="1550"/>
      <c r="G25" s="2107"/>
      <c r="H25" s="1501" t="str">
        <f t="shared" si="0"/>
        <v/>
      </c>
    </row>
    <row r="26" spans="1:8" s="2" customFormat="1" ht="15.6">
      <c r="A26" s="2391">
        <f>$A$4</f>
        <v>10</v>
      </c>
      <c r="B26" s="1550">
        <v>1.6</v>
      </c>
      <c r="C26" s="1551"/>
      <c r="D26" s="2106" t="s">
        <v>635</v>
      </c>
      <c r="E26" s="1550" t="s">
        <v>631</v>
      </c>
      <c r="F26" s="1550">
        <v>15</v>
      </c>
      <c r="G26" s="2107"/>
      <c r="H26" s="1501">
        <f t="shared" si="0"/>
        <v>0</v>
      </c>
    </row>
    <row r="27" spans="1:8" s="2" customFormat="1">
      <c r="A27" s="2019"/>
      <c r="B27" s="1550"/>
      <c r="C27" s="1551"/>
      <c r="D27" s="2106"/>
      <c r="E27" s="1550"/>
      <c r="F27" s="1550"/>
      <c r="G27" s="1538"/>
      <c r="H27" s="1501" t="str">
        <f t="shared" si="0"/>
        <v/>
      </c>
    </row>
    <row r="28" spans="1:8" s="2" customFormat="1" ht="26.4">
      <c r="A28" s="2019"/>
      <c r="B28" s="1765" t="s">
        <v>558</v>
      </c>
      <c r="C28" s="1766" t="s">
        <v>581</v>
      </c>
      <c r="D28" s="1806" t="s">
        <v>636</v>
      </c>
      <c r="E28" s="1550"/>
      <c r="F28" s="1550"/>
      <c r="G28" s="1538"/>
      <c r="H28" s="1501" t="str">
        <f t="shared" si="0"/>
        <v/>
      </c>
    </row>
    <row r="29" spans="1:8" s="330" customFormat="1">
      <c r="A29" s="2388"/>
      <c r="B29" s="1551"/>
      <c r="C29" s="1550"/>
      <c r="D29" s="2109"/>
      <c r="E29" s="1550"/>
      <c r="F29" s="1550"/>
      <c r="G29" s="1538"/>
      <c r="H29" s="1501" t="str">
        <f t="shared" si="0"/>
        <v/>
      </c>
    </row>
    <row r="30" spans="1:8">
      <c r="A30" s="2383"/>
      <c r="B30" s="1551"/>
      <c r="C30" s="1550">
        <v>8.1999999999999993</v>
      </c>
      <c r="D30" s="2109" t="s">
        <v>637</v>
      </c>
      <c r="E30" s="1550"/>
      <c r="F30" s="1550"/>
      <c r="G30" s="1538"/>
      <c r="H30" s="1501" t="str">
        <f t="shared" si="0"/>
        <v/>
      </c>
    </row>
    <row r="31" spans="1:8" s="343" customFormat="1">
      <c r="A31" s="2399"/>
      <c r="B31" s="1551"/>
      <c r="C31" s="1550"/>
      <c r="D31" s="2044"/>
      <c r="E31" s="1550"/>
      <c r="F31" s="1550"/>
      <c r="G31" s="1538"/>
      <c r="H31" s="1501" t="str">
        <f t="shared" si="0"/>
        <v/>
      </c>
    </row>
    <row r="32" spans="1:8" s="343" customFormat="1">
      <c r="A32" s="2399"/>
      <c r="B32" s="1551"/>
      <c r="C32" s="1550" t="s">
        <v>590</v>
      </c>
      <c r="D32" s="2044" t="s">
        <v>638</v>
      </c>
      <c r="E32" s="1550"/>
      <c r="F32" s="1550"/>
      <c r="G32" s="1538"/>
      <c r="H32" s="1501" t="str">
        <f t="shared" si="0"/>
        <v/>
      </c>
    </row>
    <row r="33" spans="1:8">
      <c r="A33" s="2383"/>
      <c r="B33" s="1551"/>
      <c r="C33" s="1550"/>
      <c r="D33" s="2035"/>
      <c r="E33" s="1550"/>
      <c r="F33" s="1550"/>
      <c r="G33" s="1538"/>
      <c r="H33" s="1501" t="str">
        <f t="shared" si="0"/>
        <v/>
      </c>
    </row>
    <row r="34" spans="1:8">
      <c r="A34" s="2383"/>
      <c r="B34" s="1616"/>
      <c r="C34" s="1550"/>
      <c r="D34" s="2102" t="s">
        <v>639</v>
      </c>
      <c r="E34" s="1550"/>
      <c r="F34" s="1550"/>
      <c r="G34" s="1538"/>
      <c r="H34" s="1501" t="str">
        <f t="shared" si="0"/>
        <v/>
      </c>
    </row>
    <row r="35" spans="1:8">
      <c r="A35" s="2383"/>
      <c r="B35" s="1826"/>
      <c r="C35" s="1261"/>
      <c r="D35" s="2105"/>
      <c r="E35" s="1261"/>
      <c r="F35" s="1261"/>
      <c r="G35" s="1542"/>
      <c r="H35" s="1501" t="str">
        <f t="shared" si="0"/>
        <v/>
      </c>
    </row>
    <row r="36" spans="1:8" ht="15.6">
      <c r="A36" s="2391">
        <f>$A$4</f>
        <v>10</v>
      </c>
      <c r="B36" s="1818">
        <v>1.7</v>
      </c>
      <c r="C36" s="1261"/>
      <c r="D36" s="1828" t="s">
        <v>1530</v>
      </c>
      <c r="E36" s="1261" t="s">
        <v>641</v>
      </c>
      <c r="F36" s="1261">
        <v>5</v>
      </c>
      <c r="G36" s="1536"/>
      <c r="H36" s="1501">
        <f t="shared" si="0"/>
        <v>0</v>
      </c>
    </row>
    <row r="37" spans="1:8">
      <c r="A37" s="2383"/>
      <c r="B37" s="2119"/>
      <c r="C37" s="2120"/>
      <c r="D37" s="2114"/>
      <c r="E37" s="1821"/>
      <c r="F37" s="1823"/>
      <c r="G37" s="1191"/>
      <c r="H37" s="1501" t="str">
        <f t="shared" si="0"/>
        <v/>
      </c>
    </row>
    <row r="38" spans="1:8" ht="15.6">
      <c r="A38" s="2391">
        <f>$A$4</f>
        <v>10</v>
      </c>
      <c r="B38" s="2119">
        <v>1.8</v>
      </c>
      <c r="C38" s="2120"/>
      <c r="D38" s="2114" t="s">
        <v>1531</v>
      </c>
      <c r="E38" s="1261" t="s">
        <v>641</v>
      </c>
      <c r="F38" s="1823">
        <v>15</v>
      </c>
      <c r="G38" s="1536"/>
      <c r="H38" s="1501">
        <f t="shared" si="0"/>
        <v>0</v>
      </c>
    </row>
    <row r="39" spans="1:8" s="32" customFormat="1">
      <c r="A39" s="1791"/>
      <c r="B39" s="1616"/>
      <c r="C39" s="1550"/>
      <c r="D39" s="2035"/>
      <c r="E39" s="1550"/>
      <c r="F39" s="1550"/>
      <c r="G39" s="1538"/>
      <c r="H39" s="1501" t="str">
        <f t="shared" si="0"/>
        <v/>
      </c>
    </row>
    <row r="40" spans="1:8">
      <c r="A40" s="2383"/>
      <c r="B40" s="1616"/>
      <c r="C40" s="2046" t="s">
        <v>624</v>
      </c>
      <c r="D40" s="2102" t="s">
        <v>642</v>
      </c>
      <c r="E40" s="1550"/>
      <c r="F40" s="1550"/>
      <c r="G40" s="1548"/>
      <c r="H40" s="1501" t="str">
        <f t="shared" si="0"/>
        <v/>
      </c>
    </row>
    <row r="41" spans="1:8">
      <c r="A41" s="2383"/>
      <c r="B41" s="2029"/>
      <c r="C41" s="2029"/>
      <c r="D41" s="2030"/>
      <c r="E41" s="1667"/>
      <c r="F41" s="1816"/>
      <c r="G41" s="1539"/>
      <c r="H41" s="1501" t="str">
        <f t="shared" si="0"/>
        <v/>
      </c>
    </row>
    <row r="42" spans="1:8" ht="15.6">
      <c r="A42" s="2391">
        <f>$A$4</f>
        <v>10</v>
      </c>
      <c r="B42" s="1818">
        <v>1.9</v>
      </c>
      <c r="C42" s="1261"/>
      <c r="D42" s="2105" t="s">
        <v>1532</v>
      </c>
      <c r="E42" s="1261" t="s">
        <v>641</v>
      </c>
      <c r="F42" s="1261">
        <v>20</v>
      </c>
      <c r="G42" s="1536"/>
      <c r="H42" s="1501">
        <f t="shared" si="0"/>
        <v>0</v>
      </c>
    </row>
    <row r="43" spans="1:8">
      <c r="A43" s="2383"/>
      <c r="B43" s="2115"/>
      <c r="C43" s="2116"/>
      <c r="D43" s="2117"/>
      <c r="E43" s="2118"/>
      <c r="F43" s="2063"/>
      <c r="G43" s="1549"/>
      <c r="H43" s="1501" t="str">
        <f t="shared" si="0"/>
        <v/>
      </c>
    </row>
    <row r="44" spans="1:8" ht="15.6">
      <c r="A44" s="2391">
        <f>$A$4</f>
        <v>10</v>
      </c>
      <c r="B44" s="2124">
        <v>1.1000000000000001</v>
      </c>
      <c r="C44" s="2120"/>
      <c r="D44" s="2114" t="s">
        <v>903</v>
      </c>
      <c r="E44" s="1261" t="s">
        <v>641</v>
      </c>
      <c r="F44" s="1823">
        <v>10</v>
      </c>
      <c r="G44" s="1536"/>
      <c r="H44" s="1501">
        <f t="shared" si="0"/>
        <v>0</v>
      </c>
    </row>
    <row r="45" spans="1:8" s="32" customFormat="1">
      <c r="A45" s="1791"/>
      <c r="B45" s="1261"/>
      <c r="C45" s="1261"/>
      <c r="D45" s="2125"/>
      <c r="E45" s="1261"/>
      <c r="F45" s="1261"/>
      <c r="G45" s="1544"/>
      <c r="H45" s="1501" t="str">
        <f t="shared" si="0"/>
        <v/>
      </c>
    </row>
    <row r="46" spans="1:8">
      <c r="A46" s="2391">
        <f>$A$4</f>
        <v>10</v>
      </c>
      <c r="B46" s="1818">
        <v>1.1100000000000001</v>
      </c>
      <c r="C46" s="1261"/>
      <c r="D46" s="2114" t="s">
        <v>1533</v>
      </c>
      <c r="E46" s="1821" t="s">
        <v>644</v>
      </c>
      <c r="F46" s="1670">
        <v>15</v>
      </c>
      <c r="G46" s="1536"/>
      <c r="H46" s="1501">
        <f t="shared" si="0"/>
        <v>0</v>
      </c>
    </row>
    <row r="47" spans="1:8" s="2" customFormat="1">
      <c r="A47" s="2019"/>
      <c r="B47" s="2115"/>
      <c r="C47" s="2116"/>
      <c r="D47" s="2117"/>
      <c r="E47" s="2118"/>
      <c r="F47" s="2063"/>
      <c r="G47" s="1549"/>
      <c r="H47" s="1501" t="str">
        <f t="shared" si="0"/>
        <v/>
      </c>
    </row>
    <row r="48" spans="1:8" s="2" customFormat="1">
      <c r="A48" s="2019"/>
      <c r="B48" s="2146"/>
      <c r="C48" s="2180"/>
      <c r="D48" s="1827" t="s">
        <v>645</v>
      </c>
      <c r="E48" s="1261"/>
      <c r="F48" s="1532"/>
      <c r="G48" s="1535"/>
      <c r="H48" s="1501" t="str">
        <f t="shared" si="0"/>
        <v/>
      </c>
    </row>
    <row r="49" spans="1:8" s="2" customFormat="1">
      <c r="A49" s="2019"/>
      <c r="B49" s="1530"/>
      <c r="C49" s="1530"/>
      <c r="D49" s="2148"/>
      <c r="E49" s="1261"/>
      <c r="F49" s="1532"/>
      <c r="G49" s="1535"/>
      <c r="H49" s="1501" t="str">
        <f t="shared" si="0"/>
        <v/>
      </c>
    </row>
    <row r="50" spans="1:8">
      <c r="A50" s="2383"/>
      <c r="B50" s="1530"/>
      <c r="C50" s="1530" t="s">
        <v>226</v>
      </c>
      <c r="D50" s="2149" t="s">
        <v>646</v>
      </c>
      <c r="E50" s="1261"/>
      <c r="F50" s="1532"/>
      <c r="G50" s="1535"/>
      <c r="H50" s="1501" t="str">
        <f t="shared" si="0"/>
        <v/>
      </c>
    </row>
    <row r="51" spans="1:8" s="32" customFormat="1">
      <c r="A51" s="1791"/>
      <c r="B51" s="1530"/>
      <c r="C51" s="1530"/>
      <c r="D51" s="2148"/>
      <c r="E51" s="1261"/>
      <c r="F51" s="1532"/>
      <c r="G51" s="1535"/>
      <c r="H51" s="1501" t="str">
        <f t="shared" si="0"/>
        <v/>
      </c>
    </row>
    <row r="52" spans="1:8">
      <c r="A52" s="2391">
        <f>$A$4</f>
        <v>10</v>
      </c>
      <c r="B52" s="1530">
        <v>1.1200000000000001</v>
      </c>
      <c r="C52" s="1530" t="s">
        <v>647</v>
      </c>
      <c r="D52" s="2148" t="s">
        <v>648</v>
      </c>
      <c r="E52" s="1261" t="s">
        <v>649</v>
      </c>
      <c r="F52" s="1270">
        <v>1.1000000000000001</v>
      </c>
      <c r="G52" s="1191"/>
      <c r="H52" s="1501">
        <f t="shared" si="0"/>
        <v>0</v>
      </c>
    </row>
    <row r="53" spans="1:8">
      <c r="A53" s="2383"/>
      <c r="B53" s="2043"/>
      <c r="C53" s="2043"/>
      <c r="D53" s="2167"/>
      <c r="E53" s="1550"/>
      <c r="F53" s="2400"/>
      <c r="G53" s="2401"/>
      <c r="H53" s="1501" t="str">
        <f t="shared" si="0"/>
        <v/>
      </c>
    </row>
    <row r="54" spans="1:8">
      <c r="A54" s="2383"/>
      <c r="B54" s="1530"/>
      <c r="C54" s="2150" t="s">
        <v>226</v>
      </c>
      <c r="D54" s="2151" t="s">
        <v>650</v>
      </c>
      <c r="E54" s="1832"/>
      <c r="F54" s="1270"/>
      <c r="G54" s="1533"/>
      <c r="H54" s="1501" t="str">
        <f t="shared" si="0"/>
        <v/>
      </c>
    </row>
    <row r="55" spans="1:8">
      <c r="A55" s="2383"/>
      <c r="B55" s="1530"/>
      <c r="C55" s="2150"/>
      <c r="D55" s="2152"/>
      <c r="E55" s="1832"/>
      <c r="F55" s="1270"/>
      <c r="G55" s="1533"/>
      <c r="H55" s="1501" t="str">
        <f t="shared" si="0"/>
        <v/>
      </c>
    </row>
    <row r="56" spans="1:8">
      <c r="A56" s="2391">
        <f>$A$4</f>
        <v>10</v>
      </c>
      <c r="B56" s="1530">
        <v>1.1299999999999999</v>
      </c>
      <c r="C56" s="2150" t="s">
        <v>647</v>
      </c>
      <c r="D56" s="2153" t="s">
        <v>682</v>
      </c>
      <c r="E56" s="1261" t="s">
        <v>649</v>
      </c>
      <c r="F56" s="1270">
        <v>0.5</v>
      </c>
      <c r="G56" s="1533"/>
      <c r="H56" s="1501">
        <f t="shared" si="0"/>
        <v>0</v>
      </c>
    </row>
    <row r="57" spans="1:8">
      <c r="A57" s="2383"/>
      <c r="B57" s="1530"/>
      <c r="C57" s="1530"/>
      <c r="D57" s="2148"/>
      <c r="E57" s="1261"/>
      <c r="F57" s="1270"/>
      <c r="G57" s="1533"/>
      <c r="H57" s="1501" t="str">
        <f t="shared" si="0"/>
        <v/>
      </c>
    </row>
    <row r="58" spans="1:8">
      <c r="A58" s="2383"/>
      <c r="B58" s="1530"/>
      <c r="C58" s="1530" t="s">
        <v>732</v>
      </c>
      <c r="D58" s="2154" t="s">
        <v>817</v>
      </c>
      <c r="E58" s="1261"/>
      <c r="F58" s="1532"/>
      <c r="G58" s="1535"/>
      <c r="H58" s="1501" t="str">
        <f t="shared" si="0"/>
        <v/>
      </c>
    </row>
    <row r="59" spans="1:8">
      <c r="A59" s="2383"/>
      <c r="B59" s="1530"/>
      <c r="C59" s="1530"/>
      <c r="D59" s="2155"/>
      <c r="E59" s="1261"/>
      <c r="F59" s="1532"/>
      <c r="G59" s="1535"/>
      <c r="H59" s="1501" t="str">
        <f t="shared" si="0"/>
        <v/>
      </c>
    </row>
    <row r="60" spans="1:8" ht="15.6">
      <c r="A60" s="2391">
        <f>$A$4</f>
        <v>10</v>
      </c>
      <c r="B60" s="1530">
        <v>1.1399999999999999</v>
      </c>
      <c r="C60" s="1530"/>
      <c r="D60" s="2155" t="s">
        <v>917</v>
      </c>
      <c r="E60" s="1261" t="s">
        <v>641</v>
      </c>
      <c r="F60" s="1532">
        <v>25</v>
      </c>
      <c r="G60" s="1536"/>
      <c r="H60" s="1501">
        <f t="shared" si="0"/>
        <v>0</v>
      </c>
    </row>
    <row r="61" spans="1:8">
      <c r="A61" s="2383"/>
      <c r="B61" s="1530"/>
      <c r="C61" s="1530"/>
      <c r="D61" s="2155"/>
      <c r="E61" s="1261"/>
      <c r="F61" s="1532"/>
      <c r="G61" s="1535"/>
      <c r="H61" s="1501" t="str">
        <f t="shared" si="0"/>
        <v/>
      </c>
    </row>
    <row r="62" spans="1:8" ht="15.6">
      <c r="A62" s="2391">
        <f>$A$4</f>
        <v>10</v>
      </c>
      <c r="B62" s="1530">
        <v>1.1499999999999999</v>
      </c>
      <c r="C62" s="1530"/>
      <c r="D62" s="1531" t="s">
        <v>918</v>
      </c>
      <c r="E62" s="1261" t="s">
        <v>641</v>
      </c>
      <c r="F62" s="1532">
        <v>105</v>
      </c>
      <c r="G62" s="1191"/>
      <c r="H62" s="1501">
        <f t="shared" si="0"/>
        <v>0</v>
      </c>
    </row>
    <row r="63" spans="1:8">
      <c r="A63" s="2383"/>
      <c r="B63" s="1550"/>
      <c r="C63" s="1551"/>
      <c r="D63" s="2165"/>
      <c r="E63" s="1550"/>
      <c r="F63" s="1550"/>
      <c r="G63" s="1538"/>
      <c r="H63" s="1501" t="str">
        <f t="shared" si="0"/>
        <v/>
      </c>
    </row>
    <row r="64" spans="1:8">
      <c r="A64" s="2383"/>
      <c r="B64" s="1550"/>
      <c r="C64" s="1550" t="s">
        <v>919</v>
      </c>
      <c r="D64" s="2102" t="s">
        <v>1008</v>
      </c>
      <c r="E64" s="1550"/>
      <c r="F64" s="1550"/>
      <c r="G64" s="1538"/>
      <c r="H64" s="1501" t="str">
        <f t="shared" si="0"/>
        <v/>
      </c>
    </row>
    <row r="65" spans="1:8">
      <c r="A65" s="2383"/>
      <c r="B65" s="1550"/>
      <c r="C65" s="1550"/>
      <c r="D65" s="2109"/>
      <c r="E65" s="1550"/>
      <c r="F65" s="1550"/>
      <c r="G65" s="1538"/>
      <c r="H65" s="1501" t="str">
        <f t="shared" si="0"/>
        <v/>
      </c>
    </row>
    <row r="66" spans="1:8">
      <c r="A66" s="2383"/>
      <c r="B66" s="1550"/>
      <c r="C66" s="1550" t="s">
        <v>337</v>
      </c>
      <c r="D66" s="2061" t="s">
        <v>1534</v>
      </c>
      <c r="E66" s="1550"/>
      <c r="F66" s="1550"/>
      <c r="G66" s="1538"/>
      <c r="H66" s="1501" t="str">
        <f t="shared" si="0"/>
        <v/>
      </c>
    </row>
    <row r="67" spans="1:8">
      <c r="A67" s="2383"/>
      <c r="B67" s="1550"/>
      <c r="C67" s="1550"/>
      <c r="D67" s="2109"/>
      <c r="E67" s="1550"/>
      <c r="F67" s="1550"/>
      <c r="G67" s="1538"/>
      <c r="H67" s="1501" t="str">
        <f t="shared" si="0"/>
        <v/>
      </c>
    </row>
    <row r="68" spans="1:8" ht="15.6">
      <c r="A68" s="2391">
        <f>$A$4</f>
        <v>10</v>
      </c>
      <c r="B68" s="1261">
        <v>1.1599999999999999</v>
      </c>
      <c r="C68" s="1261"/>
      <c r="D68" s="1559" t="s">
        <v>1535</v>
      </c>
      <c r="E68" s="1261" t="s">
        <v>641</v>
      </c>
      <c r="F68" s="1261">
        <v>40</v>
      </c>
      <c r="G68" s="1542"/>
      <c r="H68" s="1501">
        <f t="shared" si="0"/>
        <v>0</v>
      </c>
    </row>
    <row r="69" spans="1:8">
      <c r="A69" s="2391"/>
      <c r="B69" s="1261"/>
      <c r="C69" s="1261"/>
      <c r="D69" s="1559"/>
      <c r="E69" s="1261"/>
      <c r="F69" s="1261"/>
      <c r="G69" s="1542"/>
      <c r="H69" s="1501" t="str">
        <f t="shared" si="0"/>
        <v/>
      </c>
    </row>
    <row r="70" spans="1:8">
      <c r="A70" s="2383"/>
      <c r="B70" s="1550"/>
      <c r="C70" s="1550"/>
      <c r="D70" s="2061" t="s">
        <v>1509</v>
      </c>
      <c r="E70" s="1550"/>
      <c r="F70" s="1550"/>
      <c r="G70" s="1538"/>
      <c r="H70" s="1501" t="str">
        <f t="shared" si="0"/>
        <v/>
      </c>
    </row>
    <row r="71" spans="1:8">
      <c r="A71" s="2383"/>
      <c r="B71" s="1550"/>
      <c r="C71" s="1551"/>
      <c r="D71" s="2062"/>
      <c r="E71" s="1550"/>
      <c r="F71" s="1550"/>
      <c r="G71" s="1538"/>
      <c r="H71" s="1501" t="str">
        <f t="shared" si="0"/>
        <v/>
      </c>
    </row>
    <row r="72" spans="1:8" s="343" customFormat="1" ht="15.6">
      <c r="A72" s="2391">
        <f>$A$4</f>
        <v>10</v>
      </c>
      <c r="B72" s="1261">
        <v>1.17</v>
      </c>
      <c r="C72" s="1565"/>
      <c r="D72" s="2148" t="s">
        <v>921</v>
      </c>
      <c r="E72" s="1261" t="s">
        <v>657</v>
      </c>
      <c r="F72" s="1532">
        <v>10</v>
      </c>
      <c r="G72" s="1542"/>
      <c r="H72" s="1501">
        <f t="shared" ref="H72:H74" si="1">IF(E72="","",ROUND(F72*G72,2))</f>
        <v>0</v>
      </c>
    </row>
    <row r="73" spans="1:8">
      <c r="A73" s="2383"/>
      <c r="B73" s="2115"/>
      <c r="C73" s="2116"/>
      <c r="D73" s="2117"/>
      <c r="E73" s="2118"/>
      <c r="F73" s="2063"/>
      <c r="G73" s="1549"/>
      <c r="H73" s="1501" t="str">
        <f t="shared" si="1"/>
        <v/>
      </c>
    </row>
    <row r="74" spans="1:8" ht="15.6">
      <c r="A74" s="2391">
        <f>$A$4</f>
        <v>10</v>
      </c>
      <c r="B74" s="1261">
        <v>1.18</v>
      </c>
      <c r="C74" s="2168"/>
      <c r="D74" s="1559" t="s">
        <v>926</v>
      </c>
      <c r="E74" s="1261" t="s">
        <v>657</v>
      </c>
      <c r="F74" s="1261">
        <v>10</v>
      </c>
      <c r="G74" s="1542"/>
      <c r="H74" s="1501">
        <f t="shared" si="1"/>
        <v>0</v>
      </c>
    </row>
    <row r="75" spans="1:8">
      <c r="A75" s="2391"/>
      <c r="B75" s="1261"/>
      <c r="C75" s="1261"/>
      <c r="D75" s="1559"/>
      <c r="E75" s="1261"/>
      <c r="F75" s="1261"/>
      <c r="G75" s="1542"/>
      <c r="H75" s="1560"/>
    </row>
    <row r="76" spans="1:8">
      <c r="A76" s="2391"/>
      <c r="B76" s="1261"/>
      <c r="C76" s="1261"/>
      <c r="D76" s="1559"/>
      <c r="E76" s="1261"/>
      <c r="F76" s="1261"/>
      <c r="G76" s="1542"/>
      <c r="H76" s="1560"/>
    </row>
    <row r="77" spans="1:8">
      <c r="A77" s="2383"/>
      <c r="B77" s="1261"/>
      <c r="C77" s="1261"/>
      <c r="D77" s="1559"/>
      <c r="E77" s="1261"/>
      <c r="F77" s="1261"/>
      <c r="G77" s="1542"/>
      <c r="H77" s="2190"/>
    </row>
    <row r="78" spans="1:8">
      <c r="A78" s="2383"/>
      <c r="B78" s="1550"/>
      <c r="C78" s="1550"/>
      <c r="D78" s="2109"/>
      <c r="E78" s="1550"/>
      <c r="F78" s="1550"/>
      <c r="G78" s="1538"/>
      <c r="H78" s="2166"/>
    </row>
    <row r="79" spans="1:8">
      <c r="A79" s="2333"/>
      <c r="B79" s="822"/>
      <c r="C79" s="819"/>
      <c r="D79" s="819"/>
      <c r="E79" s="820"/>
      <c r="F79" s="821"/>
      <c r="G79" s="2402"/>
      <c r="H79" s="2403"/>
    </row>
    <row r="80" spans="1:8">
      <c r="A80" s="2336"/>
      <c r="B80" s="823"/>
      <c r="C80" s="438"/>
      <c r="D80" s="328" t="s">
        <v>289</v>
      </c>
      <c r="E80" s="402"/>
      <c r="F80" s="403"/>
      <c r="G80" s="1403"/>
      <c r="H80" s="2404">
        <f>SUM(H3:H78)</f>
        <v>0</v>
      </c>
    </row>
    <row r="81" spans="1:8" s="343" customFormat="1">
      <c r="A81" s="2399"/>
      <c r="B81" s="2405"/>
      <c r="C81" s="2406"/>
      <c r="D81" s="2407" t="s">
        <v>290</v>
      </c>
      <c r="E81" s="958"/>
      <c r="F81" s="1558"/>
      <c r="G81" s="2311"/>
      <c r="H81" s="959">
        <f>H80</f>
        <v>0</v>
      </c>
    </row>
    <row r="82" spans="1:8">
      <c r="A82" s="2383"/>
      <c r="B82" s="1261"/>
      <c r="C82" s="2168"/>
      <c r="D82" s="1559"/>
      <c r="E82" s="1261"/>
      <c r="F82" s="1261"/>
      <c r="G82" s="1542"/>
      <c r="H82" s="2190"/>
    </row>
    <row r="83" spans="1:8" s="343" customFormat="1">
      <c r="A83" s="2399"/>
      <c r="B83" s="1550"/>
      <c r="C83" s="1550"/>
      <c r="D83" s="2061" t="s">
        <v>655</v>
      </c>
      <c r="E83" s="1550"/>
      <c r="F83" s="1550"/>
      <c r="G83" s="1538"/>
      <c r="H83" s="2166"/>
    </row>
    <row r="84" spans="1:8">
      <c r="A84" s="2383"/>
      <c r="B84" s="1550"/>
      <c r="C84" s="1551"/>
      <c r="D84" s="2167"/>
      <c r="E84" s="1550"/>
      <c r="F84" s="1550"/>
      <c r="G84" s="1538"/>
      <c r="H84" s="2166"/>
    </row>
    <row r="85" spans="1:8" ht="15.6">
      <c r="A85" s="2391">
        <f>$A$4</f>
        <v>10</v>
      </c>
      <c r="B85" s="1261">
        <v>1.19</v>
      </c>
      <c r="C85" s="1565"/>
      <c r="D85" s="2148" t="s">
        <v>922</v>
      </c>
      <c r="E85" s="1261" t="s">
        <v>657</v>
      </c>
      <c r="F85" s="1261">
        <v>15</v>
      </c>
      <c r="G85" s="1542"/>
      <c r="H85" s="1501">
        <f t="shared" ref="H85:H148" si="2">IF(E85="","",ROUND(F85*G85,2))</f>
        <v>0</v>
      </c>
    </row>
    <row r="86" spans="1:8">
      <c r="A86" s="2383"/>
      <c r="B86" s="1550"/>
      <c r="C86" s="1551"/>
      <c r="D86" s="2062"/>
      <c r="E86" s="1550"/>
      <c r="F86" s="1550"/>
      <c r="G86" s="1538"/>
      <c r="H86" s="1501" t="str">
        <f t="shared" si="2"/>
        <v/>
      </c>
    </row>
    <row r="87" spans="1:8" s="32" customFormat="1" ht="15.6">
      <c r="A87" s="2408">
        <f>$A$4</f>
        <v>10</v>
      </c>
      <c r="B87" s="1836">
        <v>1.2</v>
      </c>
      <c r="C87" s="1565"/>
      <c r="D87" s="1780" t="s">
        <v>1536</v>
      </c>
      <c r="E87" s="1261" t="s">
        <v>657</v>
      </c>
      <c r="F87" s="1550">
        <v>2</v>
      </c>
      <c r="G87" s="1536"/>
      <c r="H87" s="1501">
        <f t="shared" si="2"/>
        <v>0</v>
      </c>
    </row>
    <row r="88" spans="1:8">
      <c r="A88" s="2383"/>
      <c r="B88" s="1261"/>
      <c r="C88" s="1565"/>
      <c r="D88" s="1559"/>
      <c r="E88" s="1261"/>
      <c r="F88" s="1882"/>
      <c r="G88" s="1542"/>
      <c r="H88" s="1501" t="str">
        <f t="shared" si="2"/>
        <v/>
      </c>
    </row>
    <row r="89" spans="1:8" ht="15.6">
      <c r="A89" s="2391">
        <f>$A$4</f>
        <v>10</v>
      </c>
      <c r="B89" s="1261">
        <v>1.21</v>
      </c>
      <c r="C89" s="1565"/>
      <c r="D89" s="1559" t="s">
        <v>1537</v>
      </c>
      <c r="E89" s="1261" t="s">
        <v>657</v>
      </c>
      <c r="F89" s="1550">
        <v>1</v>
      </c>
      <c r="G89" s="1542"/>
      <c r="H89" s="1501">
        <f t="shared" si="2"/>
        <v>0</v>
      </c>
    </row>
    <row r="90" spans="1:8">
      <c r="A90" s="2383"/>
      <c r="B90" s="1550"/>
      <c r="C90" s="1551"/>
      <c r="D90" s="2062"/>
      <c r="E90" s="1550"/>
      <c r="F90" s="1550"/>
      <c r="G90" s="1538"/>
      <c r="H90" s="1501" t="str">
        <f t="shared" si="2"/>
        <v/>
      </c>
    </row>
    <row r="91" spans="1:8">
      <c r="A91" s="2383"/>
      <c r="B91" s="1261"/>
      <c r="C91" s="1261" t="s">
        <v>659</v>
      </c>
      <c r="D91" s="2170" t="s">
        <v>660</v>
      </c>
      <c r="E91" s="1261"/>
      <c r="F91" s="1261"/>
      <c r="G91" s="1544"/>
      <c r="H91" s="1501" t="str">
        <f t="shared" si="2"/>
        <v/>
      </c>
    </row>
    <row r="92" spans="1:8">
      <c r="A92" s="2383"/>
      <c r="B92" s="1261"/>
      <c r="C92" s="1565"/>
      <c r="D92" s="2066"/>
      <c r="E92" s="1261"/>
      <c r="F92" s="1261"/>
      <c r="G92" s="1544"/>
      <c r="H92" s="1501" t="str">
        <f t="shared" si="2"/>
        <v/>
      </c>
    </row>
    <row r="93" spans="1:8" ht="15.6">
      <c r="A93" s="2391">
        <f>$A$4</f>
        <v>10</v>
      </c>
      <c r="B93" s="1261">
        <v>1.22</v>
      </c>
      <c r="C93" s="1565"/>
      <c r="D93" s="1559" t="s">
        <v>1538</v>
      </c>
      <c r="E93" s="1261" t="s">
        <v>641</v>
      </c>
      <c r="F93" s="1261">
        <v>30</v>
      </c>
      <c r="G93" s="1536"/>
      <c r="H93" s="1501">
        <f t="shared" si="2"/>
        <v>0</v>
      </c>
    </row>
    <row r="94" spans="1:8">
      <c r="A94" s="2383"/>
      <c r="B94" s="1550"/>
      <c r="C94" s="1551"/>
      <c r="D94" s="2165"/>
      <c r="E94" s="1550"/>
      <c r="F94" s="1550"/>
      <c r="G94" s="1538"/>
      <c r="H94" s="1501" t="str">
        <f t="shared" si="2"/>
        <v/>
      </c>
    </row>
    <row r="95" spans="1:8" ht="15.6">
      <c r="A95" s="2391">
        <f>$A$4</f>
        <v>10</v>
      </c>
      <c r="B95" s="1261">
        <v>1.23</v>
      </c>
      <c r="C95" s="1565"/>
      <c r="D95" s="1559" t="s">
        <v>701</v>
      </c>
      <c r="E95" s="1261" t="s">
        <v>641</v>
      </c>
      <c r="F95" s="1261">
        <v>10</v>
      </c>
      <c r="G95" s="1536"/>
      <c r="H95" s="1501">
        <f t="shared" si="2"/>
        <v>0</v>
      </c>
    </row>
    <row r="96" spans="1:8">
      <c r="A96" s="2383"/>
      <c r="B96" s="1550"/>
      <c r="C96" s="1551"/>
      <c r="D96" s="1552"/>
      <c r="E96" s="1550"/>
      <c r="F96" s="1550"/>
      <c r="G96" s="1538"/>
      <c r="H96" s="1501" t="str">
        <f t="shared" si="2"/>
        <v/>
      </c>
    </row>
    <row r="97" spans="1:8">
      <c r="A97" s="2383"/>
      <c r="B97" s="1550"/>
      <c r="C97" s="1551" t="s">
        <v>663</v>
      </c>
      <c r="D97" s="2056" t="s">
        <v>664</v>
      </c>
      <c r="E97" s="1550"/>
      <c r="F97" s="1550"/>
      <c r="G97" s="1538"/>
      <c r="H97" s="1501" t="str">
        <f t="shared" si="2"/>
        <v/>
      </c>
    </row>
    <row r="98" spans="1:8">
      <c r="A98" s="2383"/>
      <c r="B98" s="1842"/>
      <c r="C98" s="2172"/>
      <c r="D98" s="2173"/>
      <c r="E98" s="1842"/>
      <c r="F98" s="1842"/>
      <c r="G98" s="2174"/>
      <c r="H98" s="1501" t="str">
        <f t="shared" si="2"/>
        <v/>
      </c>
    </row>
    <row r="99" spans="1:8" ht="26.4">
      <c r="A99" s="2383"/>
      <c r="B99" s="1261"/>
      <c r="C99" s="2175" t="s">
        <v>665</v>
      </c>
      <c r="D99" s="2176" t="s">
        <v>666</v>
      </c>
      <c r="E99" s="1261"/>
      <c r="F99" s="1261"/>
      <c r="G99" s="1544"/>
      <c r="H99" s="1501" t="str">
        <f t="shared" si="2"/>
        <v/>
      </c>
    </row>
    <row r="100" spans="1:8">
      <c r="A100" s="2383"/>
      <c r="B100" s="1261"/>
      <c r="C100" s="1565"/>
      <c r="D100" s="2066"/>
      <c r="E100" s="1261"/>
      <c r="F100" s="1261"/>
      <c r="G100" s="1544"/>
      <c r="H100" s="1501" t="str">
        <f t="shared" si="2"/>
        <v/>
      </c>
    </row>
    <row r="101" spans="1:8" ht="15.6">
      <c r="A101" s="2391">
        <f>$A$4</f>
        <v>10</v>
      </c>
      <c r="B101" s="1261">
        <v>1.24</v>
      </c>
      <c r="C101" s="1565" t="s">
        <v>667</v>
      </c>
      <c r="D101" s="1559" t="s">
        <v>668</v>
      </c>
      <c r="E101" s="1261" t="s">
        <v>657</v>
      </c>
      <c r="F101" s="1566">
        <v>0.70000000000000007</v>
      </c>
      <c r="G101" s="1542"/>
      <c r="H101" s="1501">
        <f t="shared" si="2"/>
        <v>0</v>
      </c>
    </row>
    <row r="102" spans="1:8">
      <c r="A102" s="2383"/>
      <c r="B102" s="1261"/>
      <c r="C102" s="1565"/>
      <c r="D102" s="2066"/>
      <c r="E102" s="1261"/>
      <c r="F102" s="1261"/>
      <c r="G102" s="1544"/>
      <c r="H102" s="1501" t="str">
        <f t="shared" si="2"/>
        <v/>
      </c>
    </row>
    <row r="103" spans="1:8" ht="15.6">
      <c r="A103" s="2391">
        <f>$A$4</f>
        <v>10</v>
      </c>
      <c r="B103" s="1261">
        <v>1.25</v>
      </c>
      <c r="C103" s="1565" t="s">
        <v>669</v>
      </c>
      <c r="D103" s="1559" t="s">
        <v>670</v>
      </c>
      <c r="E103" s="1261" t="s">
        <v>657</v>
      </c>
      <c r="F103" s="1566">
        <v>0.70000000000000007</v>
      </c>
      <c r="G103" s="1542"/>
      <c r="H103" s="1501">
        <f t="shared" si="2"/>
        <v>0</v>
      </c>
    </row>
    <row r="104" spans="1:8">
      <c r="A104" s="2383"/>
      <c r="B104" s="1261"/>
      <c r="C104" s="1565"/>
      <c r="D104" s="1559"/>
      <c r="E104" s="1261"/>
      <c r="F104" s="1261"/>
      <c r="G104" s="1544"/>
      <c r="H104" s="1501" t="str">
        <f t="shared" si="2"/>
        <v/>
      </c>
    </row>
    <row r="105" spans="1:8">
      <c r="A105" s="2383"/>
      <c r="B105" s="1261"/>
      <c r="C105" s="2177" t="s">
        <v>709</v>
      </c>
      <c r="D105" s="2178" t="s">
        <v>161</v>
      </c>
      <c r="E105" s="1261"/>
      <c r="F105" s="1261"/>
      <c r="G105" s="1544"/>
      <c r="H105" s="1501" t="str">
        <f t="shared" si="2"/>
        <v/>
      </c>
    </row>
    <row r="106" spans="1:8">
      <c r="A106" s="2383"/>
      <c r="B106" s="1261"/>
      <c r="C106" s="2177"/>
      <c r="D106" s="2052"/>
      <c r="E106" s="1261"/>
      <c r="F106" s="1261"/>
      <c r="G106" s="1544"/>
      <c r="H106" s="1501" t="str">
        <f t="shared" si="2"/>
        <v/>
      </c>
    </row>
    <row r="107" spans="1:8">
      <c r="A107" s="2383"/>
      <c r="B107" s="1261"/>
      <c r="C107" s="2177" t="s">
        <v>746</v>
      </c>
      <c r="D107" s="2179" t="s">
        <v>929</v>
      </c>
      <c r="E107" s="1261"/>
      <c r="F107" s="1261"/>
      <c r="G107" s="1544"/>
      <c r="H107" s="1501" t="str">
        <f t="shared" si="2"/>
        <v/>
      </c>
    </row>
    <row r="108" spans="1:8">
      <c r="A108" s="2383"/>
      <c r="B108" s="1261"/>
      <c r="C108" s="2177"/>
      <c r="D108" s="1569"/>
      <c r="E108" s="1261"/>
      <c r="F108" s="1261"/>
      <c r="G108" s="1544"/>
      <c r="H108" s="1501" t="str">
        <f t="shared" si="2"/>
        <v/>
      </c>
    </row>
    <row r="109" spans="1:8" ht="39.6">
      <c r="A109" s="2383"/>
      <c r="B109" s="1261"/>
      <c r="C109" s="2177"/>
      <c r="D109" s="2178" t="s">
        <v>712</v>
      </c>
      <c r="E109" s="1261"/>
      <c r="F109" s="1261"/>
      <c r="G109" s="1544"/>
      <c r="H109" s="1501" t="str">
        <f t="shared" si="2"/>
        <v/>
      </c>
    </row>
    <row r="110" spans="1:8">
      <c r="A110" s="2383"/>
      <c r="B110" s="1261"/>
      <c r="C110" s="1565"/>
      <c r="D110" s="1559"/>
      <c r="E110" s="1261"/>
      <c r="F110" s="1261"/>
      <c r="G110" s="1544"/>
      <c r="H110" s="1501" t="str">
        <f t="shared" si="2"/>
        <v/>
      </c>
    </row>
    <row r="111" spans="1:8">
      <c r="A111" s="2391">
        <f>$A$4</f>
        <v>10</v>
      </c>
      <c r="B111" s="1261">
        <v>1.26</v>
      </c>
      <c r="C111" s="1565"/>
      <c r="D111" s="1569" t="s">
        <v>930</v>
      </c>
      <c r="E111" s="1261" t="s">
        <v>561</v>
      </c>
      <c r="F111" s="1261">
        <v>45</v>
      </c>
      <c r="G111" s="1542"/>
      <c r="H111" s="1501">
        <f t="shared" si="2"/>
        <v>0</v>
      </c>
    </row>
    <row r="112" spans="1:8">
      <c r="A112" s="2383"/>
      <c r="B112" s="1882"/>
      <c r="C112" s="2168"/>
      <c r="D112" s="2169"/>
      <c r="E112" s="1882"/>
      <c r="F112" s="1882"/>
      <c r="G112" s="1546"/>
      <c r="H112" s="1501" t="str">
        <f t="shared" si="2"/>
        <v/>
      </c>
    </row>
    <row r="113" spans="1:17" s="355" customFormat="1">
      <c r="A113" s="2391">
        <f>$A$4</f>
        <v>10</v>
      </c>
      <c r="B113" s="1261">
        <v>1.27</v>
      </c>
      <c r="C113" s="1565"/>
      <c r="D113" s="2155" t="s">
        <v>1539</v>
      </c>
      <c r="E113" s="1261" t="s">
        <v>561</v>
      </c>
      <c r="F113" s="1261">
        <v>55</v>
      </c>
      <c r="G113" s="1542"/>
      <c r="H113" s="1501">
        <f t="shared" si="2"/>
        <v>0</v>
      </c>
    </row>
    <row r="114" spans="1:17" s="355" customFormat="1">
      <c r="A114" s="2065"/>
      <c r="B114" s="1261"/>
      <c r="C114" s="1565"/>
      <c r="D114" s="1559"/>
      <c r="E114" s="1261"/>
      <c r="F114" s="1882"/>
      <c r="G114" s="1542"/>
      <c r="H114" s="1501" t="str">
        <f t="shared" si="2"/>
        <v/>
      </c>
    </row>
    <row r="115" spans="1:17" s="355" customFormat="1">
      <c r="A115" s="2065"/>
      <c r="B115" s="1261"/>
      <c r="C115" s="1565" t="s">
        <v>747</v>
      </c>
      <c r="D115" s="2179" t="s">
        <v>716</v>
      </c>
      <c r="E115" s="1261"/>
      <c r="F115" s="1261"/>
      <c r="G115" s="1544"/>
      <c r="H115" s="1501" t="str">
        <f t="shared" si="2"/>
        <v/>
      </c>
    </row>
    <row r="116" spans="1:17" s="355" customFormat="1">
      <c r="A116" s="2065"/>
      <c r="B116" s="1261"/>
      <c r="C116" s="1565"/>
      <c r="D116" s="1569"/>
      <c r="E116" s="1261"/>
      <c r="F116" s="1261"/>
      <c r="G116" s="1544"/>
      <c r="H116" s="1501" t="str">
        <f t="shared" si="2"/>
        <v/>
      </c>
    </row>
    <row r="117" spans="1:17" s="355" customFormat="1" ht="39.6">
      <c r="A117" s="2065"/>
      <c r="B117" s="1261"/>
      <c r="C117" s="1565"/>
      <c r="D117" s="2179" t="s">
        <v>717</v>
      </c>
      <c r="E117" s="1261"/>
      <c r="F117" s="1261"/>
      <c r="G117" s="1544"/>
      <c r="H117" s="1501" t="str">
        <f t="shared" si="2"/>
        <v/>
      </c>
    </row>
    <row r="118" spans="1:17" s="355" customFormat="1">
      <c r="A118" s="2065"/>
      <c r="B118" s="1261"/>
      <c r="C118" s="1565"/>
      <c r="D118" s="1559"/>
      <c r="E118" s="1261"/>
      <c r="F118" s="1261"/>
      <c r="G118" s="1544"/>
      <c r="H118" s="1501" t="str">
        <f t="shared" si="2"/>
        <v/>
      </c>
    </row>
    <row r="119" spans="1:17" s="355" customFormat="1">
      <c r="A119" s="2391">
        <f>$A$4</f>
        <v>10</v>
      </c>
      <c r="B119" s="1261">
        <v>1.28</v>
      </c>
      <c r="C119" s="1565"/>
      <c r="D119" s="2155" t="s">
        <v>719</v>
      </c>
      <c r="E119" s="1261" t="s">
        <v>561</v>
      </c>
      <c r="F119" s="1261">
        <v>45</v>
      </c>
      <c r="G119" s="1542"/>
      <c r="H119" s="1501">
        <f t="shared" si="2"/>
        <v>0</v>
      </c>
      <c r="Q119" s="355">
        <f>0.15*0.15*0.25</f>
        <v>5.6249999999999998E-3</v>
      </c>
    </row>
    <row r="120" spans="1:17" s="326" customFormat="1">
      <c r="A120" s="2053"/>
      <c r="B120" s="1261"/>
      <c r="C120" s="1565"/>
      <c r="D120" s="2155"/>
      <c r="E120" s="1261"/>
      <c r="F120" s="1261"/>
      <c r="G120" s="1544"/>
      <c r="H120" s="1501" t="str">
        <f t="shared" si="2"/>
        <v/>
      </c>
    </row>
    <row r="121" spans="1:17">
      <c r="A121" s="2391">
        <f>$A$4</f>
        <v>10</v>
      </c>
      <c r="B121" s="1261">
        <v>1.29</v>
      </c>
      <c r="C121" s="1565"/>
      <c r="D121" s="2155" t="s">
        <v>932</v>
      </c>
      <c r="E121" s="1261" t="s">
        <v>561</v>
      </c>
      <c r="F121" s="1261">
        <v>55</v>
      </c>
      <c r="G121" s="1542"/>
      <c r="H121" s="1501">
        <f t="shared" si="2"/>
        <v>0</v>
      </c>
    </row>
    <row r="122" spans="1:17">
      <c r="A122" s="2383"/>
      <c r="B122" s="1261"/>
      <c r="C122" s="1565"/>
      <c r="D122" s="2155"/>
      <c r="E122" s="1261"/>
      <c r="F122" s="1261"/>
      <c r="G122" s="1542"/>
      <c r="H122" s="1501" t="str">
        <f t="shared" si="2"/>
        <v/>
      </c>
    </row>
    <row r="123" spans="1:17">
      <c r="A123" s="2383"/>
      <c r="B123" s="1550"/>
      <c r="C123" s="1783"/>
      <c r="D123" s="1815" t="s">
        <v>1540</v>
      </c>
      <c r="E123" s="1550"/>
      <c r="F123" s="1550"/>
      <c r="G123" s="1538"/>
      <c r="H123" s="1501" t="str">
        <f t="shared" si="2"/>
        <v/>
      </c>
    </row>
    <row r="124" spans="1:17">
      <c r="A124" s="2383"/>
      <c r="B124" s="1550"/>
      <c r="C124" s="1550"/>
      <c r="D124" s="2061"/>
      <c r="E124" s="1550"/>
      <c r="F124" s="1550"/>
      <c r="G124" s="1538"/>
      <c r="H124" s="1501" t="str">
        <f t="shared" si="2"/>
        <v/>
      </c>
    </row>
    <row r="125" spans="1:17" s="346" customFormat="1" ht="26.4">
      <c r="A125" s="2409"/>
      <c r="B125" s="1261"/>
      <c r="C125" s="1865" t="s">
        <v>934</v>
      </c>
      <c r="D125" s="2181" t="s">
        <v>1541</v>
      </c>
      <c r="E125" s="1261"/>
      <c r="F125" s="1532"/>
      <c r="G125" s="1839"/>
      <c r="H125" s="1501" t="str">
        <f t="shared" si="2"/>
        <v/>
      </c>
    </row>
    <row r="126" spans="1:17">
      <c r="A126" s="2383"/>
      <c r="B126" s="1530"/>
      <c r="C126" s="1530"/>
      <c r="D126" s="2184"/>
      <c r="E126" s="1530"/>
      <c r="F126" s="2185"/>
      <c r="G126" s="1544"/>
      <c r="H126" s="1501" t="str">
        <f t="shared" si="2"/>
        <v/>
      </c>
    </row>
    <row r="127" spans="1:17" s="357" customFormat="1" ht="26.4">
      <c r="A127" s="2408">
        <f>$A$4</f>
        <v>10</v>
      </c>
      <c r="B127" s="1836">
        <v>1.3</v>
      </c>
      <c r="C127" s="1818" t="s">
        <v>1542</v>
      </c>
      <c r="D127" s="1780" t="s">
        <v>1543</v>
      </c>
      <c r="E127" s="1821" t="s">
        <v>644</v>
      </c>
      <c r="F127" s="1532">
        <v>40</v>
      </c>
      <c r="G127" s="1536"/>
      <c r="H127" s="1501">
        <f t="shared" si="2"/>
        <v>0</v>
      </c>
    </row>
    <row r="128" spans="1:17" s="355" customFormat="1">
      <c r="A128" s="2065"/>
      <c r="B128" s="1530"/>
      <c r="C128" s="2147"/>
      <c r="D128" s="1531"/>
      <c r="E128" s="1821"/>
      <c r="F128" s="1532"/>
      <c r="G128" s="1536"/>
      <c r="H128" s="1501" t="str">
        <f t="shared" si="2"/>
        <v/>
      </c>
    </row>
    <row r="129" spans="1:8" s="355" customFormat="1" ht="26.4">
      <c r="A129" s="2065"/>
      <c r="B129" s="1261"/>
      <c r="C129" s="1865" t="s">
        <v>938</v>
      </c>
      <c r="D129" s="1846" t="s">
        <v>1544</v>
      </c>
      <c r="E129" s="1261"/>
      <c r="F129" s="1261"/>
      <c r="G129" s="1544"/>
      <c r="H129" s="1501" t="str">
        <f t="shared" si="2"/>
        <v/>
      </c>
    </row>
    <row r="130" spans="1:8">
      <c r="A130" s="2383"/>
      <c r="B130" s="1261"/>
      <c r="C130" s="1565"/>
      <c r="D130" s="2187"/>
      <c r="E130" s="1261"/>
      <c r="F130" s="1261"/>
      <c r="G130" s="1544"/>
      <c r="H130" s="1501" t="str">
        <f t="shared" si="2"/>
        <v/>
      </c>
    </row>
    <row r="131" spans="1:8" ht="15.6">
      <c r="A131" s="2391">
        <f>$A$4</f>
        <v>10</v>
      </c>
      <c r="B131" s="1261">
        <v>1.31</v>
      </c>
      <c r="C131" s="1565" t="s">
        <v>940</v>
      </c>
      <c r="D131" s="1780" t="s">
        <v>1545</v>
      </c>
      <c r="E131" s="1261" t="s">
        <v>641</v>
      </c>
      <c r="F131" s="1261">
        <v>20</v>
      </c>
      <c r="G131" s="1536"/>
      <c r="H131" s="1501">
        <f t="shared" si="2"/>
        <v>0</v>
      </c>
    </row>
    <row r="132" spans="1:8">
      <c r="A132" s="2383"/>
      <c r="B132" s="2410"/>
      <c r="C132" s="2410"/>
      <c r="D132" s="2411"/>
      <c r="E132" s="2113"/>
      <c r="F132" s="2113"/>
      <c r="G132" s="1542"/>
      <c r="H132" s="1501" t="str">
        <f t="shared" si="2"/>
        <v/>
      </c>
    </row>
    <row r="133" spans="1:8">
      <c r="A133" s="2383"/>
      <c r="B133" s="1563"/>
      <c r="C133" s="1563"/>
      <c r="D133" s="2412" t="s">
        <v>942</v>
      </c>
      <c r="E133" s="2188"/>
      <c r="F133" s="2188"/>
      <c r="G133" s="1544"/>
      <c r="H133" s="1501" t="str">
        <f t="shared" si="2"/>
        <v/>
      </c>
    </row>
    <row r="134" spans="1:8">
      <c r="A134" s="2383"/>
      <c r="B134" s="1563"/>
      <c r="C134" s="1563"/>
      <c r="D134" s="2412"/>
      <c r="E134" s="2188"/>
      <c r="F134" s="2188"/>
      <c r="G134" s="1544"/>
      <c r="H134" s="1501" t="str">
        <f t="shared" si="2"/>
        <v/>
      </c>
    </row>
    <row r="135" spans="1:8">
      <c r="A135" s="2391">
        <f>$A$4</f>
        <v>10</v>
      </c>
      <c r="B135" s="1563">
        <v>1.32</v>
      </c>
      <c r="C135" s="1563"/>
      <c r="D135" s="983" t="s">
        <v>943</v>
      </c>
      <c r="E135" s="995" t="s">
        <v>273</v>
      </c>
      <c r="F135" s="2188">
        <v>6</v>
      </c>
      <c r="G135" s="1542"/>
      <c r="H135" s="1501">
        <f t="shared" si="2"/>
        <v>0</v>
      </c>
    </row>
    <row r="136" spans="1:8">
      <c r="A136" s="2391"/>
      <c r="B136" s="1563"/>
      <c r="C136" s="1563"/>
      <c r="D136" s="983"/>
      <c r="E136" s="995"/>
      <c r="F136" s="994"/>
      <c r="G136" s="1542"/>
      <c r="H136" s="1501" t="str">
        <f t="shared" si="2"/>
        <v/>
      </c>
    </row>
    <row r="137" spans="1:8" s="2" customFormat="1">
      <c r="A137" s="2019"/>
      <c r="B137" s="2103"/>
      <c r="C137" s="1550">
        <v>8.8000000000000007</v>
      </c>
      <c r="D137" s="2109" t="s">
        <v>944</v>
      </c>
      <c r="E137" s="874"/>
      <c r="F137" s="1550"/>
      <c r="G137" s="2197"/>
      <c r="H137" s="1501" t="str">
        <f t="shared" si="2"/>
        <v/>
      </c>
    </row>
    <row r="138" spans="1:8" s="2" customFormat="1">
      <c r="A138" s="2019"/>
      <c r="B138" s="2103"/>
      <c r="C138" s="1551"/>
      <c r="D138" s="2061"/>
      <c r="E138" s="874"/>
      <c r="F138" s="1550"/>
      <c r="G138" s="2197"/>
      <c r="H138" s="1501" t="str">
        <f t="shared" si="2"/>
        <v/>
      </c>
    </row>
    <row r="139" spans="1:8" s="2" customFormat="1">
      <c r="A139" s="2019"/>
      <c r="B139" s="2103"/>
      <c r="C139" s="1551" t="s">
        <v>945</v>
      </c>
      <c r="D139" s="2198" t="s">
        <v>946</v>
      </c>
      <c r="E139" s="874"/>
      <c r="F139" s="1550"/>
      <c r="G139" s="2197"/>
      <c r="H139" s="1501" t="str">
        <f t="shared" si="2"/>
        <v/>
      </c>
    </row>
    <row r="140" spans="1:8" s="2" customFormat="1">
      <c r="A140" s="2019"/>
      <c r="B140" s="2103"/>
      <c r="C140" s="1551"/>
      <c r="D140" s="2061"/>
      <c r="E140" s="874"/>
      <c r="F140" s="1550"/>
      <c r="G140" s="2197"/>
      <c r="H140" s="1501" t="str">
        <f t="shared" si="2"/>
        <v/>
      </c>
    </row>
    <row r="141" spans="1:8" s="2" customFormat="1">
      <c r="A141" s="2019"/>
      <c r="B141" s="2103"/>
      <c r="C141" s="1551"/>
      <c r="D141" s="2061" t="s">
        <v>1546</v>
      </c>
      <c r="E141" s="874" t="s">
        <v>230</v>
      </c>
      <c r="F141" s="1550">
        <v>1</v>
      </c>
      <c r="G141" s="2413"/>
      <c r="H141" s="1501">
        <f t="shared" si="2"/>
        <v>0</v>
      </c>
    </row>
    <row r="142" spans="1:8" s="2" customFormat="1">
      <c r="A142" s="2019"/>
      <c r="B142" s="2103"/>
      <c r="C142" s="1551"/>
      <c r="D142" s="2061"/>
      <c r="E142" s="874"/>
      <c r="F142" s="1550"/>
      <c r="G142" s="2197"/>
      <c r="H142" s="1501" t="str">
        <f t="shared" si="2"/>
        <v/>
      </c>
    </row>
    <row r="143" spans="1:8" s="2" customFormat="1">
      <c r="A143" s="2019"/>
      <c r="B143" s="2103"/>
      <c r="C143" s="1551"/>
      <c r="D143" s="2061" t="s">
        <v>991</v>
      </c>
      <c r="E143" s="874"/>
      <c r="F143" s="1550"/>
      <c r="G143" s="2197"/>
      <c r="H143" s="1501" t="str">
        <f t="shared" si="2"/>
        <v/>
      </c>
    </row>
    <row r="144" spans="1:8" s="2" customFormat="1">
      <c r="A144" s="2019"/>
      <c r="B144" s="1551"/>
      <c r="C144" s="1551"/>
      <c r="D144" s="2165"/>
      <c r="E144" s="874"/>
      <c r="F144" s="1550"/>
      <c r="G144" s="2197"/>
      <c r="H144" s="1501" t="str">
        <f t="shared" si="2"/>
        <v/>
      </c>
    </row>
    <row r="145" spans="1:8" s="12" customFormat="1" ht="26.4">
      <c r="A145" s="2408">
        <f>$A$4</f>
        <v>10</v>
      </c>
      <c r="B145" s="1550">
        <v>1.33</v>
      </c>
      <c r="C145" s="1962" t="s">
        <v>948</v>
      </c>
      <c r="D145" s="1564" t="s">
        <v>1547</v>
      </c>
      <c r="E145" s="874" t="s">
        <v>273</v>
      </c>
      <c r="F145" s="1550">
        <v>2</v>
      </c>
      <c r="G145" s="2199"/>
      <c r="H145" s="1501">
        <f t="shared" si="2"/>
        <v>0</v>
      </c>
    </row>
    <row r="146" spans="1:8" s="12" customFormat="1">
      <c r="A146" s="1763"/>
      <c r="B146" s="1551"/>
      <c r="C146" s="1962"/>
      <c r="D146" s="1564"/>
      <c r="E146" s="874"/>
      <c r="F146" s="1550"/>
      <c r="G146" s="2199"/>
      <c r="H146" s="1501" t="str">
        <f t="shared" si="2"/>
        <v/>
      </c>
    </row>
    <row r="147" spans="1:8" s="357" customFormat="1">
      <c r="A147" s="2408">
        <f>$A$4</f>
        <v>10</v>
      </c>
      <c r="B147" s="1550">
        <v>1.34</v>
      </c>
      <c r="C147" s="1962" t="s">
        <v>948</v>
      </c>
      <c r="D147" s="1564" t="s">
        <v>1548</v>
      </c>
      <c r="E147" s="874" t="s">
        <v>273</v>
      </c>
      <c r="F147" s="1550">
        <v>10</v>
      </c>
      <c r="G147" s="1516"/>
      <c r="H147" s="1501">
        <f t="shared" si="2"/>
        <v>0</v>
      </c>
    </row>
    <row r="148" spans="1:8">
      <c r="A148" s="2391"/>
      <c r="B148" s="1563"/>
      <c r="C148" s="1563"/>
      <c r="D148" s="983"/>
      <c r="E148" s="995"/>
      <c r="F148" s="994"/>
      <c r="G148" s="1542"/>
      <c r="H148" s="1501" t="str">
        <f t="shared" si="2"/>
        <v/>
      </c>
    </row>
    <row r="149" spans="1:8" s="12" customFormat="1">
      <c r="A149" s="2408">
        <f>$A$4</f>
        <v>10</v>
      </c>
      <c r="B149" s="1550">
        <v>1.35</v>
      </c>
      <c r="C149" s="1962" t="s">
        <v>952</v>
      </c>
      <c r="D149" s="1564" t="s">
        <v>1549</v>
      </c>
      <c r="E149" s="874" t="s">
        <v>954</v>
      </c>
      <c r="F149" s="1550">
        <v>7</v>
      </c>
      <c r="G149" s="2199"/>
      <c r="H149" s="1501">
        <f t="shared" ref="H149:H150" si="3">IF(E149="","",ROUND(F149*G149,2))</f>
        <v>0</v>
      </c>
    </row>
    <row r="150" spans="1:8">
      <c r="A150" s="2391"/>
      <c r="B150" s="1563"/>
      <c r="C150" s="1562"/>
      <c r="D150" s="983"/>
      <c r="E150" s="995"/>
      <c r="F150" s="994"/>
      <c r="G150" s="1542"/>
      <c r="H150" s="1501" t="str">
        <f t="shared" si="3"/>
        <v/>
      </c>
    </row>
    <row r="151" spans="1:8">
      <c r="A151" s="2391"/>
      <c r="B151" s="1563"/>
      <c r="C151" s="1561"/>
      <c r="D151" s="983"/>
      <c r="E151" s="995"/>
      <c r="F151" s="994"/>
      <c r="G151" s="1542"/>
      <c r="H151" s="954"/>
    </row>
    <row r="152" spans="1:8">
      <c r="A152" s="2383"/>
      <c r="B152" s="2414"/>
      <c r="C152" s="2340"/>
      <c r="D152" s="2346"/>
      <c r="E152" s="961"/>
      <c r="G152" s="1326"/>
      <c r="H152" s="962"/>
    </row>
    <row r="153" spans="1:8">
      <c r="A153" s="2383"/>
      <c r="B153" s="2414"/>
      <c r="C153" s="2340"/>
      <c r="D153" s="2346"/>
      <c r="E153" s="963"/>
      <c r="G153" s="1326"/>
      <c r="H153" s="964"/>
    </row>
    <row r="154" spans="1:8" s="355" customFormat="1">
      <c r="A154" s="2333"/>
      <c r="B154" s="822"/>
      <c r="C154" s="819"/>
      <c r="D154" s="819"/>
      <c r="E154" s="820"/>
      <c r="F154" s="821"/>
      <c r="G154" s="2402"/>
      <c r="H154" s="2403"/>
    </row>
    <row r="155" spans="1:8" s="355" customFormat="1">
      <c r="A155" s="2336"/>
      <c r="B155" s="823"/>
      <c r="C155" s="438"/>
      <c r="D155" s="328" t="s">
        <v>289</v>
      </c>
      <c r="E155" s="402"/>
      <c r="F155" s="403"/>
      <c r="G155" s="1403"/>
      <c r="H155" s="2404">
        <f>SUM(H81:H153)</f>
        <v>0</v>
      </c>
    </row>
    <row r="156" spans="1:8" s="355" customFormat="1">
      <c r="A156" s="960"/>
      <c r="B156" s="2405"/>
      <c r="C156" s="2406"/>
      <c r="D156" s="2407" t="s">
        <v>290</v>
      </c>
      <c r="E156" s="958"/>
      <c r="F156" s="1558"/>
      <c r="G156" s="2311"/>
      <c r="H156" s="959">
        <f>H155</f>
        <v>0</v>
      </c>
    </row>
    <row r="157" spans="1:8" s="12" customFormat="1">
      <c r="A157" s="1763"/>
      <c r="B157" s="1551"/>
      <c r="C157" s="1551"/>
      <c r="D157" s="1815"/>
      <c r="E157" s="874"/>
      <c r="F157" s="1550"/>
      <c r="G157" s="1299"/>
      <c r="H157" s="203"/>
    </row>
    <row r="158" spans="1:8" s="12" customFormat="1">
      <c r="A158" s="1763"/>
      <c r="B158" s="1551"/>
      <c r="C158" s="1962">
        <v>8.9</v>
      </c>
      <c r="D158" s="560" t="s">
        <v>955</v>
      </c>
      <c r="E158" s="2415"/>
      <c r="F158" s="2202"/>
      <c r="G158" s="1299"/>
      <c r="H158" s="203"/>
    </row>
    <row r="159" spans="1:8" s="320" customFormat="1">
      <c r="A159" s="965"/>
      <c r="B159" s="2172"/>
      <c r="C159" s="528"/>
      <c r="D159" s="529"/>
      <c r="E159" s="2203"/>
      <c r="F159" s="2204"/>
      <c r="G159" s="1300"/>
      <c r="H159" s="321"/>
    </row>
    <row r="160" spans="1:8" s="355" customFormat="1" ht="39.6">
      <c r="A160" s="2065"/>
      <c r="B160" s="1565"/>
      <c r="C160" s="390" t="s">
        <v>956</v>
      </c>
      <c r="D160" s="530" t="s">
        <v>957</v>
      </c>
      <c r="E160" s="2205" t="s">
        <v>230</v>
      </c>
      <c r="F160" s="2206">
        <v>1</v>
      </c>
      <c r="G160" s="1301"/>
      <c r="H160" s="1501">
        <f t="shared" ref="H160:H223" si="4">IF(E160="","",ROUND(F160*G160,2))</f>
        <v>0</v>
      </c>
    </row>
    <row r="161" spans="1:8" s="355" customFormat="1">
      <c r="A161" s="2065"/>
      <c r="B161" s="390"/>
      <c r="C161" s="390"/>
      <c r="D161" s="1569"/>
      <c r="E161" s="2188"/>
      <c r="F161" s="2188"/>
      <c r="G161" s="1542"/>
      <c r="H161" s="1501" t="str">
        <f t="shared" si="4"/>
        <v/>
      </c>
    </row>
    <row r="162" spans="1:8" s="355" customFormat="1">
      <c r="A162" s="2065"/>
      <c r="B162" s="390"/>
      <c r="C162" s="390">
        <v>8.1199999999999992</v>
      </c>
      <c r="D162" s="2179" t="s">
        <v>958</v>
      </c>
      <c r="E162" s="2188"/>
      <c r="F162" s="2188"/>
      <c r="G162" s="1303"/>
      <c r="H162" s="1501" t="str">
        <f t="shared" si="4"/>
        <v/>
      </c>
    </row>
    <row r="163" spans="1:8" s="355" customFormat="1">
      <c r="A163" s="2065"/>
      <c r="B163" s="390"/>
      <c r="C163" s="390"/>
      <c r="D163" s="1569"/>
      <c r="E163" s="2188"/>
      <c r="F163" s="2188"/>
      <c r="G163" s="1303"/>
      <c r="H163" s="1501" t="str">
        <f t="shared" si="4"/>
        <v/>
      </c>
    </row>
    <row r="164" spans="1:8" s="355" customFormat="1">
      <c r="A164" s="2391">
        <f>$A$4</f>
        <v>10</v>
      </c>
      <c r="B164" s="1261">
        <v>1.36</v>
      </c>
      <c r="C164" s="390" t="s">
        <v>959</v>
      </c>
      <c r="D164" s="1569" t="s">
        <v>960</v>
      </c>
      <c r="E164" s="2188" t="s">
        <v>644</v>
      </c>
      <c r="F164" s="2188">
        <v>125</v>
      </c>
      <c r="G164" s="1304"/>
      <c r="H164" s="1501">
        <f t="shared" si="4"/>
        <v>0</v>
      </c>
    </row>
    <row r="165" spans="1:8" s="355" customFormat="1">
      <c r="A165" s="2065"/>
      <c r="B165" s="390"/>
      <c r="C165" s="390"/>
      <c r="D165" s="1569"/>
      <c r="E165" s="2188"/>
      <c r="F165" s="2188"/>
      <c r="G165" s="1304"/>
      <c r="H165" s="1501" t="str">
        <f t="shared" si="4"/>
        <v/>
      </c>
    </row>
    <row r="166" spans="1:8" s="355" customFormat="1">
      <c r="A166" s="2391">
        <f>$A$4</f>
        <v>10</v>
      </c>
      <c r="B166" s="1261">
        <v>1.37</v>
      </c>
      <c r="C166" s="390"/>
      <c r="D166" s="1569" t="s">
        <v>961</v>
      </c>
      <c r="E166" s="2188" t="s">
        <v>561</v>
      </c>
      <c r="F166" s="2188">
        <v>50</v>
      </c>
      <c r="G166" s="1304"/>
      <c r="H166" s="1501">
        <f t="shared" si="4"/>
        <v>0</v>
      </c>
    </row>
    <row r="167" spans="1:8" s="355" customFormat="1">
      <c r="A167" s="2065"/>
      <c r="B167" s="390"/>
      <c r="C167" s="390"/>
      <c r="D167" s="1569"/>
      <c r="E167" s="2188"/>
      <c r="F167" s="2188"/>
      <c r="G167" s="1304"/>
      <c r="H167" s="1501" t="str">
        <f t="shared" si="4"/>
        <v/>
      </c>
    </row>
    <row r="168" spans="1:8" s="355" customFormat="1">
      <c r="A168" s="2391">
        <f>$A$4</f>
        <v>10</v>
      </c>
      <c r="B168" s="1261">
        <v>1.38</v>
      </c>
      <c r="C168" s="390"/>
      <c r="D168" s="1569" t="s">
        <v>962</v>
      </c>
      <c r="E168" s="2188" t="s">
        <v>561</v>
      </c>
      <c r="F168" s="2188">
        <v>50</v>
      </c>
      <c r="G168" s="1304"/>
      <c r="H168" s="1501">
        <f t="shared" si="4"/>
        <v>0</v>
      </c>
    </row>
    <row r="169" spans="1:8" s="355" customFormat="1">
      <c r="A169" s="2065"/>
      <c r="B169" s="390"/>
      <c r="C169" s="390"/>
      <c r="D169" s="1569"/>
      <c r="E169" s="2188"/>
      <c r="F169" s="2188"/>
      <c r="G169" s="1542"/>
      <c r="H169" s="1501" t="str">
        <f t="shared" si="4"/>
        <v/>
      </c>
    </row>
    <row r="170" spans="1:8" s="9" customFormat="1" ht="26.4">
      <c r="A170" s="344"/>
      <c r="B170" s="315"/>
      <c r="C170" s="532" t="s">
        <v>963</v>
      </c>
      <c r="D170" s="533" t="s">
        <v>964</v>
      </c>
      <c r="E170" s="362"/>
      <c r="F170" s="51"/>
      <c r="G170" s="1404"/>
      <c r="H170" s="1501" t="str">
        <f t="shared" si="4"/>
        <v/>
      </c>
    </row>
    <row r="171" spans="1:8" s="8" customFormat="1">
      <c r="A171" s="966"/>
      <c r="B171" s="534"/>
      <c r="C171" s="439"/>
      <c r="D171" s="535"/>
      <c r="E171" s="536"/>
      <c r="F171" s="537"/>
      <c r="G171" s="1306"/>
      <c r="H171" s="1501" t="str">
        <f t="shared" si="4"/>
        <v/>
      </c>
    </row>
    <row r="172" spans="1:8" s="8" customFormat="1">
      <c r="A172" s="966"/>
      <c r="B172" s="534"/>
      <c r="C172" s="534" t="s">
        <v>590</v>
      </c>
      <c r="D172" s="538" t="s">
        <v>965</v>
      </c>
      <c r="E172" s="536"/>
      <c r="F172" s="537"/>
      <c r="G172" s="1306"/>
      <c r="H172" s="1501" t="str">
        <f t="shared" si="4"/>
        <v/>
      </c>
    </row>
    <row r="173" spans="1:8" s="8" customFormat="1">
      <c r="A173" s="966"/>
      <c r="B173" s="534"/>
      <c r="C173" s="534"/>
      <c r="D173" s="535"/>
      <c r="E173" s="536"/>
      <c r="F173" s="537"/>
      <c r="G173" s="1306"/>
      <c r="H173" s="1501" t="str">
        <f t="shared" si="4"/>
        <v/>
      </c>
    </row>
    <row r="174" spans="1:8" s="8" customFormat="1">
      <c r="A174" s="2391">
        <f>$A$4</f>
        <v>10</v>
      </c>
      <c r="B174" s="534">
        <v>1.39</v>
      </c>
      <c r="C174" s="534"/>
      <c r="D174" s="967" t="s">
        <v>966</v>
      </c>
      <c r="E174" s="539" t="s">
        <v>644</v>
      </c>
      <c r="F174" s="401">
        <v>215</v>
      </c>
      <c r="G174" s="1282"/>
      <c r="H174" s="1501">
        <f t="shared" si="4"/>
        <v>0</v>
      </c>
    </row>
    <row r="175" spans="1:8" s="8" customFormat="1">
      <c r="A175" s="966"/>
      <c r="B175" s="534"/>
      <c r="C175" s="534"/>
      <c r="D175" s="535"/>
      <c r="E175" s="968"/>
      <c r="F175" s="669"/>
      <c r="G175" s="1306"/>
      <c r="H175" s="1501" t="str">
        <f t="shared" si="4"/>
        <v/>
      </c>
    </row>
    <row r="176" spans="1:8" s="355" customFormat="1">
      <c r="A176" s="2065"/>
      <c r="B176" s="1565"/>
      <c r="C176" s="390">
        <v>8.1300000000000008</v>
      </c>
      <c r="D176" s="2179" t="s">
        <v>967</v>
      </c>
      <c r="E176" s="2188"/>
      <c r="F176" s="2188"/>
      <c r="G176" s="1303"/>
      <c r="H176" s="1501" t="str">
        <f t="shared" si="4"/>
        <v/>
      </c>
    </row>
    <row r="177" spans="1:9" s="355" customFormat="1">
      <c r="A177" s="2065"/>
      <c r="B177" s="1565"/>
      <c r="C177" s="390"/>
      <c r="D177" s="1569"/>
      <c r="E177" s="2188"/>
      <c r="F177" s="2188"/>
      <c r="G177" s="1303"/>
      <c r="H177" s="1501" t="str">
        <f t="shared" si="4"/>
        <v/>
      </c>
    </row>
    <row r="178" spans="1:9" s="355" customFormat="1">
      <c r="A178" s="2391">
        <f>$A$4</f>
        <v>10</v>
      </c>
      <c r="B178" s="1836">
        <v>1.4</v>
      </c>
      <c r="C178" s="390" t="s">
        <v>968</v>
      </c>
      <c r="D178" s="1569" t="s">
        <v>969</v>
      </c>
      <c r="E178" s="2188" t="s">
        <v>561</v>
      </c>
      <c r="F178" s="2188">
        <v>48</v>
      </c>
      <c r="G178" s="1304"/>
      <c r="H178" s="1501">
        <f t="shared" si="4"/>
        <v>0</v>
      </c>
    </row>
    <row r="179" spans="1:9" s="355" customFormat="1">
      <c r="A179" s="2065"/>
      <c r="B179" s="1565"/>
      <c r="C179" s="390"/>
      <c r="D179" s="1569"/>
      <c r="E179" s="2188"/>
      <c r="F179" s="2188"/>
      <c r="G179" s="1303"/>
      <c r="H179" s="1501" t="str">
        <f t="shared" si="4"/>
        <v/>
      </c>
    </row>
    <row r="180" spans="1:9" s="355" customFormat="1">
      <c r="A180" s="2391">
        <f>$A$4</f>
        <v>10</v>
      </c>
      <c r="B180" s="1261">
        <v>1.41</v>
      </c>
      <c r="C180" s="390" t="s">
        <v>970</v>
      </c>
      <c r="D180" s="1569" t="s">
        <v>971</v>
      </c>
      <c r="E180" s="1261" t="s">
        <v>273</v>
      </c>
      <c r="F180" s="2188">
        <v>4</v>
      </c>
      <c r="G180" s="1304"/>
      <c r="H180" s="1501">
        <f t="shared" si="4"/>
        <v>0</v>
      </c>
    </row>
    <row r="181" spans="1:9" s="355" customFormat="1">
      <c r="A181" s="2065"/>
      <c r="B181" s="390"/>
      <c r="C181" s="390"/>
      <c r="D181" s="1569"/>
      <c r="E181" s="2188"/>
      <c r="F181" s="2188"/>
      <c r="G181" s="1542"/>
      <c r="H181" s="1501" t="str">
        <f t="shared" si="4"/>
        <v/>
      </c>
    </row>
    <row r="182" spans="1:9" s="2" customFormat="1" ht="13.8">
      <c r="A182" s="2391">
        <f>$A$4</f>
        <v>10</v>
      </c>
      <c r="B182" s="572">
        <v>2</v>
      </c>
      <c r="C182" s="957"/>
      <c r="D182" s="670" t="s">
        <v>1550</v>
      </c>
      <c r="E182" s="969"/>
      <c r="F182" s="969"/>
      <c r="G182" s="1402"/>
      <c r="H182" s="1501" t="str">
        <f t="shared" si="4"/>
        <v/>
      </c>
      <c r="I182" s="326"/>
    </row>
    <row r="183" spans="1:9" s="2" customFormat="1">
      <c r="A183" s="966"/>
      <c r="B183" s="970"/>
      <c r="C183" s="957"/>
      <c r="D183" s="971"/>
      <c r="E183" s="969"/>
      <c r="F183" s="969"/>
      <c r="G183" s="1402"/>
      <c r="H183" s="1501" t="str">
        <f t="shared" si="4"/>
        <v/>
      </c>
      <c r="I183" s="326"/>
    </row>
    <row r="184" spans="1:9" s="2" customFormat="1">
      <c r="A184" s="966"/>
      <c r="B184" s="541" t="s">
        <v>543</v>
      </c>
      <c r="C184" s="376"/>
      <c r="D184" s="543" t="s">
        <v>672</v>
      </c>
      <c r="E184" s="1550"/>
      <c r="F184" s="1550"/>
      <c r="G184" s="1288"/>
      <c r="H184" s="1501" t="str">
        <f t="shared" si="4"/>
        <v/>
      </c>
    </row>
    <row r="185" spans="1:9" s="2" customFormat="1">
      <c r="A185" s="966"/>
      <c r="B185" s="544"/>
      <c r="C185" s="1550"/>
      <c r="D185" s="501"/>
      <c r="E185" s="1550"/>
      <c r="F185" s="1550"/>
      <c r="G185" s="1288"/>
      <c r="H185" s="1501" t="str">
        <f t="shared" si="4"/>
        <v/>
      </c>
    </row>
    <row r="186" spans="1:9" s="12" customFormat="1">
      <c r="A186" s="2391">
        <f>$A$4</f>
        <v>10</v>
      </c>
      <c r="B186" s="1550">
        <v>2.1</v>
      </c>
      <c r="C186" s="1550"/>
      <c r="D186" s="369" t="s">
        <v>1551</v>
      </c>
      <c r="E186" s="1550" t="s">
        <v>230</v>
      </c>
      <c r="F186" s="1550">
        <v>1</v>
      </c>
      <c r="G186" s="1330"/>
      <c r="H186" s="1501">
        <f t="shared" si="4"/>
        <v>0</v>
      </c>
    </row>
    <row r="187" spans="1:9" s="12" customFormat="1">
      <c r="A187" s="344"/>
      <c r="B187" s="1551"/>
      <c r="C187" s="1550"/>
      <c r="D187" s="369"/>
      <c r="E187" s="1550"/>
      <c r="F187" s="1550"/>
      <c r="G187" s="1330"/>
      <c r="H187" s="1501" t="str">
        <f t="shared" si="4"/>
        <v/>
      </c>
    </row>
    <row r="188" spans="1:9" s="6" customFormat="1" ht="26.4">
      <c r="A188" s="972"/>
      <c r="B188" s="368" t="s">
        <v>549</v>
      </c>
      <c r="C188" s="376" t="s">
        <v>581</v>
      </c>
      <c r="D188" s="543" t="s">
        <v>636</v>
      </c>
      <c r="E188" s="377"/>
      <c r="F188" s="377"/>
      <c r="G188" s="1283"/>
      <c r="H188" s="1501" t="str">
        <f t="shared" si="4"/>
        <v/>
      </c>
    </row>
    <row r="189" spans="1:9" s="2" customFormat="1">
      <c r="A189" s="966"/>
      <c r="B189" s="1551"/>
      <c r="C189" s="1550"/>
      <c r="D189" s="553"/>
      <c r="E189" s="1550"/>
      <c r="F189" s="1550"/>
      <c r="G189" s="1538"/>
      <c r="H189" s="1501" t="str">
        <f t="shared" si="4"/>
        <v/>
      </c>
    </row>
    <row r="190" spans="1:9" s="2" customFormat="1" ht="12" customHeight="1">
      <c r="A190" s="966"/>
      <c r="B190" s="1551"/>
      <c r="C190" s="1550">
        <v>8.1999999999999993</v>
      </c>
      <c r="D190" s="553" t="s">
        <v>637</v>
      </c>
      <c r="E190" s="1550"/>
      <c r="F190" s="1550"/>
      <c r="G190" s="1538"/>
      <c r="H190" s="1501" t="str">
        <f t="shared" si="4"/>
        <v/>
      </c>
    </row>
    <row r="191" spans="1:9" s="2" customFormat="1">
      <c r="A191" s="966"/>
      <c r="B191" s="1551"/>
      <c r="C191" s="1550"/>
      <c r="D191" s="554"/>
      <c r="E191" s="1550"/>
      <c r="F191" s="1550"/>
      <c r="G191" s="1538"/>
      <c r="H191" s="1501" t="str">
        <f t="shared" si="4"/>
        <v/>
      </c>
    </row>
    <row r="192" spans="1:9" s="2" customFormat="1">
      <c r="A192" s="966"/>
      <c r="B192" s="1551"/>
      <c r="C192" s="1550" t="s">
        <v>590</v>
      </c>
      <c r="D192" s="554" t="s">
        <v>638</v>
      </c>
      <c r="E192" s="1550"/>
      <c r="F192" s="1550"/>
      <c r="G192" s="1538"/>
      <c r="H192" s="1501" t="str">
        <f t="shared" si="4"/>
        <v/>
      </c>
    </row>
    <row r="193" spans="1:8" s="2" customFormat="1">
      <c r="A193" s="966"/>
      <c r="B193" s="1551"/>
      <c r="C193" s="1550"/>
      <c r="D193" s="13"/>
      <c r="E193" s="1550"/>
      <c r="F193" s="1550"/>
      <c r="G193" s="1538"/>
      <c r="H193" s="1501" t="str">
        <f t="shared" si="4"/>
        <v/>
      </c>
    </row>
    <row r="194" spans="1:8" s="2" customFormat="1">
      <c r="A194" s="966"/>
      <c r="B194" s="15"/>
      <c r="C194" s="1550"/>
      <c r="D194" s="412" t="s">
        <v>639</v>
      </c>
      <c r="E194" s="1550"/>
      <c r="F194" s="1550"/>
      <c r="G194" s="1538"/>
      <c r="H194" s="1501" t="str">
        <f t="shared" si="4"/>
        <v/>
      </c>
    </row>
    <row r="195" spans="1:8" s="2" customFormat="1">
      <c r="A195" s="966"/>
      <c r="B195" s="15"/>
      <c r="C195" s="1550"/>
      <c r="D195" s="412"/>
      <c r="E195" s="1550"/>
      <c r="F195" s="1550"/>
      <c r="G195" s="1538"/>
      <c r="H195" s="1501" t="str">
        <f t="shared" si="4"/>
        <v/>
      </c>
    </row>
    <row r="196" spans="1:8" s="355" customFormat="1" ht="15.6">
      <c r="A196" s="2391">
        <f>$A$4</f>
        <v>10</v>
      </c>
      <c r="B196" s="1818">
        <v>2.2000000000000002</v>
      </c>
      <c r="C196" s="1261"/>
      <c r="D196" s="408" t="s">
        <v>1530</v>
      </c>
      <c r="E196" s="1261" t="s">
        <v>641</v>
      </c>
      <c r="F196" s="1261">
        <v>5</v>
      </c>
      <c r="G196" s="1536"/>
      <c r="H196" s="1501">
        <f t="shared" si="4"/>
        <v>0</v>
      </c>
    </row>
    <row r="197" spans="1:8" s="355" customFormat="1">
      <c r="A197" s="2065"/>
      <c r="B197" s="390"/>
      <c r="C197" s="390"/>
      <c r="D197" s="1569"/>
      <c r="E197" s="2188"/>
      <c r="F197" s="2188"/>
      <c r="G197" s="1542"/>
      <c r="H197" s="1501" t="str">
        <f t="shared" si="4"/>
        <v/>
      </c>
    </row>
    <row r="198" spans="1:8" s="355" customFormat="1">
      <c r="A198" s="2065"/>
      <c r="B198" s="652"/>
      <c r="C198" s="2147"/>
      <c r="D198" s="653" t="s">
        <v>645</v>
      </c>
      <c r="E198" s="1261"/>
      <c r="F198" s="1532"/>
      <c r="G198" s="1295"/>
      <c r="H198" s="1501" t="str">
        <f t="shared" si="4"/>
        <v/>
      </c>
    </row>
    <row r="199" spans="1:8" s="355" customFormat="1">
      <c r="A199" s="2065"/>
      <c r="B199" s="1530"/>
      <c r="C199" s="1530"/>
      <c r="D199" s="2148"/>
      <c r="E199" s="1261"/>
      <c r="F199" s="1532"/>
      <c r="G199" s="1295"/>
      <c r="H199" s="1501" t="str">
        <f t="shared" si="4"/>
        <v/>
      </c>
    </row>
    <row r="200" spans="1:8">
      <c r="A200" s="2383"/>
      <c r="B200" s="1530"/>
      <c r="C200" s="1530" t="s">
        <v>226</v>
      </c>
      <c r="D200" s="556" t="s">
        <v>646</v>
      </c>
      <c r="E200" s="1261"/>
      <c r="F200" s="1532"/>
      <c r="G200" s="1295"/>
      <c r="H200" s="1501" t="str">
        <f t="shared" si="4"/>
        <v/>
      </c>
    </row>
    <row r="201" spans="1:8">
      <c r="A201" s="2383"/>
      <c r="B201" s="1530"/>
      <c r="C201" s="1530"/>
      <c r="D201" s="2148"/>
      <c r="E201" s="1261"/>
      <c r="F201" s="1532"/>
      <c r="G201" s="1295"/>
      <c r="H201" s="1501" t="str">
        <f t="shared" si="4"/>
        <v/>
      </c>
    </row>
    <row r="202" spans="1:8">
      <c r="A202" s="2391">
        <f>$A$4</f>
        <v>10</v>
      </c>
      <c r="B202" s="1530">
        <v>2.2999999999999998</v>
      </c>
      <c r="C202" s="1530" t="s">
        <v>647</v>
      </c>
      <c r="D202" s="2148" t="s">
        <v>648</v>
      </c>
      <c r="E202" s="1261" t="s">
        <v>649</v>
      </c>
      <c r="F202" s="557">
        <v>0.5</v>
      </c>
      <c r="G202" s="1289"/>
      <c r="H202" s="1501">
        <f t="shared" si="4"/>
        <v>0</v>
      </c>
    </row>
    <row r="203" spans="1:8">
      <c r="A203" s="2383"/>
      <c r="B203" s="1530"/>
      <c r="C203" s="1530"/>
      <c r="D203" s="2148"/>
      <c r="E203" s="1261"/>
      <c r="F203" s="557"/>
      <c r="G203" s="1289"/>
      <c r="H203" s="1501" t="str">
        <f t="shared" si="4"/>
        <v/>
      </c>
    </row>
    <row r="204" spans="1:8">
      <c r="A204" s="2383"/>
      <c r="B204" s="1530"/>
      <c r="C204" s="654" t="s">
        <v>226</v>
      </c>
      <c r="D204" s="655" t="s">
        <v>650</v>
      </c>
      <c r="E204" s="656"/>
      <c r="F204" s="557"/>
      <c r="G204" s="1296"/>
      <c r="H204" s="1501" t="str">
        <f t="shared" si="4"/>
        <v/>
      </c>
    </row>
    <row r="205" spans="1:8">
      <c r="A205" s="2383"/>
      <c r="B205" s="1530"/>
      <c r="C205" s="654"/>
      <c r="D205" s="657"/>
      <c r="E205" s="656"/>
      <c r="F205" s="557"/>
      <c r="G205" s="1296"/>
      <c r="H205" s="1501" t="str">
        <f t="shared" si="4"/>
        <v/>
      </c>
    </row>
    <row r="206" spans="1:8">
      <c r="A206" s="2391">
        <f>$A$4</f>
        <v>10</v>
      </c>
      <c r="B206" s="1530">
        <v>2.4</v>
      </c>
      <c r="C206" s="654" t="s">
        <v>647</v>
      </c>
      <c r="D206" s="658" t="s">
        <v>682</v>
      </c>
      <c r="E206" s="1261" t="s">
        <v>649</v>
      </c>
      <c r="F206" s="557">
        <v>0.1</v>
      </c>
      <c r="G206" s="1296"/>
      <c r="H206" s="1501">
        <f t="shared" si="4"/>
        <v>0</v>
      </c>
    </row>
    <row r="207" spans="1:8">
      <c r="A207" s="2383"/>
      <c r="B207" s="1530"/>
      <c r="C207" s="1530"/>
      <c r="D207" s="2148"/>
      <c r="E207" s="1261"/>
      <c r="F207" s="557"/>
      <c r="G207" s="1296"/>
      <c r="H207" s="1501" t="str">
        <f t="shared" si="4"/>
        <v/>
      </c>
    </row>
    <row r="208" spans="1:8" s="2" customFormat="1">
      <c r="A208" s="966"/>
      <c r="B208" s="1550"/>
      <c r="C208" s="1550" t="s">
        <v>919</v>
      </c>
      <c r="D208" s="412" t="s">
        <v>652</v>
      </c>
      <c r="E208" s="1550"/>
      <c r="F208" s="1550"/>
      <c r="G208" s="1538"/>
      <c r="H208" s="1501" t="str">
        <f t="shared" si="4"/>
        <v/>
      </c>
    </row>
    <row r="209" spans="1:9" s="2" customFormat="1">
      <c r="A209" s="966"/>
      <c r="B209" s="1550"/>
      <c r="C209" s="1550"/>
      <c r="D209" s="553"/>
      <c r="E209" s="1550"/>
      <c r="F209" s="1550"/>
      <c r="G209" s="1538"/>
      <c r="H209" s="1501" t="str">
        <f t="shared" si="4"/>
        <v/>
      </c>
    </row>
    <row r="210" spans="1:9" s="355" customFormat="1" ht="11.25" customHeight="1">
      <c r="A210" s="2065"/>
      <c r="B210" s="1550"/>
      <c r="C210" s="1550"/>
      <c r="D210" s="2061" t="s">
        <v>655</v>
      </c>
      <c r="E210" s="1550"/>
      <c r="F210" s="1550"/>
      <c r="G210" s="1538"/>
      <c r="H210" s="1501" t="str">
        <f t="shared" si="4"/>
        <v/>
      </c>
    </row>
    <row r="211" spans="1:9" s="355" customFormat="1" ht="11.25" customHeight="1">
      <c r="A211" s="2065"/>
      <c r="B211" s="1550"/>
      <c r="C211" s="1551"/>
      <c r="D211" s="2062"/>
      <c r="E211" s="1550"/>
      <c r="F211" s="1550"/>
      <c r="G211" s="1538"/>
      <c r="H211" s="1501" t="str">
        <f t="shared" si="4"/>
        <v/>
      </c>
    </row>
    <row r="212" spans="1:9" s="355" customFormat="1" ht="11.25" customHeight="1">
      <c r="A212" s="2391">
        <f>$A$4</f>
        <v>10</v>
      </c>
      <c r="B212" s="1261">
        <v>2.5</v>
      </c>
      <c r="C212" s="1565"/>
      <c r="D212" s="1559" t="s">
        <v>1536</v>
      </c>
      <c r="E212" s="1261" t="s">
        <v>657</v>
      </c>
      <c r="F212" s="1550">
        <v>2</v>
      </c>
      <c r="G212" s="1542"/>
      <c r="H212" s="1501">
        <f t="shared" si="4"/>
        <v>0</v>
      </c>
    </row>
    <row r="213" spans="1:9" s="2" customFormat="1">
      <c r="A213" s="966"/>
      <c r="B213" s="338"/>
      <c r="C213" s="973"/>
      <c r="D213" s="2062"/>
      <c r="E213" s="958"/>
      <c r="F213" s="571"/>
      <c r="G213" s="1326"/>
      <c r="H213" s="1501" t="str">
        <f t="shared" si="4"/>
        <v/>
      </c>
      <c r="I213" s="326"/>
    </row>
    <row r="214" spans="1:9" s="355" customFormat="1" ht="15.6">
      <c r="A214" s="2391">
        <f>$A$4</f>
        <v>10</v>
      </c>
      <c r="B214" s="1261">
        <v>2.6</v>
      </c>
      <c r="C214" s="1565"/>
      <c r="D214" s="1559" t="s">
        <v>1537</v>
      </c>
      <c r="E214" s="1261" t="s">
        <v>657</v>
      </c>
      <c r="F214" s="1550">
        <v>1</v>
      </c>
      <c r="G214" s="1542"/>
      <c r="H214" s="1501">
        <f t="shared" si="4"/>
        <v>0</v>
      </c>
    </row>
    <row r="215" spans="1:9" s="355" customFormat="1">
      <c r="A215" s="2065"/>
      <c r="B215" s="970"/>
      <c r="C215" s="957"/>
      <c r="D215" s="971"/>
      <c r="E215" s="969"/>
      <c r="F215" s="969"/>
      <c r="G215" s="1402"/>
      <c r="H215" s="1501" t="str">
        <f t="shared" si="4"/>
        <v/>
      </c>
    </row>
    <row r="216" spans="1:9" s="355" customFormat="1">
      <c r="A216" s="2065"/>
      <c r="B216" s="1261"/>
      <c r="C216" s="1261" t="s">
        <v>659</v>
      </c>
      <c r="D216" s="2170" t="s">
        <v>660</v>
      </c>
      <c r="E216" s="1261"/>
      <c r="F216" s="1261"/>
      <c r="G216" s="1544"/>
      <c r="H216" s="1501" t="str">
        <f t="shared" si="4"/>
        <v/>
      </c>
    </row>
    <row r="217" spans="1:9" s="355" customFormat="1">
      <c r="A217" s="2065"/>
      <c r="B217" s="1261"/>
      <c r="C217" s="1565"/>
      <c r="D217" s="2066"/>
      <c r="E217" s="1261"/>
      <c r="F217" s="1261"/>
      <c r="G217" s="1544"/>
      <c r="H217" s="1501" t="str">
        <f t="shared" si="4"/>
        <v/>
      </c>
    </row>
    <row r="218" spans="1:9" s="2" customFormat="1" ht="12.75" customHeight="1">
      <c r="A218" s="2391">
        <f>$A$4</f>
        <v>10</v>
      </c>
      <c r="B218" s="1261">
        <v>2.7</v>
      </c>
      <c r="C218" s="1565"/>
      <c r="D218" s="1559" t="s">
        <v>925</v>
      </c>
      <c r="E218" s="1261" t="s">
        <v>641</v>
      </c>
      <c r="F218" s="1261">
        <v>10</v>
      </c>
      <c r="G218" s="1536"/>
      <c r="H218" s="1501">
        <f t="shared" si="4"/>
        <v>0</v>
      </c>
    </row>
    <row r="219" spans="1:9" s="320" customFormat="1">
      <c r="A219" s="965"/>
      <c r="B219" s="1550"/>
      <c r="C219" s="1551"/>
      <c r="D219" s="1552"/>
      <c r="E219" s="1550"/>
      <c r="F219" s="1550"/>
      <c r="G219" s="1538"/>
      <c r="H219" s="1501" t="str">
        <f t="shared" si="4"/>
        <v/>
      </c>
    </row>
    <row r="220" spans="1:9" s="355" customFormat="1">
      <c r="A220" s="2065"/>
      <c r="B220" s="1550"/>
      <c r="C220" s="1551" t="s">
        <v>663</v>
      </c>
      <c r="D220" s="2056" t="s">
        <v>664</v>
      </c>
      <c r="E220" s="1550"/>
      <c r="F220" s="1550"/>
      <c r="G220" s="1538"/>
      <c r="H220" s="1501" t="str">
        <f t="shared" si="4"/>
        <v/>
      </c>
    </row>
    <row r="221" spans="1:9" s="355" customFormat="1">
      <c r="A221" s="2065"/>
      <c r="B221" s="1842"/>
      <c r="C221" s="2172"/>
      <c r="D221" s="2173"/>
      <c r="E221" s="1842"/>
      <c r="F221" s="1842"/>
      <c r="G221" s="2174"/>
      <c r="H221" s="1501" t="str">
        <f t="shared" si="4"/>
        <v/>
      </c>
    </row>
    <row r="222" spans="1:9" s="355" customFormat="1" ht="26.4">
      <c r="A222" s="2065"/>
      <c r="B222" s="1261"/>
      <c r="C222" s="2175" t="s">
        <v>665</v>
      </c>
      <c r="D222" s="2176" t="s">
        <v>666</v>
      </c>
      <c r="E222" s="1261"/>
      <c r="F222" s="1261"/>
      <c r="G222" s="1544"/>
      <c r="H222" s="1501" t="str">
        <f t="shared" si="4"/>
        <v/>
      </c>
    </row>
    <row r="223" spans="1:9" s="355" customFormat="1">
      <c r="A223" s="2065"/>
      <c r="B223" s="1261"/>
      <c r="C223" s="2175"/>
      <c r="D223" s="2176"/>
      <c r="E223" s="1261"/>
      <c r="F223" s="1261"/>
      <c r="G223" s="1544"/>
      <c r="H223" s="1501" t="str">
        <f t="shared" si="4"/>
        <v/>
      </c>
    </row>
    <row r="224" spans="1:9" s="355" customFormat="1" ht="15.6">
      <c r="A224" s="2391">
        <f>$A$4</f>
        <v>10</v>
      </c>
      <c r="B224" s="1261">
        <v>2.8</v>
      </c>
      <c r="C224" s="1565" t="s">
        <v>667</v>
      </c>
      <c r="D224" s="1559" t="s">
        <v>668</v>
      </c>
      <c r="E224" s="1261" t="s">
        <v>657</v>
      </c>
      <c r="F224" s="1566">
        <v>0.70000000000000007</v>
      </c>
      <c r="G224" s="1542"/>
      <c r="H224" s="1501">
        <f t="shared" ref="H224:H227" si="5">IF(E224="","",ROUND(F224*G224,2))</f>
        <v>0</v>
      </c>
    </row>
    <row r="225" spans="1:9" s="2" customFormat="1">
      <c r="A225" s="966"/>
      <c r="B225" s="1261"/>
      <c r="C225" s="1565"/>
      <c r="D225" s="2066"/>
      <c r="E225" s="1261"/>
      <c r="F225" s="1261"/>
      <c r="G225" s="1544"/>
      <c r="H225" s="1501" t="str">
        <f t="shared" si="5"/>
        <v/>
      </c>
      <c r="I225" s="326"/>
    </row>
    <row r="226" spans="1:9" s="355" customFormat="1" ht="15.6">
      <c r="A226" s="2391">
        <f>$A$4</f>
        <v>10</v>
      </c>
      <c r="B226" s="1261">
        <v>2.9</v>
      </c>
      <c r="C226" s="1565" t="s">
        <v>669</v>
      </c>
      <c r="D226" s="1559" t="s">
        <v>670</v>
      </c>
      <c r="E226" s="1261" t="s">
        <v>657</v>
      </c>
      <c r="F226" s="1566">
        <v>0.70000000000000007</v>
      </c>
      <c r="G226" s="1542"/>
      <c r="H226" s="1501">
        <f t="shared" si="5"/>
        <v>0</v>
      </c>
    </row>
    <row r="227" spans="1:9" s="355" customFormat="1">
      <c r="A227" s="2391"/>
      <c r="B227" s="1261"/>
      <c r="C227" s="363"/>
      <c r="D227" s="1559"/>
      <c r="E227" s="1261"/>
      <c r="F227" s="665"/>
      <c r="G227" s="1542"/>
      <c r="H227" s="1501" t="str">
        <f t="shared" si="5"/>
        <v/>
      </c>
    </row>
    <row r="228" spans="1:9" s="355" customFormat="1">
      <c r="A228" s="2391"/>
      <c r="B228" s="1261"/>
      <c r="C228" s="363"/>
      <c r="D228" s="1559"/>
      <c r="E228" s="1261"/>
      <c r="F228" s="665"/>
      <c r="G228" s="1542"/>
      <c r="H228" s="1560"/>
    </row>
    <row r="229" spans="1:9" s="355" customFormat="1">
      <c r="A229" s="2391"/>
      <c r="B229" s="1261"/>
      <c r="C229" s="363"/>
      <c r="D229" s="1559"/>
      <c r="E229" s="1261"/>
      <c r="F229" s="665"/>
      <c r="G229" s="1542"/>
      <c r="H229" s="1560"/>
    </row>
    <row r="230" spans="1:9" s="355" customFormat="1">
      <c r="A230" s="2391"/>
      <c r="B230" s="1261"/>
      <c r="C230" s="363"/>
      <c r="D230" s="1559"/>
      <c r="E230" s="1261"/>
      <c r="F230" s="665"/>
      <c r="G230" s="1542"/>
      <c r="H230" s="1560"/>
    </row>
    <row r="231" spans="1:9" s="355" customFormat="1">
      <c r="A231" s="2391"/>
      <c r="B231" s="1261"/>
      <c r="C231" s="363"/>
      <c r="D231" s="1559"/>
      <c r="E231" s="1261"/>
      <c r="F231" s="665"/>
      <c r="G231" s="1542"/>
      <c r="H231" s="1560"/>
    </row>
    <row r="232" spans="1:9" s="355" customFormat="1">
      <c r="A232" s="2391"/>
      <c r="B232" s="1261"/>
      <c r="C232" s="363"/>
      <c r="D232" s="1559"/>
      <c r="E232" s="1261"/>
      <c r="F232" s="665"/>
      <c r="G232" s="1542"/>
      <c r="H232" s="1560"/>
    </row>
    <row r="233" spans="1:9" s="2" customFormat="1">
      <c r="A233" s="2019"/>
      <c r="B233" s="1261"/>
      <c r="C233" s="363"/>
      <c r="D233" s="558"/>
      <c r="E233" s="1261"/>
      <c r="F233" s="1261"/>
      <c r="G233" s="1544"/>
      <c r="H233" s="2416"/>
      <c r="I233" s="326"/>
    </row>
    <row r="234" spans="1:9">
      <c r="A234" s="2333"/>
      <c r="B234" s="822"/>
      <c r="C234" s="819"/>
      <c r="D234" s="819"/>
      <c r="E234" s="820"/>
      <c r="F234" s="821"/>
      <c r="G234" s="2402"/>
      <c r="H234" s="2403"/>
    </row>
    <row r="235" spans="1:9">
      <c r="A235" s="2336"/>
      <c r="B235" s="823"/>
      <c r="C235" s="438"/>
      <c r="D235" s="328" t="s">
        <v>289</v>
      </c>
      <c r="E235" s="402"/>
      <c r="F235" s="403"/>
      <c r="G235" s="1403"/>
      <c r="H235" s="2404">
        <f>SUM(H156:H233)</f>
        <v>0</v>
      </c>
    </row>
    <row r="236" spans="1:9">
      <c r="A236" s="2383"/>
      <c r="B236" s="2405"/>
      <c r="C236" s="2406"/>
      <c r="D236" s="2407" t="s">
        <v>290</v>
      </c>
      <c r="E236" s="958"/>
      <c r="F236" s="571"/>
      <c r="G236" s="2311"/>
      <c r="H236" s="959">
        <f>H235</f>
        <v>0</v>
      </c>
    </row>
    <row r="237" spans="1:9" s="355" customFormat="1">
      <c r="A237" s="2065"/>
      <c r="B237" s="1261"/>
      <c r="C237" s="1565"/>
      <c r="D237" s="1559"/>
      <c r="E237" s="1261"/>
      <c r="F237" s="1566"/>
      <c r="G237" s="1542"/>
      <c r="H237" s="2190"/>
    </row>
    <row r="238" spans="1:9" s="355" customFormat="1" ht="13.8">
      <c r="A238" s="2391">
        <f>$A$4</f>
        <v>10</v>
      </c>
      <c r="B238" s="573">
        <v>3</v>
      </c>
      <c r="C238" s="974"/>
      <c r="D238" s="670" t="s">
        <v>1552</v>
      </c>
      <c r="E238" s="575"/>
      <c r="F238" s="576"/>
      <c r="G238" s="1405"/>
      <c r="H238" s="577"/>
    </row>
    <row r="239" spans="1:9" s="355" customFormat="1">
      <c r="A239" s="2065"/>
      <c r="B239" s="573"/>
      <c r="C239" s="974"/>
      <c r="D239" s="971"/>
      <c r="E239" s="575"/>
      <c r="F239" s="576"/>
      <c r="G239" s="1405"/>
      <c r="H239" s="577"/>
    </row>
    <row r="240" spans="1:9" s="355" customFormat="1" ht="26.4">
      <c r="A240" s="2065"/>
      <c r="B240" s="573" t="s">
        <v>543</v>
      </c>
      <c r="C240" s="671" t="s">
        <v>895</v>
      </c>
      <c r="D240" s="672" t="s">
        <v>627</v>
      </c>
      <c r="E240" s="575"/>
      <c r="F240" s="576"/>
      <c r="G240" s="1406"/>
      <c r="H240" s="577"/>
    </row>
    <row r="241" spans="1:8" s="355" customFormat="1">
      <c r="A241" s="2065"/>
      <c r="B241" s="1821"/>
      <c r="C241" s="379"/>
      <c r="D241" s="1569"/>
      <c r="E241" s="2188"/>
      <c r="F241" s="673"/>
      <c r="G241" s="1407"/>
      <c r="H241" s="580"/>
    </row>
    <row r="242" spans="1:8" s="355" customFormat="1">
      <c r="A242" s="2065"/>
      <c r="B242" s="1821"/>
      <c r="C242" s="379"/>
      <c r="D242" s="2179" t="s">
        <v>628</v>
      </c>
      <c r="E242" s="2188"/>
      <c r="F242" s="673"/>
      <c r="G242" s="1407"/>
      <c r="H242" s="580"/>
    </row>
    <row r="243" spans="1:8" s="355" customFormat="1">
      <c r="A243" s="2065"/>
      <c r="B243" s="1821"/>
      <c r="C243" s="379"/>
      <c r="D243" s="1569"/>
      <c r="E243" s="2188"/>
      <c r="F243" s="673"/>
      <c r="G243" s="1407"/>
      <c r="H243" s="580"/>
    </row>
    <row r="244" spans="1:8" s="355" customFormat="1" ht="26.4">
      <c r="A244" s="2065"/>
      <c r="B244" s="1821"/>
      <c r="C244" s="338" t="s">
        <v>302</v>
      </c>
      <c r="D244" s="2179" t="s">
        <v>1553</v>
      </c>
      <c r="E244" s="2188"/>
      <c r="F244" s="673"/>
      <c r="G244" s="1407"/>
      <c r="H244" s="580"/>
    </row>
    <row r="245" spans="1:8" s="355" customFormat="1">
      <c r="A245" s="2065"/>
      <c r="B245" s="1821"/>
      <c r="C245" s="379"/>
      <c r="D245" s="1569"/>
      <c r="E245" s="2188"/>
      <c r="F245" s="674"/>
      <c r="G245" s="1407"/>
      <c r="H245" s="580"/>
    </row>
    <row r="246" spans="1:8" s="355" customFormat="1">
      <c r="A246" s="2391">
        <f>$A$4</f>
        <v>10</v>
      </c>
      <c r="B246" s="1821">
        <v>3.1</v>
      </c>
      <c r="C246" s="379"/>
      <c r="D246" s="1569" t="s">
        <v>1554</v>
      </c>
      <c r="E246" s="2188" t="s">
        <v>508</v>
      </c>
      <c r="F246" s="675">
        <v>12</v>
      </c>
      <c r="G246" s="1407"/>
      <c r="H246" s="1501">
        <f t="shared" ref="H246:H307" si="6">IF(E246="","",ROUND(F246*G246,2))</f>
        <v>0</v>
      </c>
    </row>
    <row r="247" spans="1:8" s="355" customFormat="1">
      <c r="A247" s="2065"/>
      <c r="B247" s="1821"/>
      <c r="C247" s="379"/>
      <c r="D247" s="1569"/>
      <c r="E247" s="2188"/>
      <c r="F247" s="675"/>
      <c r="G247" s="1407"/>
      <c r="H247" s="1501" t="str">
        <f t="shared" si="6"/>
        <v/>
      </c>
    </row>
    <row r="248" spans="1:8" s="355" customFormat="1" ht="26.4">
      <c r="A248" s="2065"/>
      <c r="B248" s="574"/>
      <c r="C248" s="676" t="s">
        <v>1555</v>
      </c>
      <c r="D248" s="677" t="s">
        <v>1556</v>
      </c>
      <c r="E248" s="574"/>
      <c r="F248" s="579"/>
      <c r="G248" s="1408"/>
      <c r="H248" s="1501" t="str">
        <f t="shared" si="6"/>
        <v/>
      </c>
    </row>
    <row r="249" spans="1:8" s="355" customFormat="1">
      <c r="A249" s="2065"/>
      <c r="B249" s="574"/>
      <c r="C249" s="678"/>
      <c r="D249" s="679"/>
      <c r="E249" s="574"/>
      <c r="F249" s="579"/>
      <c r="G249" s="1408"/>
      <c r="H249" s="1501" t="str">
        <f t="shared" si="6"/>
        <v/>
      </c>
    </row>
    <row r="250" spans="1:8" s="2" customFormat="1" ht="15.6">
      <c r="A250" s="2391">
        <f>$A$4</f>
        <v>10</v>
      </c>
      <c r="B250" s="574">
        <v>3.2</v>
      </c>
      <c r="C250" s="678"/>
      <c r="D250" s="679" t="s">
        <v>634</v>
      </c>
      <c r="E250" s="574" t="s">
        <v>657</v>
      </c>
      <c r="F250" s="582">
        <v>213</v>
      </c>
      <c r="G250" s="1408"/>
      <c r="H250" s="1501">
        <f t="shared" si="6"/>
        <v>0</v>
      </c>
    </row>
    <row r="251" spans="1:8" s="2" customFormat="1">
      <c r="A251" s="966"/>
      <c r="B251" s="574"/>
      <c r="C251" s="678"/>
      <c r="D251" s="679"/>
      <c r="E251" s="574"/>
      <c r="F251" s="582"/>
      <c r="G251" s="1408"/>
      <c r="H251" s="1501" t="str">
        <f t="shared" si="6"/>
        <v/>
      </c>
    </row>
    <row r="252" spans="1:8" s="578" customFormat="1" ht="15.6">
      <c r="A252" s="2391">
        <f>$A$4</f>
        <v>10</v>
      </c>
      <c r="B252" s="574">
        <v>3.3</v>
      </c>
      <c r="C252" s="678"/>
      <c r="D252" s="679" t="s">
        <v>635</v>
      </c>
      <c r="E252" s="574" t="s">
        <v>657</v>
      </c>
      <c r="F252" s="582">
        <v>213</v>
      </c>
      <c r="G252" s="1408"/>
      <c r="H252" s="1501">
        <f t="shared" si="6"/>
        <v>0</v>
      </c>
    </row>
    <row r="253" spans="1:8" s="2" customFormat="1">
      <c r="A253" s="966"/>
      <c r="B253" s="574"/>
      <c r="C253" s="975"/>
      <c r="D253" s="679"/>
      <c r="E253" s="574"/>
      <c r="F253" s="976"/>
      <c r="G253" s="1409"/>
      <c r="H253" s="1501" t="str">
        <f t="shared" si="6"/>
        <v/>
      </c>
    </row>
    <row r="254" spans="1:8" s="355" customFormat="1" ht="26.4">
      <c r="A254" s="2391">
        <f>$A$4</f>
        <v>10</v>
      </c>
      <c r="B254" s="574">
        <v>3.4</v>
      </c>
      <c r="C254" s="2417"/>
      <c r="D254" s="2418" t="s">
        <v>1557</v>
      </c>
      <c r="E254" s="2419" t="s">
        <v>508</v>
      </c>
      <c r="F254" s="977">
        <v>90</v>
      </c>
      <c r="G254" s="1410"/>
      <c r="H254" s="1501">
        <f t="shared" si="6"/>
        <v>0</v>
      </c>
    </row>
    <row r="255" spans="1:8" s="355" customFormat="1">
      <c r="A255" s="960"/>
      <c r="B255" s="2420"/>
      <c r="C255" s="2421"/>
      <c r="D255" s="2422"/>
      <c r="E255" s="2419"/>
      <c r="F255" s="977"/>
      <c r="G255" s="1411"/>
      <c r="H255" s="1501" t="str">
        <f t="shared" si="6"/>
        <v/>
      </c>
    </row>
    <row r="256" spans="1:8" s="355" customFormat="1" ht="26.4">
      <c r="A256" s="960"/>
      <c r="B256" s="2423" t="s">
        <v>549</v>
      </c>
      <c r="C256" s="2424" t="s">
        <v>581</v>
      </c>
      <c r="D256" s="2425" t="s">
        <v>636</v>
      </c>
      <c r="E256" s="2426"/>
      <c r="F256" s="2427"/>
      <c r="G256" s="2428"/>
      <c r="H256" s="1501" t="str">
        <f t="shared" si="6"/>
        <v/>
      </c>
    </row>
    <row r="257" spans="1:8" s="355" customFormat="1">
      <c r="A257" s="960"/>
      <c r="B257" s="1572"/>
      <c r="C257" s="2429"/>
      <c r="D257" s="679"/>
      <c r="E257" s="574"/>
      <c r="F257" s="579"/>
      <c r="G257" s="1408"/>
      <c r="H257" s="1501" t="str">
        <f t="shared" si="6"/>
        <v/>
      </c>
    </row>
    <row r="258" spans="1:8" s="355" customFormat="1">
      <c r="A258" s="960"/>
      <c r="B258" s="1572"/>
      <c r="C258" s="2429">
        <v>8.1999999999999993</v>
      </c>
      <c r="D258" s="2430" t="s">
        <v>637</v>
      </c>
      <c r="E258" s="574"/>
      <c r="F258" s="579"/>
      <c r="G258" s="1408"/>
      <c r="H258" s="1501" t="str">
        <f t="shared" si="6"/>
        <v/>
      </c>
    </row>
    <row r="259" spans="1:8" s="355" customFormat="1">
      <c r="A259" s="960"/>
      <c r="B259" s="1572"/>
      <c r="C259" s="2429"/>
      <c r="D259" s="2431"/>
      <c r="E259" s="574"/>
      <c r="F259" s="579"/>
      <c r="G259" s="1408"/>
      <c r="H259" s="1501" t="str">
        <f t="shared" si="6"/>
        <v/>
      </c>
    </row>
    <row r="260" spans="1:8" s="355" customFormat="1">
      <c r="A260" s="960"/>
      <c r="B260" s="1572"/>
      <c r="C260" s="2429" t="s">
        <v>590</v>
      </c>
      <c r="D260" s="677" t="s">
        <v>638</v>
      </c>
      <c r="E260" s="574"/>
      <c r="F260" s="579"/>
      <c r="G260" s="1408"/>
      <c r="H260" s="1501" t="str">
        <f t="shared" si="6"/>
        <v/>
      </c>
    </row>
    <row r="261" spans="1:8" s="355" customFormat="1">
      <c r="A261" s="960"/>
      <c r="B261" s="1572"/>
      <c r="C261" s="2429"/>
      <c r="D261" s="2431"/>
      <c r="E261" s="574"/>
      <c r="F261" s="579"/>
      <c r="G261" s="1408"/>
      <c r="H261" s="1501" t="str">
        <f t="shared" si="6"/>
        <v/>
      </c>
    </row>
    <row r="262" spans="1:8" s="355" customFormat="1">
      <c r="A262" s="960"/>
      <c r="B262" s="2110"/>
      <c r="C262" s="2432"/>
      <c r="D262" s="2433" t="s">
        <v>639</v>
      </c>
      <c r="E262" s="1821"/>
      <c r="F262" s="673"/>
      <c r="G262" s="2434"/>
      <c r="H262" s="1501" t="str">
        <f t="shared" si="6"/>
        <v/>
      </c>
    </row>
    <row r="263" spans="1:8" s="355" customFormat="1">
      <c r="A263" s="960"/>
      <c r="B263" s="2110"/>
      <c r="C263" s="2432"/>
      <c r="D263" s="2433"/>
      <c r="E263" s="1821"/>
      <c r="F263" s="2435"/>
      <c r="G263" s="2434"/>
      <c r="H263" s="1501" t="str">
        <f t="shared" si="6"/>
        <v/>
      </c>
    </row>
    <row r="264" spans="1:8" s="355" customFormat="1">
      <c r="A264" s="2391">
        <f>$A$4</f>
        <v>10</v>
      </c>
      <c r="B264" s="2110">
        <v>3.5</v>
      </c>
      <c r="C264" s="2029"/>
      <c r="D264" s="2114" t="s">
        <v>1558</v>
      </c>
      <c r="E264" s="1821" t="s">
        <v>644</v>
      </c>
      <c r="F264" s="675">
        <v>7</v>
      </c>
      <c r="G264" s="2434"/>
      <c r="H264" s="1501">
        <f t="shared" si="6"/>
        <v>0</v>
      </c>
    </row>
    <row r="265" spans="1:8" s="355" customFormat="1">
      <c r="A265" s="960"/>
      <c r="B265" s="2110"/>
      <c r="C265" s="2029"/>
      <c r="D265" s="2114"/>
      <c r="E265" s="1821"/>
      <c r="F265" s="675"/>
      <c r="G265" s="1408"/>
      <c r="H265" s="1501" t="str">
        <f t="shared" si="6"/>
        <v/>
      </c>
    </row>
    <row r="266" spans="1:8" s="355" customFormat="1">
      <c r="A266" s="960"/>
      <c r="B266" s="2436"/>
      <c r="C266" s="2429"/>
      <c r="D266" s="2433" t="s">
        <v>812</v>
      </c>
      <c r="E266" s="574"/>
      <c r="F266" s="579"/>
      <c r="G266" s="1408"/>
      <c r="H266" s="1501" t="str">
        <f t="shared" si="6"/>
        <v/>
      </c>
    </row>
    <row r="267" spans="1:8" s="355" customFormat="1">
      <c r="A267" s="960"/>
      <c r="B267" s="2110"/>
      <c r="C267" s="2029"/>
      <c r="D267" s="2114"/>
      <c r="E267" s="1821"/>
      <c r="F267" s="673"/>
      <c r="G267" s="1408"/>
      <c r="H267" s="1501" t="str">
        <f t="shared" si="6"/>
        <v/>
      </c>
    </row>
    <row r="268" spans="1:8" s="357" customFormat="1" ht="15.6">
      <c r="A268" s="2391">
        <f>$A$4</f>
        <v>10</v>
      </c>
      <c r="B268" s="2110">
        <v>3.6</v>
      </c>
      <c r="C268" s="2029"/>
      <c r="D268" s="2114" t="s">
        <v>1559</v>
      </c>
      <c r="E268" s="574" t="s">
        <v>641</v>
      </c>
      <c r="F268" s="675">
        <v>18.399999999999999</v>
      </c>
      <c r="G268" s="1408"/>
      <c r="H268" s="1501">
        <f t="shared" si="6"/>
        <v>0</v>
      </c>
    </row>
    <row r="269" spans="1:8" s="357" customFormat="1">
      <c r="A269" s="1820"/>
      <c r="B269" s="2110"/>
      <c r="C269" s="2029"/>
      <c r="D269" s="2114"/>
      <c r="E269" s="1821"/>
      <c r="F269" s="673"/>
      <c r="G269" s="1408"/>
      <c r="H269" s="1501" t="str">
        <f t="shared" si="6"/>
        <v/>
      </c>
    </row>
    <row r="270" spans="1:8" s="355" customFormat="1">
      <c r="A270" s="960"/>
      <c r="B270" s="2437"/>
      <c r="C270" s="2424" t="s">
        <v>1560</v>
      </c>
      <c r="D270" s="672" t="s">
        <v>645</v>
      </c>
      <c r="E270" s="2426"/>
      <c r="F270" s="2427"/>
      <c r="G270" s="1406"/>
      <c r="H270" s="1501" t="str">
        <f t="shared" si="6"/>
        <v/>
      </c>
    </row>
    <row r="271" spans="1:8" s="355" customFormat="1">
      <c r="A271" s="960"/>
      <c r="B271" s="2437"/>
      <c r="C271" s="2424"/>
      <c r="D271" s="672"/>
      <c r="E271" s="2426"/>
      <c r="F271" s="2427"/>
      <c r="G271" s="1406"/>
      <c r="H271" s="1501" t="str">
        <f t="shared" si="6"/>
        <v/>
      </c>
    </row>
    <row r="272" spans="1:8" s="355" customFormat="1">
      <c r="A272" s="2391">
        <f>$A$4</f>
        <v>10</v>
      </c>
      <c r="B272" s="2438">
        <v>3.7</v>
      </c>
      <c r="C272" s="2432"/>
      <c r="D272" s="2439" t="s">
        <v>1561</v>
      </c>
      <c r="E272" s="978" t="s">
        <v>649</v>
      </c>
      <c r="F272" s="2440">
        <v>0.21</v>
      </c>
      <c r="G272" s="1407"/>
      <c r="H272" s="1501">
        <f t="shared" si="6"/>
        <v>0</v>
      </c>
    </row>
    <row r="273" spans="1:8" s="355" customFormat="1">
      <c r="A273" s="960"/>
      <c r="B273" s="2437"/>
      <c r="C273" s="2432"/>
      <c r="D273" s="2439"/>
      <c r="E273" s="978"/>
      <c r="F273" s="579"/>
      <c r="G273" s="1407"/>
      <c r="H273" s="1501" t="str">
        <f t="shared" si="6"/>
        <v/>
      </c>
    </row>
    <row r="274" spans="1:8" s="355" customFormat="1">
      <c r="A274" s="2391">
        <f>$A$4</f>
        <v>10</v>
      </c>
      <c r="B274" s="2438">
        <v>3.8</v>
      </c>
      <c r="C274" s="2432"/>
      <c r="D274" s="2439" t="s">
        <v>650</v>
      </c>
      <c r="E274" s="978" t="s">
        <v>649</v>
      </c>
      <c r="F274" s="2440">
        <v>6.3E-2</v>
      </c>
      <c r="G274" s="1407"/>
      <c r="H274" s="1501">
        <f t="shared" si="6"/>
        <v>0</v>
      </c>
    </row>
    <row r="275" spans="1:8" s="355" customFormat="1">
      <c r="A275" s="960"/>
      <c r="B275" s="2438"/>
      <c r="C275" s="2432"/>
      <c r="D275" s="2439"/>
      <c r="E275" s="574"/>
      <c r="F275" s="579"/>
      <c r="G275" s="1407"/>
      <c r="H275" s="1501" t="str">
        <f t="shared" si="6"/>
        <v/>
      </c>
    </row>
    <row r="276" spans="1:8" s="355" customFormat="1">
      <c r="A276" s="960"/>
      <c r="B276" s="2438"/>
      <c r="C276" s="2432"/>
      <c r="D276" s="2154" t="s">
        <v>817</v>
      </c>
      <c r="E276" s="574"/>
      <c r="F276" s="579"/>
      <c r="G276" s="1407"/>
      <c r="H276" s="1501" t="str">
        <f t="shared" si="6"/>
        <v/>
      </c>
    </row>
    <row r="277" spans="1:8" s="355" customFormat="1">
      <c r="A277" s="960"/>
      <c r="B277" s="2438"/>
      <c r="C277" s="2432"/>
      <c r="D277" s="2154"/>
      <c r="E277" s="1567"/>
      <c r="F277" s="2441"/>
      <c r="G277" s="2442"/>
      <c r="H277" s="1501" t="str">
        <f t="shared" si="6"/>
        <v/>
      </c>
    </row>
    <row r="278" spans="1:8" s="355" customFormat="1" ht="15.6">
      <c r="A278" s="2391">
        <f>$A$4</f>
        <v>10</v>
      </c>
      <c r="B278" s="2438">
        <v>3.9</v>
      </c>
      <c r="C278" s="2432"/>
      <c r="D278" s="2443" t="s">
        <v>1562</v>
      </c>
      <c r="E278" s="574" t="s">
        <v>641</v>
      </c>
      <c r="F278" s="582">
        <v>8</v>
      </c>
      <c r="G278" s="1407"/>
      <c r="H278" s="1501">
        <f t="shared" si="6"/>
        <v>0</v>
      </c>
    </row>
    <row r="279" spans="1:8" s="355" customFormat="1">
      <c r="A279" s="960"/>
      <c r="B279" s="2438"/>
      <c r="C279" s="2432"/>
      <c r="D279" s="2443"/>
      <c r="E279" s="574"/>
      <c r="F279" s="582"/>
      <c r="G279" s="1407"/>
      <c r="H279" s="1501" t="str">
        <f t="shared" si="6"/>
        <v/>
      </c>
    </row>
    <row r="280" spans="1:8" s="355" customFormat="1" ht="15.6">
      <c r="A280" s="2391">
        <f>$A$4</f>
        <v>10</v>
      </c>
      <c r="B280" s="2444">
        <v>3.1</v>
      </c>
      <c r="C280" s="2432"/>
      <c r="D280" s="2155" t="s">
        <v>1563</v>
      </c>
      <c r="E280" s="574" t="s">
        <v>641</v>
      </c>
      <c r="F280" s="582">
        <v>5</v>
      </c>
      <c r="G280" s="1407"/>
      <c r="H280" s="1501">
        <f t="shared" si="6"/>
        <v>0</v>
      </c>
    </row>
    <row r="281" spans="1:8" s="355" customFormat="1">
      <c r="A281" s="960"/>
      <c r="B281" s="2438"/>
      <c r="C281" s="2432"/>
      <c r="D281" s="2155"/>
      <c r="E281" s="574"/>
      <c r="F281" s="582"/>
      <c r="G281" s="1407"/>
      <c r="H281" s="1501" t="str">
        <f t="shared" si="6"/>
        <v/>
      </c>
    </row>
    <row r="282" spans="1:8" s="355" customFormat="1">
      <c r="A282" s="960"/>
      <c r="B282" s="574"/>
      <c r="C282" s="2429" t="s">
        <v>919</v>
      </c>
      <c r="D282" s="2445" t="s">
        <v>652</v>
      </c>
      <c r="E282" s="574"/>
      <c r="F282" s="579"/>
      <c r="G282" s="1408"/>
      <c r="H282" s="1501" t="str">
        <f t="shared" si="6"/>
        <v/>
      </c>
    </row>
    <row r="283" spans="1:8" s="355" customFormat="1">
      <c r="A283" s="960"/>
      <c r="B283" s="574"/>
      <c r="C283" s="2429"/>
      <c r="D283" s="679"/>
      <c r="E283" s="574"/>
      <c r="F283" s="579"/>
      <c r="G283" s="1408"/>
      <c r="H283" s="1501" t="str">
        <f t="shared" si="6"/>
        <v/>
      </c>
    </row>
    <row r="284" spans="1:8" s="355" customFormat="1">
      <c r="A284" s="960"/>
      <c r="B284" s="574"/>
      <c r="C284" s="2429" t="s">
        <v>337</v>
      </c>
      <c r="D284" s="2446" t="s">
        <v>653</v>
      </c>
      <c r="E284" s="574"/>
      <c r="F284" s="579"/>
      <c r="G284" s="1408"/>
      <c r="H284" s="1501" t="str">
        <f t="shared" si="6"/>
        <v/>
      </c>
    </row>
    <row r="285" spans="1:8" s="355" customFormat="1">
      <c r="A285" s="960"/>
      <c r="B285" s="574"/>
      <c r="C285" s="2429"/>
      <c r="D285" s="2447"/>
      <c r="E285" s="574"/>
      <c r="F285" s="579"/>
      <c r="G285" s="1408"/>
      <c r="H285" s="1501" t="str">
        <f t="shared" si="6"/>
        <v/>
      </c>
    </row>
    <row r="286" spans="1:8" s="396" customFormat="1" ht="15.6">
      <c r="A286" s="2391">
        <f>$A$4</f>
        <v>10</v>
      </c>
      <c r="B286" s="2438">
        <v>3.11</v>
      </c>
      <c r="C286" s="2429"/>
      <c r="D286" s="2448" t="s">
        <v>654</v>
      </c>
      <c r="E286" s="574" t="s">
        <v>641</v>
      </c>
      <c r="F286" s="582">
        <v>12</v>
      </c>
      <c r="G286" s="1408"/>
      <c r="H286" s="1501">
        <f t="shared" si="6"/>
        <v>0</v>
      </c>
    </row>
    <row r="287" spans="1:8" s="355" customFormat="1">
      <c r="A287" s="960"/>
      <c r="B287" s="574"/>
      <c r="C287" s="2429"/>
      <c r="D287" s="2448"/>
      <c r="E287" s="574"/>
      <c r="F287" s="2449"/>
      <c r="G287" s="1408"/>
      <c r="H287" s="1501" t="str">
        <f t="shared" si="6"/>
        <v/>
      </c>
    </row>
    <row r="288" spans="1:8" s="355" customFormat="1">
      <c r="A288" s="960"/>
      <c r="B288" s="574"/>
      <c r="C288" s="2429"/>
      <c r="D288" s="2446" t="s">
        <v>1564</v>
      </c>
      <c r="E288" s="574"/>
      <c r="F288" s="2449"/>
      <c r="G288" s="1408"/>
      <c r="H288" s="1501" t="str">
        <f t="shared" si="6"/>
        <v/>
      </c>
    </row>
    <row r="289" spans="1:8" s="355" customFormat="1">
      <c r="A289" s="960"/>
      <c r="B289" s="574"/>
      <c r="C289" s="678"/>
      <c r="D289" s="2450"/>
      <c r="E289" s="574"/>
      <c r="F289" s="2449"/>
      <c r="G289" s="1408"/>
      <c r="H289" s="1501" t="str">
        <f t="shared" si="6"/>
        <v/>
      </c>
    </row>
    <row r="290" spans="1:8" s="355" customFormat="1" ht="15.6">
      <c r="A290" s="2391">
        <f>$A$4</f>
        <v>10</v>
      </c>
      <c r="B290" s="574">
        <v>3.12</v>
      </c>
      <c r="C290" s="678"/>
      <c r="D290" s="2439" t="s">
        <v>1565</v>
      </c>
      <c r="E290" s="574" t="s">
        <v>657</v>
      </c>
      <c r="F290" s="582">
        <v>10</v>
      </c>
      <c r="G290" s="1408"/>
      <c r="H290" s="1501">
        <f t="shared" si="6"/>
        <v>0</v>
      </c>
    </row>
    <row r="291" spans="1:8" s="355" customFormat="1">
      <c r="A291" s="960"/>
      <c r="B291" s="574"/>
      <c r="C291" s="678"/>
      <c r="D291" s="2448"/>
      <c r="E291" s="574"/>
      <c r="F291" s="979"/>
      <c r="G291" s="1408"/>
      <c r="H291" s="1501" t="str">
        <f t="shared" si="6"/>
        <v/>
      </c>
    </row>
    <row r="292" spans="1:8" s="355" customFormat="1" ht="15.6">
      <c r="A292" s="2391">
        <f>$A$4</f>
        <v>10</v>
      </c>
      <c r="B292" s="574">
        <v>3.13</v>
      </c>
      <c r="C292" s="678"/>
      <c r="D292" s="2439" t="s">
        <v>922</v>
      </c>
      <c r="E292" s="574" t="s">
        <v>657</v>
      </c>
      <c r="F292" s="582">
        <v>10</v>
      </c>
      <c r="G292" s="1408"/>
      <c r="H292" s="1501">
        <f t="shared" si="6"/>
        <v>0</v>
      </c>
    </row>
    <row r="293" spans="1:8" s="355" customFormat="1">
      <c r="A293" s="960"/>
      <c r="B293" s="574"/>
      <c r="C293" s="678"/>
      <c r="D293" s="2450"/>
      <c r="E293" s="574"/>
      <c r="F293" s="582"/>
      <c r="G293" s="1408"/>
      <c r="H293" s="1501" t="str">
        <f t="shared" si="6"/>
        <v/>
      </c>
    </row>
    <row r="294" spans="1:8" s="355" customFormat="1" ht="15.6">
      <c r="A294" s="2391">
        <f>$A$4</f>
        <v>10</v>
      </c>
      <c r="B294" s="574">
        <v>3.14</v>
      </c>
      <c r="C294" s="678"/>
      <c r="D294" s="2448" t="s">
        <v>1566</v>
      </c>
      <c r="E294" s="574" t="s">
        <v>657</v>
      </c>
      <c r="F294" s="582">
        <v>16</v>
      </c>
      <c r="G294" s="1408"/>
      <c r="H294" s="1501">
        <f t="shared" si="6"/>
        <v>0</v>
      </c>
    </row>
    <row r="295" spans="1:8" s="355" customFormat="1">
      <c r="A295" s="960"/>
      <c r="B295" s="1567"/>
      <c r="C295" s="1568"/>
      <c r="D295" s="2448"/>
      <c r="E295" s="1567"/>
      <c r="F295" s="1570"/>
      <c r="G295" s="1571"/>
      <c r="H295" s="1501" t="str">
        <f t="shared" si="6"/>
        <v/>
      </c>
    </row>
    <row r="296" spans="1:8" s="355" customFormat="1">
      <c r="A296" s="960"/>
      <c r="B296" s="574"/>
      <c r="C296" s="2429" t="s">
        <v>659</v>
      </c>
      <c r="D296" s="2170" t="s">
        <v>660</v>
      </c>
      <c r="E296" s="574"/>
      <c r="F296" s="579"/>
      <c r="G296" s="1408"/>
      <c r="H296" s="1501" t="str">
        <f t="shared" si="6"/>
        <v/>
      </c>
    </row>
    <row r="297" spans="1:8" s="355" customFormat="1">
      <c r="A297" s="960"/>
      <c r="B297" s="574"/>
      <c r="C297" s="678"/>
      <c r="D297" s="2450"/>
      <c r="E297" s="574"/>
      <c r="F297" s="579"/>
      <c r="G297" s="1408"/>
      <c r="H297" s="1501" t="str">
        <f t="shared" si="6"/>
        <v/>
      </c>
    </row>
    <row r="298" spans="1:8" s="355" customFormat="1" ht="15.6">
      <c r="A298" s="2391">
        <f>$A$4</f>
        <v>10</v>
      </c>
      <c r="B298" s="574">
        <v>3.15</v>
      </c>
      <c r="C298" s="678"/>
      <c r="D298" s="2448" t="s">
        <v>1538</v>
      </c>
      <c r="E298" s="574" t="s">
        <v>641</v>
      </c>
      <c r="F298" s="582">
        <v>25</v>
      </c>
      <c r="G298" s="1408"/>
      <c r="H298" s="1501">
        <f t="shared" si="6"/>
        <v>0</v>
      </c>
    </row>
    <row r="299" spans="1:8" s="355" customFormat="1">
      <c r="A299" s="960"/>
      <c r="B299" s="574"/>
      <c r="C299" s="678"/>
      <c r="D299" s="2448"/>
      <c r="E299" s="574"/>
      <c r="F299" s="579"/>
      <c r="G299" s="1408"/>
      <c r="H299" s="1501" t="str">
        <f t="shared" si="6"/>
        <v/>
      </c>
    </row>
    <row r="300" spans="1:8" s="396" customFormat="1">
      <c r="A300" s="2191"/>
      <c r="B300" s="574"/>
      <c r="C300" s="1927">
        <v>8.5</v>
      </c>
      <c r="D300" s="2178" t="s">
        <v>161</v>
      </c>
      <c r="E300" s="574"/>
      <c r="F300" s="579"/>
      <c r="G300" s="1408"/>
      <c r="H300" s="1501" t="str">
        <f t="shared" si="6"/>
        <v/>
      </c>
    </row>
    <row r="301" spans="1:8" s="355" customFormat="1">
      <c r="A301" s="960"/>
      <c r="B301" s="574"/>
      <c r="C301" s="1876"/>
      <c r="D301" s="2052"/>
      <c r="E301" s="574"/>
      <c r="F301" s="579"/>
      <c r="G301" s="1408"/>
      <c r="H301" s="1501" t="str">
        <f t="shared" si="6"/>
        <v/>
      </c>
    </row>
    <row r="302" spans="1:8" s="355" customFormat="1">
      <c r="A302" s="960"/>
      <c r="B302" s="574"/>
      <c r="C302" s="1876" t="s">
        <v>746</v>
      </c>
      <c r="D302" s="2179" t="s">
        <v>929</v>
      </c>
      <c r="E302" s="574"/>
      <c r="F302" s="579"/>
      <c r="G302" s="1408"/>
      <c r="H302" s="1501" t="str">
        <f t="shared" si="6"/>
        <v/>
      </c>
    </row>
    <row r="303" spans="1:8" s="355" customFormat="1">
      <c r="A303" s="960"/>
      <c r="B303" s="1567"/>
      <c r="C303" s="1876"/>
      <c r="D303" s="2179"/>
      <c r="E303" s="1567"/>
      <c r="F303" s="2441"/>
      <c r="G303" s="1571"/>
      <c r="H303" s="1501" t="str">
        <f t="shared" si="6"/>
        <v/>
      </c>
    </row>
    <row r="304" spans="1:8" s="355" customFormat="1" ht="42">
      <c r="A304" s="960"/>
      <c r="B304" s="2426"/>
      <c r="C304" s="2451"/>
      <c r="D304" s="2178" t="s">
        <v>1567</v>
      </c>
      <c r="E304" s="2426"/>
      <c r="F304" s="2427"/>
      <c r="G304" s="2428"/>
      <c r="H304" s="1501" t="str">
        <f t="shared" si="6"/>
        <v/>
      </c>
    </row>
    <row r="305" spans="1:8" s="355" customFormat="1">
      <c r="A305" s="960"/>
      <c r="B305" s="2426"/>
      <c r="C305" s="2451"/>
      <c r="D305" s="2178"/>
      <c r="E305" s="2426"/>
      <c r="F305" s="2427"/>
      <c r="G305" s="2428"/>
      <c r="H305" s="1501" t="str">
        <f t="shared" si="6"/>
        <v/>
      </c>
    </row>
    <row r="306" spans="1:8" s="355" customFormat="1">
      <c r="A306" s="2391">
        <f>$A$4</f>
        <v>10</v>
      </c>
      <c r="B306" s="574">
        <v>3.16</v>
      </c>
      <c r="C306" s="678"/>
      <c r="D306" s="1569" t="s">
        <v>1568</v>
      </c>
      <c r="E306" s="574" t="s">
        <v>561</v>
      </c>
      <c r="F306" s="582">
        <v>2</v>
      </c>
      <c r="G306" s="1408"/>
      <c r="H306" s="1501">
        <f t="shared" si="6"/>
        <v>0</v>
      </c>
    </row>
    <row r="307" spans="1:8" s="355" customFormat="1">
      <c r="A307" s="2391"/>
      <c r="B307" s="1567"/>
      <c r="C307" s="1568"/>
      <c r="D307" s="1569"/>
      <c r="E307" s="1567"/>
      <c r="F307" s="1570"/>
      <c r="G307" s="1571"/>
      <c r="H307" s="1501" t="str">
        <f t="shared" si="6"/>
        <v/>
      </c>
    </row>
    <row r="308" spans="1:8" s="355" customFormat="1">
      <c r="A308" s="2391"/>
      <c r="B308" s="1567"/>
      <c r="C308" s="1568"/>
      <c r="D308" s="1569"/>
      <c r="E308" s="1567"/>
      <c r="F308" s="1570"/>
      <c r="G308" s="1571"/>
      <c r="H308" s="1560"/>
    </row>
    <row r="309" spans="1:8" s="355" customFormat="1">
      <c r="A309" s="960"/>
      <c r="B309" s="1567"/>
      <c r="C309" s="1876"/>
      <c r="D309" s="2179"/>
      <c r="E309" s="1567"/>
      <c r="F309" s="2441"/>
      <c r="G309" s="1571"/>
      <c r="H309" s="2452"/>
    </row>
    <row r="310" spans="1:8">
      <c r="A310" s="2383"/>
      <c r="B310" s="2438"/>
      <c r="C310" s="2432"/>
      <c r="D310" s="2154"/>
      <c r="E310" s="574"/>
      <c r="F310" s="579"/>
      <c r="G310" s="1407"/>
      <c r="H310" s="2453"/>
    </row>
    <row r="311" spans="1:8" s="355" customFormat="1">
      <c r="A311" s="2454"/>
      <c r="B311" s="824"/>
      <c r="C311" s="824"/>
      <c r="D311" s="824"/>
      <c r="E311" s="824"/>
      <c r="F311" s="824"/>
      <c r="G311" s="2455"/>
      <c r="H311" s="2456"/>
    </row>
    <row r="312" spans="1:8" s="355" customFormat="1">
      <c r="A312" s="2457"/>
      <c r="B312" s="581"/>
      <c r="C312" s="581"/>
      <c r="D312" s="328" t="s">
        <v>289</v>
      </c>
      <c r="E312" s="581"/>
      <c r="F312" s="581"/>
      <c r="G312" s="1412"/>
      <c r="H312" s="2458">
        <f>SUM(H236:H310)</f>
        <v>0</v>
      </c>
    </row>
    <row r="313" spans="1:8" s="355" customFormat="1">
      <c r="A313" s="960"/>
      <c r="B313" s="2405"/>
      <c r="C313" s="2406"/>
      <c r="D313" s="2407" t="s">
        <v>290</v>
      </c>
      <c r="E313" s="958"/>
      <c r="F313" s="1558"/>
      <c r="G313" s="2311"/>
      <c r="H313" s="959">
        <f>H312</f>
        <v>0</v>
      </c>
    </row>
    <row r="314" spans="1:8" s="355" customFormat="1">
      <c r="A314" s="960"/>
      <c r="B314" s="1962"/>
      <c r="C314" s="973"/>
      <c r="D314" s="2062"/>
      <c r="E314" s="958"/>
      <c r="F314" s="1558"/>
      <c r="G314" s="1524"/>
      <c r="H314" s="959"/>
    </row>
    <row r="315" spans="1:8" s="355" customFormat="1">
      <c r="A315" s="2391">
        <f>$A$4</f>
        <v>10</v>
      </c>
      <c r="B315" s="574">
        <v>3.17</v>
      </c>
      <c r="C315" s="678"/>
      <c r="D315" s="2155" t="s">
        <v>1539</v>
      </c>
      <c r="E315" s="574" t="s">
        <v>561</v>
      </c>
      <c r="F315" s="582">
        <v>30</v>
      </c>
      <c r="G315" s="1408"/>
      <c r="H315" s="1501">
        <f t="shared" ref="H315:H378" si="7">IF(E315="","",ROUND(F315*G315,2))</f>
        <v>0</v>
      </c>
    </row>
    <row r="316" spans="1:8" s="355" customFormat="1">
      <c r="A316" s="960"/>
      <c r="B316" s="1567"/>
      <c r="C316" s="1568"/>
      <c r="D316" s="2448"/>
      <c r="E316" s="1567"/>
      <c r="F316" s="1570"/>
      <c r="G316" s="1571"/>
      <c r="H316" s="1501" t="str">
        <f t="shared" si="7"/>
        <v/>
      </c>
    </row>
    <row r="317" spans="1:8" s="355" customFormat="1" ht="12.75" customHeight="1">
      <c r="A317" s="960"/>
      <c r="B317" s="574"/>
      <c r="C317" s="678" t="s">
        <v>747</v>
      </c>
      <c r="D317" s="2179" t="s">
        <v>716</v>
      </c>
      <c r="E317" s="574"/>
      <c r="F317" s="579"/>
      <c r="G317" s="1408"/>
      <c r="H317" s="1501" t="str">
        <f t="shared" si="7"/>
        <v/>
      </c>
    </row>
    <row r="318" spans="1:8" s="355" customFormat="1" ht="12.75" customHeight="1">
      <c r="A318" s="960"/>
      <c r="B318" s="574"/>
      <c r="C318" s="678"/>
      <c r="D318" s="1569"/>
      <c r="E318" s="574"/>
      <c r="F318" s="579"/>
      <c r="G318" s="1408"/>
      <c r="H318" s="1501" t="str">
        <f t="shared" si="7"/>
        <v/>
      </c>
    </row>
    <row r="319" spans="1:8" s="355" customFormat="1" ht="12.75" customHeight="1">
      <c r="A319" s="960"/>
      <c r="B319" s="574"/>
      <c r="C319" s="678"/>
      <c r="D319" s="2179" t="s">
        <v>717</v>
      </c>
      <c r="E319" s="574"/>
      <c r="F319" s="579"/>
      <c r="G319" s="1408"/>
      <c r="H319" s="1501" t="str">
        <f t="shared" si="7"/>
        <v/>
      </c>
    </row>
    <row r="320" spans="1:8" s="355" customFormat="1" ht="12.75" customHeight="1">
      <c r="A320" s="960"/>
      <c r="B320" s="574"/>
      <c r="C320" s="678"/>
      <c r="D320" s="2448"/>
      <c r="E320" s="574"/>
      <c r="F320" s="579"/>
      <c r="G320" s="1408"/>
      <c r="H320" s="1501" t="str">
        <f t="shared" si="7"/>
        <v/>
      </c>
    </row>
    <row r="321" spans="1:8" s="355" customFormat="1">
      <c r="A321" s="2391">
        <f>$A$4</f>
        <v>10</v>
      </c>
      <c r="B321" s="574">
        <v>3.18</v>
      </c>
      <c r="C321" s="678"/>
      <c r="D321" s="2155" t="s">
        <v>1569</v>
      </c>
      <c r="E321" s="574" t="s">
        <v>561</v>
      </c>
      <c r="F321" s="582">
        <v>29.43</v>
      </c>
      <c r="G321" s="1408"/>
      <c r="H321" s="1501">
        <f t="shared" si="7"/>
        <v>0</v>
      </c>
    </row>
    <row r="322" spans="1:8" s="355" customFormat="1">
      <c r="A322" s="960"/>
      <c r="B322" s="574"/>
      <c r="C322" s="678"/>
      <c r="D322" s="2448"/>
      <c r="E322" s="574"/>
      <c r="F322" s="579"/>
      <c r="G322" s="1408"/>
      <c r="H322" s="1501" t="str">
        <f t="shared" si="7"/>
        <v/>
      </c>
    </row>
    <row r="323" spans="1:8" s="396" customFormat="1">
      <c r="A323" s="2391">
        <f>$A$4</f>
        <v>10</v>
      </c>
      <c r="B323" s="574">
        <v>3.19</v>
      </c>
      <c r="C323" s="678"/>
      <c r="D323" s="2155" t="s">
        <v>932</v>
      </c>
      <c r="E323" s="574" t="s">
        <v>561</v>
      </c>
      <c r="F323" s="582">
        <v>29.43</v>
      </c>
      <c r="G323" s="1408"/>
      <c r="H323" s="1501">
        <f t="shared" si="7"/>
        <v>0</v>
      </c>
    </row>
    <row r="324" spans="1:8" s="355" customFormat="1">
      <c r="A324" s="960"/>
      <c r="B324" s="574"/>
      <c r="C324" s="678"/>
      <c r="D324" s="2155"/>
      <c r="E324" s="574"/>
      <c r="F324" s="582"/>
      <c r="G324" s="1408"/>
      <c r="H324" s="1501" t="str">
        <f t="shared" si="7"/>
        <v/>
      </c>
    </row>
    <row r="325" spans="1:8" s="355" customFormat="1">
      <c r="A325" s="960"/>
      <c r="B325" s="574"/>
      <c r="C325" s="2459" t="s">
        <v>1570</v>
      </c>
      <c r="D325" s="2460" t="s">
        <v>933</v>
      </c>
      <c r="E325" s="574"/>
      <c r="F325" s="582"/>
      <c r="G325" s="1408"/>
      <c r="H325" s="1501" t="str">
        <f t="shared" si="7"/>
        <v/>
      </c>
    </row>
    <row r="326" spans="1:8" s="355" customFormat="1">
      <c r="A326" s="960"/>
      <c r="B326" s="574"/>
      <c r="C326" s="2459"/>
      <c r="D326" s="2460"/>
      <c r="E326" s="980"/>
      <c r="F326" s="582"/>
      <c r="G326" s="2461"/>
      <c r="H326" s="1501" t="str">
        <f t="shared" si="7"/>
        <v/>
      </c>
    </row>
    <row r="327" spans="1:8" s="355" customFormat="1" ht="23.25" customHeight="1">
      <c r="A327" s="960"/>
      <c r="B327" s="2426" t="s">
        <v>558</v>
      </c>
      <c r="C327" s="2424" t="s">
        <v>1571</v>
      </c>
      <c r="D327" s="672" t="s">
        <v>1572</v>
      </c>
      <c r="E327" s="981"/>
      <c r="F327" s="2462"/>
      <c r="G327" s="2463"/>
      <c r="H327" s="1501" t="str">
        <f t="shared" si="7"/>
        <v/>
      </c>
    </row>
    <row r="328" spans="1:8" s="355" customFormat="1" ht="9.75" customHeight="1">
      <c r="A328" s="960"/>
      <c r="B328" s="2423"/>
      <c r="C328" s="2429"/>
      <c r="D328" s="679"/>
      <c r="E328" s="982"/>
      <c r="F328" s="579"/>
      <c r="G328" s="1408"/>
      <c r="H328" s="1501" t="str">
        <f t="shared" si="7"/>
        <v/>
      </c>
    </row>
    <row r="329" spans="1:8" s="355" customFormat="1" ht="12.75" customHeight="1">
      <c r="A329" s="960"/>
      <c r="B329" s="390"/>
      <c r="C329" s="678" t="s">
        <v>226</v>
      </c>
      <c r="D329" s="2446" t="s">
        <v>1573</v>
      </c>
      <c r="E329" s="982"/>
      <c r="F329" s="579"/>
      <c r="G329" s="2461"/>
      <c r="H329" s="1501" t="str">
        <f t="shared" si="7"/>
        <v/>
      </c>
    </row>
    <row r="330" spans="1:8" s="355" customFormat="1">
      <c r="A330" s="960"/>
      <c r="B330" s="390"/>
      <c r="C330" s="678"/>
      <c r="D330" s="2448"/>
      <c r="E330" s="982"/>
      <c r="F330" s="579"/>
      <c r="G330" s="2461"/>
      <c r="H330" s="1501" t="str">
        <f t="shared" si="7"/>
        <v/>
      </c>
    </row>
    <row r="331" spans="1:8" s="355" customFormat="1" ht="12.75" customHeight="1">
      <c r="A331" s="960"/>
      <c r="B331" s="390"/>
      <c r="C331" s="678"/>
      <c r="D331" s="2446" t="s">
        <v>946</v>
      </c>
      <c r="E331" s="982"/>
      <c r="F331" s="579"/>
      <c r="G331" s="2461"/>
      <c r="H331" s="1501" t="str">
        <f t="shared" si="7"/>
        <v/>
      </c>
    </row>
    <row r="332" spans="1:8" s="355" customFormat="1" ht="12.75" customHeight="1">
      <c r="A332" s="960"/>
      <c r="B332" s="390"/>
      <c r="C332" s="678"/>
      <c r="D332" s="2448"/>
      <c r="E332" s="982"/>
      <c r="F332" s="579"/>
      <c r="G332" s="2461"/>
      <c r="H332" s="1501" t="str">
        <f t="shared" si="7"/>
        <v/>
      </c>
    </row>
    <row r="333" spans="1:8" s="355" customFormat="1" ht="12.75" customHeight="1">
      <c r="A333" s="960"/>
      <c r="B333" s="390"/>
      <c r="C333" s="678"/>
      <c r="D333" s="2446" t="s">
        <v>991</v>
      </c>
      <c r="E333" s="982"/>
      <c r="F333" s="579"/>
      <c r="G333" s="2461"/>
      <c r="H333" s="1501" t="str">
        <f t="shared" si="7"/>
        <v/>
      </c>
    </row>
    <row r="334" spans="1:8" s="355" customFormat="1" ht="12.75" customHeight="1">
      <c r="A334" s="960"/>
      <c r="B334" s="390"/>
      <c r="C334" s="678"/>
      <c r="D334" s="2446"/>
      <c r="E334" s="982"/>
      <c r="F334" s="579"/>
      <c r="G334" s="2461"/>
      <c r="H334" s="1501" t="str">
        <f t="shared" si="7"/>
        <v/>
      </c>
    </row>
    <row r="335" spans="1:8" s="357" customFormat="1" ht="45" customHeight="1">
      <c r="A335" s="2408">
        <f>$A$4</f>
        <v>10</v>
      </c>
      <c r="B335" s="2464">
        <v>3.2</v>
      </c>
      <c r="C335" s="2465" t="s">
        <v>1574</v>
      </c>
      <c r="D335" s="2466" t="s">
        <v>1575</v>
      </c>
      <c r="E335" s="982" t="s">
        <v>273</v>
      </c>
      <c r="F335" s="582">
        <v>1</v>
      </c>
      <c r="G335" s="1408"/>
      <c r="H335" s="1501">
        <f t="shared" si="7"/>
        <v>0</v>
      </c>
    </row>
    <row r="336" spans="1:8" s="355" customFormat="1" ht="12.75" customHeight="1">
      <c r="A336" s="960"/>
      <c r="B336" s="1572"/>
      <c r="C336" s="338"/>
      <c r="D336" s="2466"/>
      <c r="E336" s="982"/>
      <c r="F336" s="582"/>
      <c r="G336" s="2461"/>
      <c r="H336" s="1501" t="str">
        <f t="shared" si="7"/>
        <v/>
      </c>
    </row>
    <row r="337" spans="1:8" s="355" customFormat="1">
      <c r="A337" s="2391">
        <f>$A$4</f>
        <v>10</v>
      </c>
      <c r="B337" s="1567">
        <v>3.21</v>
      </c>
      <c r="C337" s="338" t="s">
        <v>1576</v>
      </c>
      <c r="D337" s="2466" t="s">
        <v>1577</v>
      </c>
      <c r="E337" s="982" t="s">
        <v>273</v>
      </c>
      <c r="F337" s="582">
        <v>1</v>
      </c>
      <c r="G337" s="2461"/>
      <c r="H337" s="1501">
        <f t="shared" si="7"/>
        <v>0</v>
      </c>
    </row>
    <row r="338" spans="1:8" s="355" customFormat="1">
      <c r="A338" s="960"/>
      <c r="B338" s="1572"/>
      <c r="C338" s="1962"/>
      <c r="D338" s="2466"/>
      <c r="E338" s="982"/>
      <c r="F338" s="1570"/>
      <c r="G338" s="2461"/>
      <c r="H338" s="1501" t="str">
        <f t="shared" si="7"/>
        <v/>
      </c>
    </row>
    <row r="339" spans="1:8" s="357" customFormat="1" ht="39.6">
      <c r="A339" s="2391">
        <f>$A$4</f>
        <v>10</v>
      </c>
      <c r="B339" s="1567">
        <v>3.22</v>
      </c>
      <c r="C339" s="338"/>
      <c r="D339" s="2466" t="s">
        <v>1578</v>
      </c>
      <c r="E339" s="982" t="s">
        <v>273</v>
      </c>
      <c r="F339" s="582">
        <v>1</v>
      </c>
      <c r="G339" s="2461"/>
      <c r="H339" s="1501">
        <f t="shared" si="7"/>
        <v>0</v>
      </c>
    </row>
    <row r="340" spans="1:8" s="357" customFormat="1">
      <c r="A340" s="1820"/>
      <c r="B340" s="574"/>
      <c r="C340" s="338"/>
      <c r="D340" s="2466"/>
      <c r="E340" s="982"/>
      <c r="F340" s="582"/>
      <c r="G340" s="2461"/>
      <c r="H340" s="1501" t="str">
        <f t="shared" si="7"/>
        <v/>
      </c>
    </row>
    <row r="341" spans="1:8" s="357" customFormat="1">
      <c r="A341" s="2391">
        <f>$A$4</f>
        <v>10</v>
      </c>
      <c r="B341" s="1567">
        <v>3.23</v>
      </c>
      <c r="C341" s="379"/>
      <c r="D341" s="1569" t="s">
        <v>1579</v>
      </c>
      <c r="E341" s="982" t="s">
        <v>954</v>
      </c>
      <c r="F341" s="582">
        <v>3</v>
      </c>
      <c r="G341" s="2461"/>
      <c r="H341" s="1501">
        <f t="shared" si="7"/>
        <v>0</v>
      </c>
    </row>
    <row r="342" spans="1:8" s="355" customFormat="1" ht="12.75" customHeight="1">
      <c r="A342" s="960"/>
      <c r="B342" s="1572"/>
      <c r="C342" s="379"/>
      <c r="D342" s="1569"/>
      <c r="E342" s="982"/>
      <c r="F342" s="582"/>
      <c r="G342" s="2461"/>
      <c r="H342" s="1501" t="str">
        <f t="shared" si="7"/>
        <v/>
      </c>
    </row>
    <row r="343" spans="1:8" s="355" customFormat="1" ht="12.75" customHeight="1">
      <c r="A343" s="2391">
        <f>$A$4</f>
        <v>10</v>
      </c>
      <c r="B343" s="1567">
        <v>3.24</v>
      </c>
      <c r="C343" s="379"/>
      <c r="D343" s="1569" t="s">
        <v>1580</v>
      </c>
      <c r="E343" s="982" t="s">
        <v>954</v>
      </c>
      <c r="F343" s="582">
        <v>1</v>
      </c>
      <c r="G343" s="2461"/>
      <c r="H343" s="1501">
        <f t="shared" si="7"/>
        <v>0</v>
      </c>
    </row>
    <row r="344" spans="1:8" s="355" customFormat="1" ht="12.75" customHeight="1">
      <c r="A344" s="960"/>
      <c r="B344" s="1572"/>
      <c r="C344" s="379"/>
      <c r="D344" s="1569"/>
      <c r="E344" s="982"/>
      <c r="F344" s="582"/>
      <c r="G344" s="2461"/>
      <c r="H344" s="1501" t="str">
        <f t="shared" si="7"/>
        <v/>
      </c>
    </row>
    <row r="345" spans="1:8" s="355" customFormat="1" ht="12.75" customHeight="1">
      <c r="A345" s="2391">
        <f>$A$4</f>
        <v>10</v>
      </c>
      <c r="B345" s="1567">
        <v>3.25</v>
      </c>
      <c r="C345" s="379" t="s">
        <v>1581</v>
      </c>
      <c r="D345" s="983" t="s">
        <v>1582</v>
      </c>
      <c r="E345" s="982" t="s">
        <v>273</v>
      </c>
      <c r="F345" s="582">
        <v>2</v>
      </c>
      <c r="G345" s="2461"/>
      <c r="H345" s="1501">
        <f t="shared" si="7"/>
        <v>0</v>
      </c>
    </row>
    <row r="346" spans="1:8" s="355" customFormat="1">
      <c r="A346" s="960"/>
      <c r="B346" s="1572"/>
      <c r="C346" s="379"/>
      <c r="D346" s="1569"/>
      <c r="E346" s="982"/>
      <c r="F346" s="582"/>
      <c r="G346" s="2461"/>
      <c r="H346" s="1501" t="str">
        <f t="shared" si="7"/>
        <v/>
      </c>
    </row>
    <row r="347" spans="1:8" s="355" customFormat="1">
      <c r="A347" s="2391">
        <f>$A$4</f>
        <v>10</v>
      </c>
      <c r="B347" s="574">
        <v>3.26</v>
      </c>
      <c r="C347" s="1271" t="s">
        <v>1583</v>
      </c>
      <c r="D347" s="1262" t="s">
        <v>1584</v>
      </c>
      <c r="E347" s="982" t="s">
        <v>273</v>
      </c>
      <c r="F347" s="582">
        <v>3</v>
      </c>
      <c r="G347" s="1408"/>
      <c r="H347" s="1501">
        <f t="shared" si="7"/>
        <v>0</v>
      </c>
    </row>
    <row r="348" spans="1:8" s="355" customFormat="1">
      <c r="A348" s="960"/>
      <c r="B348" s="574"/>
      <c r="C348" s="1271"/>
      <c r="D348" s="1262"/>
      <c r="E348" s="982"/>
      <c r="F348" s="582"/>
      <c r="G348" s="2461"/>
      <c r="H348" s="1501" t="str">
        <f t="shared" si="7"/>
        <v/>
      </c>
    </row>
    <row r="349" spans="1:8" s="355" customFormat="1">
      <c r="A349" s="960"/>
      <c r="B349" s="2426" t="s">
        <v>562</v>
      </c>
      <c r="C349" s="2424" t="s">
        <v>1585</v>
      </c>
      <c r="D349" s="985" t="s">
        <v>1586</v>
      </c>
      <c r="E349" s="2426"/>
      <c r="F349" s="2427"/>
      <c r="G349" s="2428"/>
      <c r="H349" s="1501" t="str">
        <f t="shared" si="7"/>
        <v/>
      </c>
    </row>
    <row r="350" spans="1:8" s="355" customFormat="1">
      <c r="A350" s="960"/>
      <c r="B350" s="2438"/>
      <c r="C350" s="2432"/>
      <c r="D350" s="2467"/>
      <c r="E350" s="2438"/>
      <c r="F350" s="579"/>
      <c r="G350" s="1408"/>
      <c r="H350" s="1501" t="str">
        <f t="shared" si="7"/>
        <v/>
      </c>
    </row>
    <row r="351" spans="1:8" s="357" customFormat="1" ht="26.4">
      <c r="A351" s="2408">
        <f>$A$4</f>
        <v>10</v>
      </c>
      <c r="B351" s="574">
        <v>3.27</v>
      </c>
      <c r="C351" s="2459" t="s">
        <v>936</v>
      </c>
      <c r="D351" s="2468" t="s">
        <v>937</v>
      </c>
      <c r="E351" s="1821" t="s">
        <v>644</v>
      </c>
      <c r="F351" s="582">
        <v>10</v>
      </c>
      <c r="G351" s="1408"/>
      <c r="H351" s="1501">
        <f t="shared" si="7"/>
        <v>0</v>
      </c>
    </row>
    <row r="352" spans="1:8" s="355" customFormat="1">
      <c r="A352" s="960"/>
      <c r="B352" s="574"/>
      <c r="C352" s="2459"/>
      <c r="D352" s="2468"/>
      <c r="E352" s="1821"/>
      <c r="F352" s="582"/>
      <c r="G352" s="1408"/>
      <c r="H352" s="1501" t="str">
        <f t="shared" si="7"/>
        <v/>
      </c>
    </row>
    <row r="353" spans="1:19" s="357" customFormat="1">
      <c r="A353" s="1820"/>
      <c r="B353" s="2426"/>
      <c r="C353" s="2424"/>
      <c r="D353" s="2460" t="s">
        <v>939</v>
      </c>
      <c r="E353" s="2426"/>
      <c r="F353" s="2427"/>
      <c r="G353" s="2428"/>
      <c r="H353" s="1501" t="str">
        <f t="shared" si="7"/>
        <v/>
      </c>
    </row>
    <row r="354" spans="1:19" s="355" customFormat="1">
      <c r="A354" s="960"/>
      <c r="B354" s="574"/>
      <c r="C354" s="678"/>
      <c r="D354" s="2469"/>
      <c r="E354" s="574"/>
      <c r="F354" s="579"/>
      <c r="G354" s="1408"/>
      <c r="H354" s="1501" t="str">
        <f t="shared" si="7"/>
        <v/>
      </c>
    </row>
    <row r="355" spans="1:19" s="357" customFormat="1" ht="15.6">
      <c r="A355" s="2408">
        <f>$A$4</f>
        <v>10</v>
      </c>
      <c r="B355" s="1567">
        <v>3.28</v>
      </c>
      <c r="C355" s="678" t="s">
        <v>1587</v>
      </c>
      <c r="D355" s="2468" t="s">
        <v>1588</v>
      </c>
      <c r="E355" s="574" t="s">
        <v>641</v>
      </c>
      <c r="F355" s="582">
        <v>5</v>
      </c>
      <c r="G355" s="1408"/>
      <c r="H355" s="1501">
        <f t="shared" si="7"/>
        <v>0</v>
      </c>
    </row>
    <row r="356" spans="1:19" s="357" customFormat="1">
      <c r="A356" s="1820"/>
      <c r="B356" s="2188"/>
      <c r="C356" s="678"/>
      <c r="D356" s="2468"/>
      <c r="E356" s="574"/>
      <c r="F356" s="582"/>
      <c r="G356" s="1408"/>
      <c r="H356" s="1501" t="str">
        <f t="shared" si="7"/>
        <v/>
      </c>
    </row>
    <row r="357" spans="1:19" s="357" customFormat="1" ht="15.6">
      <c r="A357" s="2408">
        <f>$A$4</f>
        <v>10</v>
      </c>
      <c r="B357" s="2188">
        <v>3.29</v>
      </c>
      <c r="C357" s="338" t="s">
        <v>1589</v>
      </c>
      <c r="D357" s="2468" t="s">
        <v>1590</v>
      </c>
      <c r="E357" s="574" t="s">
        <v>641</v>
      </c>
      <c r="F357" s="2470">
        <v>5</v>
      </c>
      <c r="G357" s="1408"/>
      <c r="H357" s="1501">
        <f t="shared" si="7"/>
        <v>0</v>
      </c>
    </row>
    <row r="358" spans="1:19" s="355" customFormat="1">
      <c r="A358" s="960"/>
      <c r="B358" s="390"/>
      <c r="C358" s="2103"/>
      <c r="D358" s="2448"/>
      <c r="E358" s="980"/>
      <c r="F358" s="2470"/>
      <c r="G358" s="2461"/>
      <c r="H358" s="1501" t="str">
        <f t="shared" si="7"/>
        <v/>
      </c>
    </row>
    <row r="359" spans="1:19" s="355" customFormat="1" ht="26.4">
      <c r="A359" s="960"/>
      <c r="B359" s="2423" t="s">
        <v>580</v>
      </c>
      <c r="C359" s="2471" t="s">
        <v>1591</v>
      </c>
      <c r="D359" s="2472" t="s">
        <v>1592</v>
      </c>
      <c r="E359" s="2426"/>
      <c r="F359" s="2473"/>
      <c r="G359" s="1413"/>
      <c r="H359" s="1501" t="str">
        <f t="shared" si="7"/>
        <v/>
      </c>
    </row>
    <row r="360" spans="1:19" s="355" customFormat="1">
      <c r="A360" s="960"/>
      <c r="B360" s="1572"/>
      <c r="C360" s="678"/>
      <c r="D360" s="1569"/>
      <c r="E360" s="982"/>
      <c r="F360" s="582"/>
      <c r="G360" s="1414"/>
      <c r="H360" s="1501" t="str">
        <f t="shared" si="7"/>
        <v/>
      </c>
    </row>
    <row r="361" spans="1:19" s="357" customFormat="1">
      <c r="A361" s="2408">
        <f>$A$4</f>
        <v>10</v>
      </c>
      <c r="B361" s="2464">
        <v>3.3</v>
      </c>
      <c r="C361" s="678" t="s">
        <v>302</v>
      </c>
      <c r="D361" s="2466" t="s">
        <v>1593</v>
      </c>
      <c r="E361" s="574" t="s">
        <v>273</v>
      </c>
      <c r="F361" s="582">
        <v>1</v>
      </c>
      <c r="G361" s="1415"/>
      <c r="H361" s="1501">
        <f t="shared" si="7"/>
        <v>0</v>
      </c>
    </row>
    <row r="362" spans="1:19" s="357" customFormat="1">
      <c r="A362" s="1820"/>
      <c r="B362" s="1572"/>
      <c r="C362" s="678"/>
      <c r="D362" s="2466"/>
      <c r="E362" s="574"/>
      <c r="F362" s="582"/>
      <c r="G362" s="1415"/>
      <c r="H362" s="1501" t="str">
        <f t="shared" si="7"/>
        <v/>
      </c>
    </row>
    <row r="363" spans="1:19" s="508" customFormat="1" ht="15" customHeight="1">
      <c r="A363" s="2408">
        <f>$A$4</f>
        <v>10</v>
      </c>
      <c r="B363" s="1567">
        <v>3.31</v>
      </c>
      <c r="C363" s="678"/>
      <c r="D363" s="2466" t="s">
        <v>1594</v>
      </c>
      <c r="E363" s="574" t="s">
        <v>273</v>
      </c>
      <c r="F363" s="582">
        <v>1</v>
      </c>
      <c r="G363" s="1415"/>
      <c r="H363" s="1501">
        <f t="shared" si="7"/>
        <v>0</v>
      </c>
      <c r="S363" s="825"/>
    </row>
    <row r="364" spans="1:19" s="372" customFormat="1">
      <c r="A364" s="2474"/>
      <c r="B364" s="574"/>
      <c r="C364" s="2429"/>
      <c r="D364" s="987"/>
      <c r="E364" s="574"/>
      <c r="F364" s="579"/>
      <c r="G364" s="1408"/>
      <c r="H364" s="1501" t="str">
        <f t="shared" si="7"/>
        <v/>
      </c>
    </row>
    <row r="365" spans="1:19" s="371" customFormat="1">
      <c r="A365" s="2475"/>
      <c r="B365" s="1572"/>
      <c r="C365" s="2476" t="s">
        <v>1595</v>
      </c>
      <c r="D365" s="2477" t="s">
        <v>1596</v>
      </c>
      <c r="E365" s="2478"/>
      <c r="F365" s="988"/>
      <c r="G365" s="2479"/>
      <c r="H365" s="1501" t="str">
        <f t="shared" si="7"/>
        <v/>
      </c>
    </row>
    <row r="366" spans="1:19" s="355" customFormat="1">
      <c r="A366" s="960"/>
      <c r="B366" s="1572"/>
      <c r="C366" s="2476"/>
      <c r="D366" s="2480"/>
      <c r="E366" s="989"/>
      <c r="F366" s="988"/>
      <c r="G366" s="2479"/>
      <c r="H366" s="1501" t="str">
        <f t="shared" si="7"/>
        <v/>
      </c>
    </row>
    <row r="367" spans="1:19" s="355" customFormat="1">
      <c r="A367" s="2391">
        <f>$A$4</f>
        <v>10</v>
      </c>
      <c r="B367" s="1567">
        <v>3.32</v>
      </c>
      <c r="C367" s="990"/>
      <c r="D367" s="2439" t="s">
        <v>1597</v>
      </c>
      <c r="E367" s="989" t="s">
        <v>230</v>
      </c>
      <c r="F367" s="988">
        <v>1</v>
      </c>
      <c r="G367" s="2479"/>
      <c r="H367" s="1501">
        <f t="shared" si="7"/>
        <v>0</v>
      </c>
    </row>
    <row r="368" spans="1:19" s="355" customFormat="1">
      <c r="A368" s="960"/>
      <c r="B368" s="1572"/>
      <c r="C368" s="1572"/>
      <c r="D368" s="1569"/>
      <c r="E368" s="982"/>
      <c r="F368" s="582"/>
      <c r="G368" s="1414"/>
      <c r="H368" s="1501" t="str">
        <f t="shared" si="7"/>
        <v/>
      </c>
    </row>
    <row r="369" spans="1:8" s="371" customFormat="1" ht="26.4">
      <c r="A369" s="2475"/>
      <c r="B369" s="2423" t="s">
        <v>586</v>
      </c>
      <c r="C369" s="2481" t="s">
        <v>1598</v>
      </c>
      <c r="D369" s="2472" t="s">
        <v>1599</v>
      </c>
      <c r="E369" s="991"/>
      <c r="F369" s="2473"/>
      <c r="G369" s="1413"/>
      <c r="H369" s="1501" t="str">
        <f t="shared" si="7"/>
        <v/>
      </c>
    </row>
    <row r="370" spans="1:8" s="371" customFormat="1">
      <c r="A370" s="2475"/>
      <c r="B370" s="1572"/>
      <c r="C370" s="1572"/>
      <c r="D370" s="1569"/>
      <c r="E370" s="982"/>
      <c r="F370" s="582"/>
      <c r="G370" s="1414"/>
      <c r="H370" s="1501" t="str">
        <f t="shared" si="7"/>
        <v/>
      </c>
    </row>
    <row r="371" spans="1:8" s="508" customFormat="1">
      <c r="A371" s="2482"/>
      <c r="B371" s="1572"/>
      <c r="C371" s="1572" t="s">
        <v>546</v>
      </c>
      <c r="D371" s="2179" t="s">
        <v>1600</v>
      </c>
      <c r="E371" s="982"/>
      <c r="F371" s="582"/>
      <c r="G371" s="1414"/>
      <c r="H371" s="1501" t="str">
        <f t="shared" si="7"/>
        <v/>
      </c>
    </row>
    <row r="372" spans="1:8" s="371" customFormat="1">
      <c r="A372" s="2475"/>
      <c r="B372" s="1572"/>
      <c r="C372" s="1572"/>
      <c r="D372" s="1569"/>
      <c r="E372" s="982"/>
      <c r="F372" s="582"/>
      <c r="G372" s="1414"/>
      <c r="H372" s="1501" t="str">
        <f t="shared" si="7"/>
        <v/>
      </c>
    </row>
    <row r="373" spans="1:8" s="371" customFormat="1">
      <c r="A373" s="2391">
        <f>$A$4</f>
        <v>10</v>
      </c>
      <c r="B373" s="1567">
        <v>3.33</v>
      </c>
      <c r="C373" s="1572"/>
      <c r="D373" s="1569" t="s">
        <v>1601</v>
      </c>
      <c r="E373" s="982" t="s">
        <v>561</v>
      </c>
      <c r="F373" s="582">
        <v>600</v>
      </c>
      <c r="G373" s="1414"/>
      <c r="H373" s="1501">
        <f t="shared" si="7"/>
        <v>0</v>
      </c>
    </row>
    <row r="374" spans="1:8" s="371" customFormat="1">
      <c r="A374" s="2475"/>
      <c r="B374" s="1572"/>
      <c r="C374" s="2459"/>
      <c r="D374" s="2468"/>
      <c r="E374" s="1821"/>
      <c r="F374" s="582"/>
      <c r="G374" s="1408"/>
      <c r="H374" s="1501" t="str">
        <f t="shared" si="7"/>
        <v/>
      </c>
    </row>
    <row r="375" spans="1:8" s="371" customFormat="1">
      <c r="A375" s="2391">
        <f>$A$4</f>
        <v>10</v>
      </c>
      <c r="B375" s="1567">
        <v>3.34</v>
      </c>
      <c r="C375" s="1572"/>
      <c r="D375" s="1569" t="s">
        <v>1602</v>
      </c>
      <c r="E375" s="982" t="s">
        <v>529</v>
      </c>
      <c r="F375" s="1570">
        <v>1</v>
      </c>
      <c r="G375" s="992">
        <v>950000</v>
      </c>
      <c r="H375" s="1501">
        <f t="shared" si="7"/>
        <v>950000</v>
      </c>
    </row>
    <row r="376" spans="1:8" s="371" customFormat="1">
      <c r="A376" s="2391"/>
      <c r="B376" s="1567"/>
      <c r="C376" s="1572"/>
      <c r="D376" s="1569"/>
      <c r="E376" s="982"/>
      <c r="F376" s="1570"/>
      <c r="G376" s="1416"/>
      <c r="H376" s="1501" t="str">
        <f t="shared" si="7"/>
        <v/>
      </c>
    </row>
    <row r="377" spans="1:8" s="371" customFormat="1">
      <c r="A377" s="2475"/>
      <c r="B377" s="1572"/>
      <c r="C377" s="2483"/>
      <c r="D377" s="2484" t="s">
        <v>1603</v>
      </c>
      <c r="E377" s="982"/>
      <c r="F377" s="582"/>
      <c r="G377" s="1414"/>
      <c r="H377" s="1501" t="str">
        <f t="shared" si="7"/>
        <v/>
      </c>
    </row>
    <row r="378" spans="1:8" s="371" customFormat="1">
      <c r="A378" s="2475"/>
      <c r="B378" s="1572"/>
      <c r="C378" s="2483"/>
      <c r="D378" s="2485"/>
      <c r="E378" s="982"/>
      <c r="F378" s="582"/>
      <c r="G378" s="1414"/>
      <c r="H378" s="1501" t="str">
        <f t="shared" si="7"/>
        <v/>
      </c>
    </row>
    <row r="379" spans="1:8" s="371" customFormat="1" ht="39.6">
      <c r="A379" s="2475"/>
      <c r="B379" s="1572"/>
      <c r="C379" s="2486">
        <v>8.4</v>
      </c>
      <c r="D379" s="2487" t="s">
        <v>1604</v>
      </c>
      <c r="E379" s="982"/>
      <c r="F379" s="582"/>
      <c r="G379" s="1415"/>
      <c r="H379" s="1501" t="str">
        <f t="shared" ref="H379:H384" si="8">IF(E379="","",ROUND(F379*G379,2))</f>
        <v/>
      </c>
    </row>
    <row r="380" spans="1:8" s="396" customFormat="1">
      <c r="A380" s="2191"/>
      <c r="B380" s="1572"/>
      <c r="C380" s="1572"/>
      <c r="D380" s="1569"/>
      <c r="E380" s="982"/>
      <c r="F380" s="582"/>
      <c r="G380" s="1414"/>
      <c r="H380" s="1501" t="str">
        <f t="shared" si="8"/>
        <v/>
      </c>
    </row>
    <row r="381" spans="1:8" s="396" customFormat="1">
      <c r="A381" s="2391">
        <f>$A$4</f>
        <v>10</v>
      </c>
      <c r="B381" s="1567">
        <v>3.35</v>
      </c>
      <c r="C381" s="1572"/>
      <c r="D381" s="2488" t="s">
        <v>1605</v>
      </c>
      <c r="E381" s="982" t="s">
        <v>273</v>
      </c>
      <c r="F381" s="582">
        <v>2</v>
      </c>
      <c r="G381" s="1414"/>
      <c r="H381" s="1501">
        <f t="shared" si="8"/>
        <v>0</v>
      </c>
    </row>
    <row r="382" spans="1:8" s="396" customFormat="1">
      <c r="A382" s="2391"/>
      <c r="B382" s="1567"/>
      <c r="C382" s="1572"/>
      <c r="D382" s="2488"/>
      <c r="E382" s="982"/>
      <c r="F382" s="1570"/>
      <c r="G382" s="1414"/>
      <c r="H382" s="1501" t="str">
        <f t="shared" si="8"/>
        <v/>
      </c>
    </row>
    <row r="383" spans="1:8" s="396" customFormat="1">
      <c r="A383" s="2391">
        <f>$A$4</f>
        <v>10</v>
      </c>
      <c r="B383" s="1567">
        <v>3.36</v>
      </c>
      <c r="C383" s="1572"/>
      <c r="D383" s="2488" t="s">
        <v>1606</v>
      </c>
      <c r="E383" s="982" t="s">
        <v>273</v>
      </c>
      <c r="F383" s="582">
        <v>2</v>
      </c>
      <c r="G383" s="1414"/>
      <c r="H383" s="1501">
        <f t="shared" si="8"/>
        <v>0</v>
      </c>
    </row>
    <row r="384" spans="1:8" s="396" customFormat="1">
      <c r="A384" s="2391"/>
      <c r="B384" s="1567"/>
      <c r="C384" s="1572"/>
      <c r="D384" s="2488"/>
      <c r="E384" s="982"/>
      <c r="F384" s="1570"/>
      <c r="G384" s="1414"/>
      <c r="H384" s="1501" t="str">
        <f t="shared" si="8"/>
        <v/>
      </c>
    </row>
    <row r="385" spans="1:8" s="396" customFormat="1">
      <c r="A385" s="2391"/>
      <c r="B385" s="1567"/>
      <c r="C385" s="1572"/>
      <c r="D385" s="2488"/>
      <c r="E385" s="982"/>
      <c r="F385" s="1570"/>
      <c r="G385" s="1414"/>
      <c r="H385" s="1560"/>
    </row>
    <row r="386" spans="1:8" s="396" customFormat="1">
      <c r="A386" s="2391"/>
      <c r="B386" s="1567"/>
      <c r="C386" s="1572"/>
      <c r="D386" s="2488"/>
      <c r="E386" s="982"/>
      <c r="F386" s="1570"/>
      <c r="G386" s="1414"/>
      <c r="H386" s="1560"/>
    </row>
    <row r="387" spans="1:8" s="355" customFormat="1">
      <c r="A387" s="2454"/>
      <c r="B387" s="824"/>
      <c r="C387" s="824"/>
      <c r="D387" s="984"/>
      <c r="E387" s="824"/>
      <c r="F387" s="824"/>
      <c r="G387" s="2455"/>
      <c r="H387" s="2456"/>
    </row>
    <row r="388" spans="1:8" s="355" customFormat="1">
      <c r="A388" s="2457"/>
      <c r="B388" s="581"/>
      <c r="C388" s="581"/>
      <c r="D388" s="328" t="s">
        <v>289</v>
      </c>
      <c r="E388" s="581"/>
      <c r="F388" s="581"/>
      <c r="G388" s="1412"/>
      <c r="H388" s="2489">
        <f>SUM(H313:H386)</f>
        <v>950000</v>
      </c>
    </row>
    <row r="389" spans="1:8" s="355" customFormat="1">
      <c r="A389" s="960"/>
      <c r="B389" s="2490"/>
      <c r="C389" s="2491"/>
      <c r="D389" s="2492" t="s">
        <v>290</v>
      </c>
      <c r="E389" s="2493"/>
      <c r="F389" s="2494"/>
      <c r="G389" s="2495"/>
      <c r="H389" s="2496">
        <f>H388</f>
        <v>950000</v>
      </c>
    </row>
    <row r="390" spans="1:8" s="396" customFormat="1">
      <c r="A390" s="2191"/>
      <c r="B390" s="1572"/>
      <c r="C390" s="1568"/>
      <c r="D390" s="1569"/>
      <c r="E390" s="1567"/>
      <c r="F390" s="1570"/>
      <c r="G390" s="1414"/>
      <c r="H390" s="2497"/>
    </row>
    <row r="391" spans="1:8" s="396" customFormat="1" ht="13.8">
      <c r="A391" s="2191"/>
      <c r="B391" s="1572"/>
      <c r="C391" s="1568"/>
      <c r="D391" s="670" t="s">
        <v>1607</v>
      </c>
      <c r="E391" s="1567"/>
      <c r="F391" s="1570"/>
      <c r="G391" s="1414"/>
      <c r="H391" s="2497"/>
    </row>
    <row r="392" spans="1:8" s="396" customFormat="1">
      <c r="A392" s="2191"/>
      <c r="B392" s="1572"/>
      <c r="C392" s="1568"/>
      <c r="D392" s="1569"/>
      <c r="E392" s="1567"/>
      <c r="F392" s="1570"/>
      <c r="G392" s="1414"/>
      <c r="H392" s="2497"/>
    </row>
    <row r="393" spans="1:8" s="396" customFormat="1">
      <c r="A393" s="2391">
        <f>$A$4</f>
        <v>10</v>
      </c>
      <c r="B393" s="1567">
        <v>3.37</v>
      </c>
      <c r="C393" s="1568"/>
      <c r="D393" s="1569" t="s">
        <v>1608</v>
      </c>
      <c r="E393" s="1567" t="s">
        <v>252</v>
      </c>
      <c r="F393" s="1570">
        <v>1</v>
      </c>
      <c r="G393" s="986">
        <v>50000</v>
      </c>
      <c r="H393" s="1501">
        <f t="shared" ref="H393:H395" si="9">IF(E393="","",ROUND(F393*G393,2))</f>
        <v>50000</v>
      </c>
    </row>
    <row r="394" spans="1:8" s="396" customFormat="1">
      <c r="A394" s="2191"/>
      <c r="B394" s="1572"/>
      <c r="C394" s="2459"/>
      <c r="D394" s="2468"/>
      <c r="E394" s="1821"/>
      <c r="F394" s="1570"/>
      <c r="G394" s="1571"/>
      <c r="H394" s="1501" t="str">
        <f t="shared" si="9"/>
        <v/>
      </c>
    </row>
    <row r="395" spans="1:8" s="396" customFormat="1">
      <c r="A395" s="2391">
        <f>$A$4</f>
        <v>10</v>
      </c>
      <c r="B395" s="1567">
        <v>3.38</v>
      </c>
      <c r="C395" s="2459"/>
      <c r="D395" s="694" t="s">
        <v>567</v>
      </c>
      <c r="E395" s="1261" t="s">
        <v>252</v>
      </c>
      <c r="F395" s="1781">
        <v>1</v>
      </c>
      <c r="G395" s="2498">
        <v>242067</v>
      </c>
      <c r="H395" s="1501">
        <f t="shared" si="9"/>
        <v>242067</v>
      </c>
    </row>
    <row r="396" spans="1:8" s="396" customFormat="1">
      <c r="A396" s="2191"/>
      <c r="B396" s="1567"/>
      <c r="C396" s="2429"/>
      <c r="D396" s="2450"/>
      <c r="E396" s="980"/>
      <c r="F396" s="2441"/>
      <c r="G396" s="2461"/>
      <c r="H396" s="2452"/>
    </row>
    <row r="397" spans="1:8" s="396" customFormat="1">
      <c r="A397" s="2191"/>
      <c r="B397" s="1567"/>
      <c r="C397" s="2429"/>
      <c r="D397" s="2450"/>
      <c r="E397" s="980"/>
      <c r="F397" s="2441"/>
      <c r="G397" s="2461"/>
      <c r="H397" s="2452"/>
    </row>
    <row r="398" spans="1:8" s="396" customFormat="1">
      <c r="A398" s="2191"/>
      <c r="B398" s="574"/>
      <c r="C398" s="2429"/>
      <c r="D398" s="2450"/>
      <c r="E398" s="980"/>
      <c r="F398" s="579"/>
      <c r="G398" s="2461"/>
      <c r="H398" s="2452"/>
    </row>
    <row r="399" spans="1:8" s="396" customFormat="1">
      <c r="A399" s="2191"/>
      <c r="B399" s="574"/>
      <c r="C399" s="2429"/>
      <c r="D399" s="2450"/>
      <c r="E399" s="980"/>
      <c r="F399" s="579"/>
      <c r="G399" s="2461"/>
      <c r="H399" s="2452"/>
    </row>
    <row r="400" spans="1:8" s="396" customFormat="1">
      <c r="A400" s="2191"/>
      <c r="B400" s="574"/>
      <c r="C400" s="2429"/>
      <c r="D400" s="2450"/>
      <c r="E400" s="980"/>
      <c r="F400" s="579"/>
      <c r="G400" s="2461"/>
      <c r="H400" s="2452"/>
    </row>
    <row r="401" spans="1:8" s="396" customFormat="1">
      <c r="A401" s="2191"/>
      <c r="B401" s="574"/>
      <c r="C401" s="2429"/>
      <c r="D401" s="2450"/>
      <c r="E401" s="980"/>
      <c r="F401" s="579"/>
      <c r="G401" s="2461"/>
      <c r="H401" s="2452"/>
    </row>
    <row r="402" spans="1:8" s="396" customFormat="1">
      <c r="A402" s="2191"/>
      <c r="B402" s="574"/>
      <c r="C402" s="2429"/>
      <c r="D402" s="2450"/>
      <c r="E402" s="980"/>
      <c r="F402" s="579"/>
      <c r="G402" s="2461"/>
      <c r="H402" s="2452"/>
    </row>
    <row r="403" spans="1:8" s="396" customFormat="1">
      <c r="A403" s="2191"/>
      <c r="B403" s="574"/>
      <c r="C403" s="2429"/>
      <c r="D403" s="2450"/>
      <c r="E403" s="980"/>
      <c r="F403" s="579"/>
      <c r="G403" s="2461"/>
      <c r="H403" s="2452"/>
    </row>
    <row r="404" spans="1:8" s="396" customFormat="1">
      <c r="A404" s="2191"/>
      <c r="B404" s="574"/>
      <c r="C404" s="2429"/>
      <c r="D404" s="2450"/>
      <c r="E404" s="980"/>
      <c r="F404" s="579"/>
      <c r="G404" s="2461"/>
      <c r="H404" s="2452"/>
    </row>
    <row r="405" spans="1:8" s="396" customFormat="1">
      <c r="A405" s="2191"/>
      <c r="B405" s="1567"/>
      <c r="C405" s="2429"/>
      <c r="D405" s="2450"/>
      <c r="E405" s="980"/>
      <c r="F405" s="2441"/>
      <c r="G405" s="2461"/>
      <c r="H405" s="2452"/>
    </row>
    <row r="406" spans="1:8" s="396" customFormat="1">
      <c r="A406" s="2191"/>
      <c r="B406" s="1567"/>
      <c r="C406" s="2429"/>
      <c r="D406" s="2450"/>
      <c r="E406" s="980"/>
      <c r="F406" s="2441"/>
      <c r="G406" s="2461"/>
      <c r="H406" s="2452"/>
    </row>
    <row r="407" spans="1:8" s="396" customFormat="1">
      <c r="A407" s="2191"/>
      <c r="B407" s="1567"/>
      <c r="C407" s="2429"/>
      <c r="D407" s="2450"/>
      <c r="E407" s="980"/>
      <c r="F407" s="2441"/>
      <c r="G407" s="2461"/>
      <c r="H407" s="2452"/>
    </row>
    <row r="408" spans="1:8" s="396" customFormat="1">
      <c r="A408" s="2191"/>
      <c r="B408" s="1567"/>
      <c r="C408" s="2429"/>
      <c r="D408" s="2450"/>
      <c r="E408" s="980"/>
      <c r="F408" s="2441"/>
      <c r="G408" s="2461"/>
      <c r="H408" s="2452"/>
    </row>
    <row r="409" spans="1:8" s="2" customFormat="1">
      <c r="A409" s="2019"/>
      <c r="B409" s="1567"/>
      <c r="C409" s="2429"/>
      <c r="D409" s="2450"/>
      <c r="E409" s="980"/>
      <c r="F409" s="2441"/>
      <c r="G409" s="2461"/>
      <c r="H409" s="2452"/>
    </row>
    <row r="410" spans="1:8" s="2" customFormat="1">
      <c r="A410" s="2019"/>
      <c r="B410" s="1567"/>
      <c r="C410" s="2429"/>
      <c r="D410" s="2450"/>
      <c r="E410" s="980"/>
      <c r="F410" s="2441"/>
      <c r="G410" s="2461"/>
      <c r="H410" s="2452"/>
    </row>
    <row r="411" spans="1:8" s="2" customFormat="1">
      <c r="A411" s="2019"/>
      <c r="B411" s="1567"/>
      <c r="C411" s="2429"/>
      <c r="D411" s="2450"/>
      <c r="E411" s="980"/>
      <c r="F411" s="2441"/>
      <c r="G411" s="2461"/>
      <c r="H411" s="2452"/>
    </row>
    <row r="412" spans="1:8" s="2" customFormat="1">
      <c r="A412" s="2019"/>
      <c r="B412" s="1567"/>
      <c r="C412" s="2429"/>
      <c r="D412" s="2450"/>
      <c r="E412" s="980"/>
      <c r="F412" s="2441"/>
      <c r="G412" s="2461"/>
      <c r="H412" s="2452"/>
    </row>
    <row r="413" spans="1:8" s="2" customFormat="1">
      <c r="A413" s="2019"/>
      <c r="B413" s="1567"/>
      <c r="C413" s="2429"/>
      <c r="D413" s="2450"/>
      <c r="E413" s="980"/>
      <c r="F413" s="2441"/>
      <c r="G413" s="2461"/>
      <c r="H413" s="2452"/>
    </row>
    <row r="414" spans="1:8" s="2" customFormat="1">
      <c r="A414" s="2019"/>
      <c r="B414" s="1567"/>
      <c r="C414" s="2429"/>
      <c r="D414" s="2450"/>
      <c r="E414" s="980"/>
      <c r="F414" s="2441"/>
      <c r="G414" s="2461"/>
      <c r="H414" s="2452"/>
    </row>
    <row r="415" spans="1:8" s="2" customFormat="1">
      <c r="A415" s="2019"/>
      <c r="B415" s="1567"/>
      <c r="C415" s="2429"/>
      <c r="D415" s="2450"/>
      <c r="E415" s="980"/>
      <c r="F415" s="2441"/>
      <c r="G415" s="2461"/>
      <c r="H415" s="2452"/>
    </row>
    <row r="416" spans="1:8" s="2" customFormat="1">
      <c r="A416" s="2019"/>
      <c r="B416" s="1567"/>
      <c r="C416" s="2429"/>
      <c r="D416" s="2450"/>
      <c r="E416" s="980"/>
      <c r="F416" s="2441"/>
      <c r="G416" s="2461"/>
      <c r="H416" s="2452"/>
    </row>
    <row r="417" spans="1:8" s="2" customFormat="1">
      <c r="A417" s="2019"/>
      <c r="B417" s="1567"/>
      <c r="C417" s="2429"/>
      <c r="D417" s="2450"/>
      <c r="E417" s="980"/>
      <c r="F417" s="2441"/>
      <c r="G417" s="2461"/>
      <c r="H417" s="2452"/>
    </row>
    <row r="418" spans="1:8" s="2" customFormat="1">
      <c r="A418" s="2019"/>
      <c r="B418" s="1567"/>
      <c r="C418" s="2429"/>
      <c r="D418" s="2450"/>
      <c r="E418" s="980"/>
      <c r="F418" s="2441"/>
      <c r="G418" s="2461"/>
      <c r="H418" s="2452"/>
    </row>
    <row r="419" spans="1:8" s="2" customFormat="1">
      <c r="A419" s="2019"/>
      <c r="B419" s="1567"/>
      <c r="C419" s="2429"/>
      <c r="D419" s="2450"/>
      <c r="E419" s="980"/>
      <c r="F419" s="2441"/>
      <c r="G419" s="2461"/>
      <c r="H419" s="2452"/>
    </row>
    <row r="420" spans="1:8" s="2" customFormat="1">
      <c r="A420" s="2019"/>
      <c r="B420" s="1567"/>
      <c r="C420" s="2429"/>
      <c r="D420" s="2450"/>
      <c r="E420" s="980"/>
      <c r="F420" s="2441"/>
      <c r="G420" s="2461"/>
      <c r="H420" s="2452"/>
    </row>
    <row r="421" spans="1:8" s="2" customFormat="1">
      <c r="A421" s="2019"/>
      <c r="B421" s="1567"/>
      <c r="C421" s="2429"/>
      <c r="D421" s="2450"/>
      <c r="E421" s="980"/>
      <c r="F421" s="2441"/>
      <c r="G421" s="2461"/>
      <c r="H421" s="2452"/>
    </row>
    <row r="422" spans="1:8" s="2" customFormat="1">
      <c r="A422" s="2019"/>
      <c r="B422" s="1567"/>
      <c r="C422" s="2429"/>
      <c r="D422" s="2450"/>
      <c r="E422" s="980"/>
      <c r="F422" s="2441"/>
      <c r="G422" s="2461"/>
      <c r="H422" s="2452"/>
    </row>
    <row r="423" spans="1:8" s="2" customFormat="1">
      <c r="A423" s="2019"/>
      <c r="B423" s="1567"/>
      <c r="C423" s="2429"/>
      <c r="D423" s="2450"/>
      <c r="E423" s="980"/>
      <c r="F423" s="2441"/>
      <c r="G423" s="2461"/>
      <c r="H423" s="2452"/>
    </row>
    <row r="424" spans="1:8" s="2" customFormat="1">
      <c r="A424" s="2019"/>
      <c r="B424" s="1567"/>
      <c r="C424" s="2429"/>
      <c r="D424" s="2450"/>
      <c r="E424" s="980"/>
      <c r="F424" s="2441"/>
      <c r="G424" s="2461"/>
      <c r="H424" s="2452"/>
    </row>
    <row r="425" spans="1:8" s="2" customFormat="1">
      <c r="A425" s="2019"/>
      <c r="B425" s="1567"/>
      <c r="C425" s="2429"/>
      <c r="D425" s="2450"/>
      <c r="E425" s="980"/>
      <c r="F425" s="2441"/>
      <c r="G425" s="2461"/>
      <c r="H425" s="2452"/>
    </row>
    <row r="426" spans="1:8" s="2" customFormat="1">
      <c r="A426" s="2019"/>
      <c r="B426" s="1567"/>
      <c r="C426" s="2429"/>
      <c r="D426" s="2450"/>
      <c r="E426" s="980"/>
      <c r="F426" s="2441"/>
      <c r="G426" s="2461"/>
      <c r="H426" s="2452"/>
    </row>
    <row r="427" spans="1:8" s="2" customFormat="1">
      <c r="A427" s="2019"/>
      <c r="B427" s="1567"/>
      <c r="C427" s="2429"/>
      <c r="D427" s="2450"/>
      <c r="E427" s="980"/>
      <c r="F427" s="2441"/>
      <c r="G427" s="2461"/>
      <c r="H427" s="2452"/>
    </row>
    <row r="428" spans="1:8" s="2" customFormat="1">
      <c r="A428" s="2019"/>
      <c r="B428" s="1567"/>
      <c r="C428" s="2429"/>
      <c r="D428" s="2450"/>
      <c r="E428" s="980"/>
      <c r="F428" s="2441"/>
      <c r="G428" s="2461"/>
      <c r="H428" s="2452"/>
    </row>
    <row r="429" spans="1:8" s="2" customFormat="1">
      <c r="A429" s="2019"/>
      <c r="B429" s="1567"/>
      <c r="C429" s="2429"/>
      <c r="D429" s="2450"/>
      <c r="E429" s="980"/>
      <c r="F429" s="2441"/>
      <c r="G429" s="2461"/>
      <c r="H429" s="2452"/>
    </row>
    <row r="430" spans="1:8" s="2" customFormat="1">
      <c r="A430" s="2019"/>
      <c r="B430" s="1567"/>
      <c r="C430" s="2429"/>
      <c r="D430" s="2450"/>
      <c r="E430" s="980"/>
      <c r="F430" s="2441"/>
      <c r="G430" s="2461"/>
      <c r="H430" s="2452"/>
    </row>
    <row r="431" spans="1:8" s="2" customFormat="1">
      <c r="A431" s="2019"/>
      <c r="B431" s="1567"/>
      <c r="C431" s="2429"/>
      <c r="D431" s="2450"/>
      <c r="E431" s="980"/>
      <c r="F431" s="2441"/>
      <c r="G431" s="2461"/>
      <c r="H431" s="2452"/>
    </row>
    <row r="432" spans="1:8" s="2" customFormat="1">
      <c r="A432" s="2019"/>
      <c r="B432" s="1567"/>
      <c r="C432" s="2429"/>
      <c r="D432" s="2450"/>
      <c r="E432" s="980"/>
      <c r="F432" s="2441"/>
      <c r="G432" s="2461"/>
      <c r="H432" s="2452"/>
    </row>
    <row r="433" spans="1:8" s="2" customFormat="1">
      <c r="A433" s="2019"/>
      <c r="B433" s="1567"/>
      <c r="C433" s="2429"/>
      <c r="D433" s="2450"/>
      <c r="E433" s="980"/>
      <c r="F433" s="2441"/>
      <c r="G433" s="2461"/>
      <c r="H433" s="2452"/>
    </row>
    <row r="434" spans="1:8" s="2" customFormat="1">
      <c r="A434" s="2019"/>
      <c r="B434" s="1567"/>
      <c r="C434" s="2429"/>
      <c r="D434" s="2450"/>
      <c r="E434" s="980"/>
      <c r="F434" s="2441"/>
      <c r="G434" s="2461"/>
      <c r="H434" s="2452"/>
    </row>
    <row r="435" spans="1:8" s="2" customFormat="1">
      <c r="A435" s="2019"/>
      <c r="B435" s="1567"/>
      <c r="C435" s="2429"/>
      <c r="D435" s="2450"/>
      <c r="E435" s="980"/>
      <c r="F435" s="2441"/>
      <c r="G435" s="2461"/>
      <c r="H435" s="2452"/>
    </row>
    <row r="436" spans="1:8" s="2" customFormat="1">
      <c r="A436" s="2019"/>
      <c r="B436" s="1567"/>
      <c r="C436" s="2429"/>
      <c r="D436" s="2450"/>
      <c r="E436" s="980"/>
      <c r="F436" s="2441"/>
      <c r="G436" s="2461"/>
      <c r="H436" s="2452"/>
    </row>
    <row r="437" spans="1:8" s="2" customFormat="1">
      <c r="A437" s="2019"/>
      <c r="B437" s="1567"/>
      <c r="C437" s="2429"/>
      <c r="D437" s="2450"/>
      <c r="E437" s="980"/>
      <c r="F437" s="2441"/>
      <c r="G437" s="2461"/>
      <c r="H437" s="2452"/>
    </row>
    <row r="438" spans="1:8" s="2" customFormat="1">
      <c r="A438" s="2019"/>
      <c r="B438" s="1567"/>
      <c r="C438" s="2429"/>
      <c r="D438" s="2450"/>
      <c r="E438" s="980"/>
      <c r="F438" s="2441"/>
      <c r="G438" s="2461"/>
      <c r="H438" s="2452"/>
    </row>
    <row r="439" spans="1:8" s="2" customFormat="1">
      <c r="A439" s="2019"/>
      <c r="B439" s="1567"/>
      <c r="C439" s="2429"/>
      <c r="D439" s="2450"/>
      <c r="E439" s="980"/>
      <c r="F439" s="2441"/>
      <c r="G439" s="2461"/>
      <c r="H439" s="2452"/>
    </row>
    <row r="440" spans="1:8" s="2" customFormat="1">
      <c r="A440" s="2019"/>
      <c r="B440" s="1567"/>
      <c r="C440" s="2429"/>
      <c r="D440" s="2450"/>
      <c r="E440" s="980"/>
      <c r="F440" s="2441"/>
      <c r="G440" s="2461"/>
      <c r="H440" s="2452"/>
    </row>
    <row r="441" spans="1:8" s="2" customFormat="1">
      <c r="A441" s="2019"/>
      <c r="B441" s="1567"/>
      <c r="C441" s="2429"/>
      <c r="D441" s="2450"/>
      <c r="E441" s="980"/>
      <c r="F441" s="2441"/>
      <c r="G441" s="2461"/>
      <c r="H441" s="2452"/>
    </row>
    <row r="442" spans="1:8" s="2" customFormat="1">
      <c r="A442" s="2019"/>
      <c r="B442" s="1567"/>
      <c r="C442" s="2429"/>
      <c r="D442" s="2450"/>
      <c r="E442" s="980"/>
      <c r="F442" s="2441"/>
      <c r="G442" s="2461"/>
      <c r="H442" s="2452"/>
    </row>
    <row r="443" spans="1:8" s="2" customFormat="1">
      <c r="A443" s="2019"/>
      <c r="B443" s="1567"/>
      <c r="C443" s="2429"/>
      <c r="D443" s="2450"/>
      <c r="E443" s="980"/>
      <c r="F443" s="2441"/>
      <c r="G443" s="2461"/>
      <c r="H443" s="2452"/>
    </row>
    <row r="444" spans="1:8" s="2" customFormat="1">
      <c r="A444" s="2019"/>
      <c r="B444" s="1567"/>
      <c r="C444" s="2429"/>
      <c r="D444" s="2450"/>
      <c r="E444" s="980"/>
      <c r="F444" s="2441"/>
      <c r="G444" s="2461"/>
      <c r="H444" s="2452"/>
    </row>
    <row r="445" spans="1:8" s="2" customFormat="1">
      <c r="A445" s="2019"/>
      <c r="B445" s="1567"/>
      <c r="C445" s="2429"/>
      <c r="D445" s="2450"/>
      <c r="E445" s="980"/>
      <c r="F445" s="2441"/>
      <c r="G445" s="2461"/>
      <c r="H445" s="2452"/>
    </row>
    <row r="446" spans="1:8" s="2" customFormat="1">
      <c r="A446" s="2019"/>
      <c r="B446" s="1567"/>
      <c r="C446" s="2429"/>
      <c r="D446" s="2450"/>
      <c r="E446" s="980"/>
      <c r="F446" s="2441"/>
      <c r="G446" s="2461"/>
      <c r="H446" s="2452"/>
    </row>
    <row r="447" spans="1:8" s="2" customFormat="1">
      <c r="A447" s="2019"/>
      <c r="B447" s="1567"/>
      <c r="C447" s="2429"/>
      <c r="D447" s="2450"/>
      <c r="E447" s="980"/>
      <c r="F447" s="2441"/>
      <c r="G447" s="2461"/>
      <c r="H447" s="2452"/>
    </row>
    <row r="448" spans="1:8" s="2" customFormat="1">
      <c r="A448" s="2019"/>
      <c r="B448" s="1567"/>
      <c r="C448" s="2429"/>
      <c r="D448" s="2450"/>
      <c r="E448" s="980"/>
      <c r="F448" s="2441"/>
      <c r="G448" s="2461"/>
      <c r="H448" s="2452"/>
    </row>
    <row r="449" spans="1:8" s="2" customFormat="1">
      <c r="A449" s="2019"/>
      <c r="B449" s="1567"/>
      <c r="C449" s="2429"/>
      <c r="D449" s="2450"/>
      <c r="E449" s="980"/>
      <c r="F449" s="2441"/>
      <c r="G449" s="2461"/>
      <c r="H449" s="2452"/>
    </row>
    <row r="450" spans="1:8" s="2" customFormat="1">
      <c r="A450" s="2019"/>
      <c r="B450" s="1567"/>
      <c r="C450" s="2429"/>
      <c r="D450" s="2450"/>
      <c r="E450" s="980"/>
      <c r="F450" s="2441"/>
      <c r="G450" s="2461"/>
      <c r="H450" s="2452"/>
    </row>
    <row r="451" spans="1:8" s="2" customFormat="1">
      <c r="A451" s="2019"/>
      <c r="B451" s="1567"/>
      <c r="C451" s="2429"/>
      <c r="D451" s="2450"/>
      <c r="E451" s="980"/>
      <c r="F451" s="2441"/>
      <c r="G451" s="2461"/>
      <c r="H451" s="2452"/>
    </row>
    <row r="452" spans="1:8" s="2" customFormat="1">
      <c r="A452" s="2019"/>
      <c r="B452" s="1567"/>
      <c r="C452" s="2429"/>
      <c r="D452" s="2450"/>
      <c r="E452" s="980"/>
      <c r="F452" s="2441"/>
      <c r="G452" s="2461"/>
      <c r="H452" s="2452"/>
    </row>
    <row r="453" spans="1:8" s="2" customFormat="1">
      <c r="A453" s="2019"/>
      <c r="B453" s="1567"/>
      <c r="C453" s="2429"/>
      <c r="D453" s="2450"/>
      <c r="E453" s="980"/>
      <c r="F453" s="2441"/>
      <c r="G453" s="2461"/>
      <c r="H453" s="2452"/>
    </row>
    <row r="454" spans="1:8" s="2" customFormat="1">
      <c r="A454" s="2019"/>
      <c r="B454" s="1567"/>
      <c r="C454" s="2429"/>
      <c r="D454" s="2450"/>
      <c r="E454" s="980"/>
      <c r="F454" s="2441"/>
      <c r="G454" s="2461"/>
      <c r="H454" s="2452"/>
    </row>
    <row r="455" spans="1:8" s="2" customFormat="1">
      <c r="A455" s="2019"/>
      <c r="B455" s="1567"/>
      <c r="C455" s="2429"/>
      <c r="D455" s="2450"/>
      <c r="E455" s="980"/>
      <c r="F455" s="2441"/>
      <c r="G455" s="2461"/>
      <c r="H455" s="2452"/>
    </row>
    <row r="456" spans="1:8" s="2" customFormat="1">
      <c r="A456" s="2019"/>
      <c r="B456" s="1567"/>
      <c r="C456" s="2429"/>
      <c r="D456" s="2450"/>
      <c r="E456" s="980"/>
      <c r="F456" s="2441"/>
      <c r="G456" s="2461"/>
      <c r="H456" s="2452"/>
    </row>
    <row r="457" spans="1:8" s="2" customFormat="1">
      <c r="A457" s="2019"/>
      <c r="B457" s="1567"/>
      <c r="C457" s="2429"/>
      <c r="D457" s="2450"/>
      <c r="E457" s="980"/>
      <c r="F457" s="2441"/>
      <c r="G457" s="2461"/>
      <c r="H457" s="2452"/>
    </row>
    <row r="458" spans="1:8" s="2" customFormat="1">
      <c r="A458" s="2019"/>
      <c r="B458" s="1567"/>
      <c r="C458" s="2429"/>
      <c r="D458" s="2450"/>
      <c r="E458" s="980"/>
      <c r="F458" s="2441"/>
      <c r="G458" s="2461"/>
      <c r="H458" s="2452"/>
    </row>
    <row r="459" spans="1:8" s="2" customFormat="1">
      <c r="A459" s="2019"/>
      <c r="B459" s="1567"/>
      <c r="C459" s="2429"/>
      <c r="D459" s="2450"/>
      <c r="E459" s="980"/>
      <c r="F459" s="2441"/>
      <c r="G459" s="2461"/>
      <c r="H459" s="2452"/>
    </row>
    <row r="460" spans="1:8">
      <c r="A460" s="2383"/>
      <c r="B460" s="1567"/>
      <c r="C460" s="2429"/>
      <c r="D460" s="2450"/>
      <c r="E460" s="980"/>
      <c r="F460" s="2441"/>
      <c r="G460" s="2461"/>
      <c r="H460" s="2452"/>
    </row>
    <row r="461" spans="1:8">
      <c r="A461" s="2383"/>
      <c r="B461" s="1567"/>
      <c r="C461" s="2429"/>
      <c r="D461" s="2450"/>
      <c r="E461" s="980"/>
      <c r="F461" s="2441"/>
      <c r="G461" s="2461"/>
      <c r="H461" s="2452"/>
    </row>
    <row r="462" spans="1:8">
      <c r="A462" s="2383"/>
      <c r="B462" s="1567"/>
      <c r="C462" s="2429"/>
      <c r="D462" s="2450"/>
      <c r="E462" s="980"/>
      <c r="F462" s="2441"/>
      <c r="G462" s="2461"/>
      <c r="H462" s="2452"/>
    </row>
    <row r="463" spans="1:8">
      <c r="A463" s="2383"/>
      <c r="B463" s="1567"/>
      <c r="C463" s="2429"/>
      <c r="D463" s="2450"/>
      <c r="E463" s="980"/>
      <c r="F463" s="2441"/>
      <c r="G463" s="2461"/>
      <c r="H463" s="2452"/>
    </row>
    <row r="464" spans="1:8">
      <c r="A464" s="2383"/>
      <c r="B464" s="1567"/>
      <c r="C464" s="2429"/>
      <c r="D464" s="2450"/>
      <c r="E464" s="980"/>
      <c r="F464" s="2441"/>
      <c r="G464" s="2461"/>
      <c r="H464" s="2452"/>
    </row>
    <row r="465" spans="1:8">
      <c r="A465" s="2383"/>
      <c r="B465" s="1567"/>
      <c r="C465" s="2429"/>
      <c r="D465" s="2450"/>
      <c r="E465" s="980"/>
      <c r="F465" s="2441"/>
      <c r="G465" s="2461"/>
      <c r="H465" s="2452"/>
    </row>
    <row r="466" spans="1:8">
      <c r="A466" s="2383"/>
      <c r="B466" s="1567"/>
      <c r="C466" s="2429"/>
      <c r="D466" s="2450"/>
      <c r="E466" s="980"/>
      <c r="F466" s="2441"/>
      <c r="G466" s="2461"/>
      <c r="H466" s="2452"/>
    </row>
    <row r="467" spans="1:8">
      <c r="A467" s="2383"/>
      <c r="B467" s="1567"/>
      <c r="C467" s="2429"/>
      <c r="D467" s="2450"/>
      <c r="E467" s="980"/>
      <c r="F467" s="2441"/>
      <c r="G467" s="2461"/>
      <c r="H467" s="2452"/>
    </row>
    <row r="468" spans="1:8">
      <c r="A468" s="2383"/>
      <c r="B468" s="1567"/>
      <c r="C468" s="2429"/>
      <c r="D468" s="2450"/>
      <c r="E468" s="980"/>
      <c r="F468" s="2441"/>
      <c r="G468" s="2461"/>
      <c r="H468" s="2452"/>
    </row>
    <row r="469" spans="1:8">
      <c r="A469" s="2383"/>
      <c r="B469" s="1550"/>
      <c r="C469" s="1565"/>
      <c r="D469" s="1559"/>
      <c r="E469" s="1261"/>
      <c r="F469" s="1882"/>
      <c r="G469" s="1542"/>
      <c r="H469" s="2190"/>
    </row>
    <row r="470" spans="1:8">
      <c r="A470" s="2383"/>
      <c r="B470" s="1550"/>
      <c r="C470" s="1565"/>
      <c r="D470" s="1559"/>
      <c r="E470" s="1261"/>
      <c r="F470" s="1882"/>
      <c r="G470" s="1542"/>
      <c r="H470" s="2190"/>
    </row>
    <row r="471" spans="1:8">
      <c r="A471" s="1754"/>
      <c r="B471" s="428"/>
      <c r="C471" s="502"/>
      <c r="D471" s="429"/>
      <c r="E471" s="503"/>
      <c r="F471" s="504"/>
      <c r="G471" s="1417"/>
      <c r="H471" s="2499"/>
    </row>
    <row r="472" spans="1:8">
      <c r="A472" s="2380"/>
      <c r="B472" s="316"/>
      <c r="C472" s="490"/>
      <c r="D472" s="491" t="s">
        <v>1454</v>
      </c>
      <c r="E472" s="505"/>
      <c r="F472" s="506"/>
      <c r="G472" s="1418"/>
      <c r="H472" s="2500">
        <f>SUM(H389:H470)</f>
        <v>1242067</v>
      </c>
    </row>
    <row r="475" spans="1:8">
      <c r="H475" s="693"/>
    </row>
  </sheetData>
  <sheetProtection algorithmName="SHA-512" hashValue="9nOH8oTQ2/0zamjWjdHfff4m/n2rCbk8QRfyNZzRJokFi9ZWVjd7Gf/ddc6Y0VMFfpO12Hv7d7jqeL/HLH6fpQ==" saltValue="R9mdHhdwWQEX0kNv4shhXw==" spinCount="100000" sheet="1" objects="1" scenarios="1"/>
  <mergeCells count="1">
    <mergeCell ref="A1:H1"/>
  </mergeCells>
  <phoneticPr fontId="33" type="noConversion"/>
  <pageMargins left="0.59055118110236227" right="0.59055118110236227" top="1.1023622047244095" bottom="0.78740157480314965" header="0.27559055118110237" footer="0.27559055118110237"/>
  <pageSetup paperSize="9" scale="64" firstPageNumber="82" fitToHeight="0" orientation="portrait" useFirstPageNumber="1" r:id="rId1"/>
  <headerFooter alignWithMargins="0">
    <oddHeader>&amp;L&amp;G&amp;CContract JW 14425
Bushkoppie Wastewater Treatment Works:
Infrastructure Renewal Plan
Volume 1 
C 2.2 Bill of Quantities&amp;R&amp;G</oddHeader>
    <oddFooter>&amp;C&amp;12
&amp;G
C.&amp;P</oddFooter>
  </headerFooter>
  <rowBreaks count="5" manualBreakCount="5">
    <brk id="80" max="16383" man="1"/>
    <brk id="155" max="16383" man="1"/>
    <brk id="235" max="16383" man="1"/>
    <brk id="312" max="16383" man="1"/>
    <brk id="388" max="16383"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4C2CC-EF0A-40C0-8D82-F4804EC876E3}">
  <sheetPr codeName="Sheet12">
    <pageSetUpPr fitToPage="1"/>
  </sheetPr>
  <dimension ref="A1:H162"/>
  <sheetViews>
    <sheetView view="pageBreakPreview" zoomScaleNormal="100" zoomScaleSheetLayoutView="100" workbookViewId="0">
      <selection activeCell="G18" sqref="G18"/>
    </sheetView>
  </sheetViews>
  <sheetFormatPr defaultColWidth="6.109375" defaultRowHeight="13.2"/>
  <cols>
    <col min="1" max="1" width="9.109375" style="8" customWidth="1"/>
    <col min="2" max="2" width="8.88671875" style="9" customWidth="1"/>
    <col min="3" max="3" width="9.88671875" style="9" customWidth="1"/>
    <col min="4" max="4" width="58.88671875" style="2" customWidth="1"/>
    <col min="5" max="5" width="8.88671875" style="9" customWidth="1"/>
    <col min="6" max="6" width="10.88671875" style="9" customWidth="1"/>
    <col min="7" max="7" width="14.88671875" style="319" customWidth="1"/>
    <col min="8" max="8" width="20.88671875" style="2" customWidth="1"/>
    <col min="9" max="11" width="6.109375" style="2"/>
    <col min="12" max="15" width="6.109375" style="2" customWidth="1"/>
    <col min="16" max="16384" width="6.109375" style="2"/>
  </cols>
  <sheetData>
    <row r="1" spans="1:8" s="5" customFormat="1" ht="15">
      <c r="A1" s="3035" t="s">
        <v>1609</v>
      </c>
      <c r="B1" s="3035"/>
      <c r="C1" s="3035"/>
      <c r="D1" s="3035"/>
      <c r="E1" s="3035"/>
      <c r="F1" s="3035"/>
      <c r="G1" s="3035"/>
      <c r="H1" s="3035"/>
    </row>
    <row r="2" spans="1:8" s="1" customFormat="1" ht="25.5" customHeight="1">
      <c r="A2" s="488" t="s">
        <v>541</v>
      </c>
      <c r="B2" s="452" t="s">
        <v>217</v>
      </c>
      <c r="C2" s="453" t="s">
        <v>218</v>
      </c>
      <c r="D2" s="417" t="s">
        <v>219</v>
      </c>
      <c r="E2" s="414" t="s">
        <v>220</v>
      </c>
      <c r="F2" s="454" t="s">
        <v>221</v>
      </c>
      <c r="G2" s="455" t="s">
        <v>222</v>
      </c>
      <c r="H2" s="494" t="s">
        <v>223</v>
      </c>
    </row>
    <row r="3" spans="1:8">
      <c r="A3" s="2019"/>
      <c r="B3" s="1550"/>
      <c r="C3" s="2168"/>
      <c r="D3" s="2501"/>
      <c r="E3" s="1882"/>
      <c r="F3" s="1550"/>
      <c r="G3" s="1538"/>
      <c r="H3" s="2166"/>
    </row>
    <row r="4" spans="1:8" ht="13.8">
      <c r="A4" s="2069">
        <v>11</v>
      </c>
      <c r="B4" s="1774">
        <v>1</v>
      </c>
      <c r="C4" s="2168"/>
      <c r="D4" s="2502" t="s">
        <v>1610</v>
      </c>
      <c r="E4" s="1882"/>
      <c r="F4" s="1550"/>
      <c r="G4" s="1538"/>
      <c r="H4" s="2166"/>
    </row>
    <row r="5" spans="1:8">
      <c r="A5" s="2019"/>
      <c r="B5" s="1550"/>
      <c r="C5" s="2168"/>
      <c r="D5" s="2501"/>
      <c r="E5" s="1882"/>
      <c r="F5" s="1550"/>
      <c r="G5" s="1538"/>
      <c r="H5" s="2166"/>
    </row>
    <row r="6" spans="1:8" s="12" customFormat="1" ht="26.4">
      <c r="A6" s="1763"/>
      <c r="B6" s="1753" t="s">
        <v>543</v>
      </c>
      <c r="C6" s="2503" t="s">
        <v>1611</v>
      </c>
      <c r="D6" s="1879" t="s">
        <v>1612</v>
      </c>
      <c r="E6" s="2504"/>
      <c r="F6" s="2505"/>
      <c r="G6" s="1817"/>
      <c r="H6" s="2506"/>
    </row>
    <row r="7" spans="1:8" ht="12.75" customHeight="1">
      <c r="A7" s="2019"/>
      <c r="B7" s="1667"/>
      <c r="C7" s="2103"/>
      <c r="D7" s="1998"/>
      <c r="E7" s="1962"/>
      <c r="F7" s="1670"/>
      <c r="G7" s="1188"/>
      <c r="H7" s="2031"/>
    </row>
    <row r="8" spans="1:8" ht="39.6">
      <c r="A8" s="2019"/>
      <c r="B8" s="1667"/>
      <c r="C8" s="1962" t="s">
        <v>1613</v>
      </c>
      <c r="D8" s="1998" t="s">
        <v>1614</v>
      </c>
      <c r="E8" s="1962"/>
      <c r="F8" s="1670"/>
      <c r="G8" s="1188"/>
      <c r="H8" s="2031"/>
    </row>
    <row r="9" spans="1:8">
      <c r="A9" s="2019"/>
      <c r="B9" s="1667"/>
      <c r="C9" s="2103"/>
      <c r="D9" s="1998"/>
      <c r="E9" s="1962"/>
      <c r="F9" s="1670"/>
      <c r="G9" s="1188"/>
      <c r="H9" s="2031"/>
    </row>
    <row r="10" spans="1:8">
      <c r="A10" s="2019"/>
      <c r="B10" s="1667"/>
      <c r="C10" s="2103"/>
      <c r="D10" s="2000" t="s">
        <v>1615</v>
      </c>
      <c r="E10" s="1962"/>
      <c r="F10" s="1670"/>
      <c r="G10" s="1188"/>
      <c r="H10" s="1560"/>
    </row>
    <row r="11" spans="1:8">
      <c r="A11" s="2019"/>
      <c r="B11" s="1667"/>
      <c r="C11" s="2103"/>
      <c r="D11" s="2000"/>
      <c r="E11" s="1962"/>
      <c r="F11" s="1670"/>
      <c r="G11" s="1188"/>
      <c r="H11" s="1560"/>
    </row>
    <row r="12" spans="1:8">
      <c r="A12" s="2019">
        <f>$A$4</f>
        <v>11</v>
      </c>
      <c r="B12" s="1667">
        <v>1.1000000000000001</v>
      </c>
      <c r="C12" s="2103"/>
      <c r="D12" s="2507" t="s">
        <v>1616</v>
      </c>
      <c r="E12" s="1962" t="s">
        <v>561</v>
      </c>
      <c r="F12" s="1670">
        <v>170</v>
      </c>
      <c r="G12" s="1189"/>
      <c r="H12" s="1501">
        <f t="shared" ref="H12:H74" si="0">IF(E12="","",ROUND(F12*G12,2))</f>
        <v>0</v>
      </c>
    </row>
    <row r="13" spans="1:8">
      <c r="A13" s="2019"/>
      <c r="B13" s="1667"/>
      <c r="C13" s="2103"/>
      <c r="D13" s="2346"/>
      <c r="E13" s="1962"/>
      <c r="F13" s="1670"/>
      <c r="G13" s="1189"/>
      <c r="H13" s="1501" t="str">
        <f t="shared" si="0"/>
        <v/>
      </c>
    </row>
    <row r="14" spans="1:8">
      <c r="A14" s="2019">
        <f>$A$4</f>
        <v>11</v>
      </c>
      <c r="B14" s="1667">
        <v>1.2</v>
      </c>
      <c r="C14" s="2103"/>
      <c r="D14" s="2346" t="s">
        <v>1617</v>
      </c>
      <c r="E14" s="1962" t="s">
        <v>561</v>
      </c>
      <c r="F14" s="1670">
        <v>208</v>
      </c>
      <c r="G14" s="1189"/>
      <c r="H14" s="1501">
        <f t="shared" si="0"/>
        <v>0</v>
      </c>
    </row>
    <row r="15" spans="1:8">
      <c r="A15" s="2019"/>
      <c r="B15" s="1667"/>
      <c r="C15" s="2103"/>
      <c r="D15" s="2000"/>
      <c r="E15" s="1962"/>
      <c r="F15" s="1670"/>
      <c r="G15" s="1189"/>
      <c r="H15" s="1501" t="str">
        <f t="shared" si="0"/>
        <v/>
      </c>
    </row>
    <row r="16" spans="1:8" s="1420" customFormat="1" ht="14.4">
      <c r="A16" s="2508"/>
      <c r="B16" s="2509"/>
      <c r="C16" s="2510" t="s">
        <v>779</v>
      </c>
      <c r="D16" s="2511" t="s">
        <v>1618</v>
      </c>
      <c r="E16" s="2512"/>
      <c r="F16" s="2512"/>
      <c r="G16" s="2513"/>
      <c r="H16" s="1501" t="str">
        <f t="shared" si="0"/>
        <v/>
      </c>
    </row>
    <row r="17" spans="1:8" s="1420" customFormat="1" ht="14.4">
      <c r="A17" s="2508"/>
      <c r="B17" s="2514"/>
      <c r="C17" s="1573"/>
      <c r="D17" s="2515"/>
      <c r="E17" s="2516"/>
      <c r="F17" s="2516"/>
      <c r="G17" s="2517"/>
      <c r="H17" s="1501" t="str">
        <f t="shared" si="0"/>
        <v/>
      </c>
    </row>
    <row r="18" spans="1:8" s="1420" customFormat="1" ht="15.6">
      <c r="A18" s="2019">
        <f>$A$4</f>
        <v>11</v>
      </c>
      <c r="B18" s="1667">
        <v>1.3</v>
      </c>
      <c r="C18" s="2510" t="s">
        <v>1619</v>
      </c>
      <c r="D18" s="2518" t="s">
        <v>634</v>
      </c>
      <c r="E18" s="2512" t="s">
        <v>631</v>
      </c>
      <c r="F18" s="2512">
        <v>149</v>
      </c>
      <c r="G18" s="2513"/>
      <c r="H18" s="1501">
        <f t="shared" si="0"/>
        <v>0</v>
      </c>
    </row>
    <row r="19" spans="1:8" s="1420" customFormat="1" ht="14.4">
      <c r="A19" s="2508"/>
      <c r="B19" s="2514"/>
      <c r="C19" s="1573"/>
      <c r="D19" s="2515"/>
      <c r="E19" s="2516"/>
      <c r="F19" s="2516"/>
      <c r="G19" s="2517"/>
      <c r="H19" s="1501" t="str">
        <f t="shared" si="0"/>
        <v/>
      </c>
    </row>
    <row r="20" spans="1:8" s="1420" customFormat="1" ht="15.6">
      <c r="A20" s="2019">
        <f>$A$4</f>
        <v>11</v>
      </c>
      <c r="B20" s="1667">
        <v>1.4</v>
      </c>
      <c r="C20" s="2510" t="s">
        <v>1620</v>
      </c>
      <c r="D20" s="2518" t="s">
        <v>635</v>
      </c>
      <c r="E20" s="2512" t="s">
        <v>631</v>
      </c>
      <c r="F20" s="2512">
        <v>104</v>
      </c>
      <c r="G20" s="2513"/>
      <c r="H20" s="1501">
        <f t="shared" si="0"/>
        <v>0</v>
      </c>
    </row>
    <row r="21" spans="1:8" s="1420" customFormat="1" ht="12.75" customHeight="1">
      <c r="A21" s="2508"/>
      <c r="B21" s="1696"/>
      <c r="C21" s="2510"/>
      <c r="D21" s="2518"/>
      <c r="E21" s="2512"/>
      <c r="F21" s="2512"/>
      <c r="G21" s="2513"/>
      <c r="H21" s="1501" t="str">
        <f t="shared" si="0"/>
        <v/>
      </c>
    </row>
    <row r="22" spans="1:8" s="1420" customFormat="1" ht="14.4">
      <c r="A22" s="2508"/>
      <c r="B22" s="1696"/>
      <c r="C22" s="2519"/>
      <c r="D22" s="2151" t="s">
        <v>1621</v>
      </c>
      <c r="E22" s="1830"/>
      <c r="F22" s="1830"/>
      <c r="G22" s="2520"/>
      <c r="H22" s="1501" t="str">
        <f t="shared" si="0"/>
        <v/>
      </c>
    </row>
    <row r="23" spans="1:8" s="1420" customFormat="1" ht="12.75" customHeight="1">
      <c r="A23" s="2508"/>
      <c r="B23" s="2514"/>
      <c r="C23" s="1573"/>
      <c r="D23" s="2515"/>
      <c r="E23" s="2516"/>
      <c r="F23" s="2516"/>
      <c r="G23" s="2517"/>
      <c r="H23" s="1501" t="str">
        <f t="shared" si="0"/>
        <v/>
      </c>
    </row>
    <row r="24" spans="1:8" s="1420" customFormat="1" ht="14.4">
      <c r="A24" s="2019">
        <f>$A$4</f>
        <v>11</v>
      </c>
      <c r="B24" s="1696">
        <v>1.5</v>
      </c>
      <c r="C24" s="2150" t="s">
        <v>1622</v>
      </c>
      <c r="D24" s="2152" t="s">
        <v>1623</v>
      </c>
      <c r="E24" s="1830" t="s">
        <v>508</v>
      </c>
      <c r="F24" s="2521">
        <v>10</v>
      </c>
      <c r="G24" s="2520"/>
      <c r="H24" s="1501">
        <f t="shared" si="0"/>
        <v>0</v>
      </c>
    </row>
    <row r="25" spans="1:8" s="1420" customFormat="1" ht="12.75" customHeight="1">
      <c r="A25" s="2508"/>
      <c r="B25" s="2514"/>
      <c r="C25" s="1573"/>
      <c r="D25" s="2515"/>
      <c r="E25" s="2516"/>
      <c r="F25" s="2516"/>
      <c r="G25" s="2517"/>
      <c r="H25" s="1501" t="str">
        <f t="shared" si="0"/>
        <v/>
      </c>
    </row>
    <row r="26" spans="1:8" s="1420" customFormat="1" ht="12.75" customHeight="1">
      <c r="A26" s="2019">
        <f>$A$4</f>
        <v>11</v>
      </c>
      <c r="B26" s="1696">
        <v>1.6</v>
      </c>
      <c r="C26" s="2150" t="s">
        <v>1624</v>
      </c>
      <c r="D26" s="2152" t="s">
        <v>1625</v>
      </c>
      <c r="E26" s="1830" t="s">
        <v>644</v>
      </c>
      <c r="F26" s="2521">
        <v>50</v>
      </c>
      <c r="G26" s="2520"/>
      <c r="H26" s="1501">
        <f t="shared" si="0"/>
        <v>0</v>
      </c>
    </row>
    <row r="27" spans="1:8" s="1420" customFormat="1" ht="12.75" customHeight="1">
      <c r="A27" s="2508"/>
      <c r="B27" s="2514"/>
      <c r="C27" s="1573"/>
      <c r="D27" s="2515"/>
      <c r="E27" s="2516"/>
      <c r="F27" s="2516"/>
      <c r="G27" s="2517"/>
      <c r="H27" s="1501" t="str">
        <f t="shared" si="0"/>
        <v/>
      </c>
    </row>
    <row r="28" spans="1:8" s="1420" customFormat="1" ht="12.75" customHeight="1">
      <c r="A28" s="2508"/>
      <c r="B28" s="1696"/>
      <c r="C28" s="2150" t="s">
        <v>1595</v>
      </c>
      <c r="D28" s="2151" t="s">
        <v>503</v>
      </c>
      <c r="E28" s="1830"/>
      <c r="F28" s="1830"/>
      <c r="G28" s="2520"/>
      <c r="H28" s="1501" t="str">
        <f t="shared" si="0"/>
        <v/>
      </c>
    </row>
    <row r="29" spans="1:8" s="1420" customFormat="1" ht="12.75" customHeight="1">
      <c r="A29" s="2508"/>
      <c r="B29" s="2514"/>
      <c r="C29" s="1573"/>
      <c r="D29" s="2515"/>
      <c r="E29" s="2516"/>
      <c r="F29" s="2516"/>
      <c r="G29" s="2517"/>
      <c r="H29" s="1501" t="str">
        <f t="shared" si="0"/>
        <v/>
      </c>
    </row>
    <row r="30" spans="1:8" s="1420" customFormat="1" ht="12.75" customHeight="1">
      <c r="A30" s="2508"/>
      <c r="B30" s="1696"/>
      <c r="C30" s="2150" t="s">
        <v>1626</v>
      </c>
      <c r="D30" s="2522" t="s">
        <v>1627</v>
      </c>
      <c r="E30" s="1830"/>
      <c r="F30" s="1830"/>
      <c r="G30" s="2520"/>
      <c r="H30" s="1501" t="str">
        <f t="shared" si="0"/>
        <v/>
      </c>
    </row>
    <row r="31" spans="1:8" s="1420" customFormat="1" ht="12.75" customHeight="1">
      <c r="A31" s="2508"/>
      <c r="B31" s="2514"/>
      <c r="C31" s="1573"/>
      <c r="D31" s="2515"/>
      <c r="E31" s="2516"/>
      <c r="F31" s="2516"/>
      <c r="G31" s="2517"/>
      <c r="H31" s="1501" t="str">
        <f t="shared" si="0"/>
        <v/>
      </c>
    </row>
    <row r="32" spans="1:8" s="1420" customFormat="1" ht="12.75" customHeight="1">
      <c r="A32" s="2019">
        <f>$A$4</f>
        <v>11</v>
      </c>
      <c r="B32" s="1696">
        <v>1.7</v>
      </c>
      <c r="C32" s="2519"/>
      <c r="D32" s="2152" t="s">
        <v>1628</v>
      </c>
      <c r="E32" s="1830" t="s">
        <v>273</v>
      </c>
      <c r="F32" s="1830">
        <v>5</v>
      </c>
      <c r="G32" s="2520"/>
      <c r="H32" s="1501">
        <f t="shared" si="0"/>
        <v>0</v>
      </c>
    </row>
    <row r="33" spans="1:8" s="1420" customFormat="1" ht="12.75" customHeight="1">
      <c r="A33" s="2508"/>
      <c r="B33" s="2514"/>
      <c r="C33" s="1573"/>
      <c r="D33" s="2515"/>
      <c r="E33" s="2516"/>
      <c r="F33" s="2516"/>
      <c r="G33" s="2517"/>
      <c r="H33" s="1501" t="str">
        <f t="shared" si="0"/>
        <v/>
      </c>
    </row>
    <row r="34" spans="1:8" s="1420" customFormat="1" ht="12.75" customHeight="1">
      <c r="A34" s="2019">
        <f>$A$4</f>
        <v>11</v>
      </c>
      <c r="B34" s="1696">
        <v>1.8</v>
      </c>
      <c r="C34" s="2519"/>
      <c r="D34" s="2152" t="s">
        <v>1629</v>
      </c>
      <c r="E34" s="1830" t="s">
        <v>273</v>
      </c>
      <c r="F34" s="1830">
        <v>5</v>
      </c>
      <c r="G34" s="2520"/>
      <c r="H34" s="1501">
        <f t="shared" si="0"/>
        <v>0</v>
      </c>
    </row>
    <row r="35" spans="1:8" s="1420" customFormat="1" ht="12.75" customHeight="1">
      <c r="A35" s="2508"/>
      <c r="B35" s="2514"/>
      <c r="C35" s="1573"/>
      <c r="D35" s="2515"/>
      <c r="E35" s="2516"/>
      <c r="F35" s="2516"/>
      <c r="G35" s="2517"/>
      <c r="H35" s="1501" t="str">
        <f t="shared" si="0"/>
        <v/>
      </c>
    </row>
    <row r="36" spans="1:8" s="1420" customFormat="1" ht="12.75" customHeight="1">
      <c r="A36" s="2019">
        <f>$A$4</f>
        <v>11</v>
      </c>
      <c r="B36" s="1696">
        <v>1.9</v>
      </c>
      <c r="C36" s="2519"/>
      <c r="D36" s="2523" t="s">
        <v>1630</v>
      </c>
      <c r="E36" s="1830" t="s">
        <v>273</v>
      </c>
      <c r="F36" s="1830">
        <v>5</v>
      </c>
      <c r="G36" s="2520"/>
      <c r="H36" s="1501">
        <f t="shared" si="0"/>
        <v>0</v>
      </c>
    </row>
    <row r="37" spans="1:8" s="1420" customFormat="1" ht="12.75" customHeight="1">
      <c r="A37" s="2508"/>
      <c r="B37" s="2514"/>
      <c r="C37" s="1573"/>
      <c r="D37" s="2515"/>
      <c r="E37" s="2516"/>
      <c r="F37" s="2516"/>
      <c r="G37" s="2517"/>
      <c r="H37" s="1501" t="str">
        <f t="shared" si="0"/>
        <v/>
      </c>
    </row>
    <row r="38" spans="1:8" s="1420" customFormat="1" ht="12.75" customHeight="1">
      <c r="A38" s="2508"/>
      <c r="B38" s="1696"/>
      <c r="C38" s="2150" t="s">
        <v>1631</v>
      </c>
      <c r="D38" s="2151" t="s">
        <v>1632</v>
      </c>
      <c r="E38" s="1830"/>
      <c r="F38" s="1830"/>
      <c r="G38" s="2520"/>
      <c r="H38" s="1501" t="str">
        <f t="shared" si="0"/>
        <v/>
      </c>
    </row>
    <row r="39" spans="1:8" s="1420" customFormat="1" ht="12.75" customHeight="1">
      <c r="A39" s="2508"/>
      <c r="B39" s="2514"/>
      <c r="C39" s="1573"/>
      <c r="D39" s="2515"/>
      <c r="E39" s="2516"/>
      <c r="F39" s="2516"/>
      <c r="G39" s="2517"/>
      <c r="H39" s="1501" t="str">
        <f t="shared" si="0"/>
        <v/>
      </c>
    </row>
    <row r="40" spans="1:8" s="1420" customFormat="1" ht="12.75" customHeight="1">
      <c r="A40" s="2019">
        <f>$A$4</f>
        <v>11</v>
      </c>
      <c r="B40" s="2524">
        <v>1.1000000000000001</v>
      </c>
      <c r="C40" s="2519"/>
      <c r="D40" s="2523" t="s">
        <v>1628</v>
      </c>
      <c r="E40" s="1830" t="s">
        <v>561</v>
      </c>
      <c r="F40" s="1830">
        <v>150</v>
      </c>
      <c r="G40" s="2520"/>
      <c r="H40" s="1501">
        <f t="shared" si="0"/>
        <v>0</v>
      </c>
    </row>
    <row r="41" spans="1:8" s="1420" customFormat="1" ht="12.75" customHeight="1">
      <c r="A41" s="2508"/>
      <c r="B41" s="2514"/>
      <c r="C41" s="1573"/>
      <c r="D41" s="2515"/>
      <c r="E41" s="2516"/>
      <c r="F41" s="2516"/>
      <c r="G41" s="2517"/>
      <c r="H41" s="1501" t="str">
        <f t="shared" si="0"/>
        <v/>
      </c>
    </row>
    <row r="42" spans="1:8" s="1420" customFormat="1" ht="12.75" customHeight="1">
      <c r="A42" s="2019">
        <f>$A$4</f>
        <v>11</v>
      </c>
      <c r="B42" s="1696">
        <v>1.1100000000000001</v>
      </c>
      <c r="C42" s="2519"/>
      <c r="D42" s="2523" t="s">
        <v>1629</v>
      </c>
      <c r="E42" s="1830" t="s">
        <v>561</v>
      </c>
      <c r="F42" s="1830">
        <v>150</v>
      </c>
      <c r="G42" s="2520"/>
      <c r="H42" s="1501">
        <f t="shared" si="0"/>
        <v>0</v>
      </c>
    </row>
    <row r="43" spans="1:8" s="1420" customFormat="1" ht="12.75" customHeight="1">
      <c r="A43" s="2508"/>
      <c r="B43" s="2514"/>
      <c r="C43" s="1573"/>
      <c r="D43" s="2515"/>
      <c r="E43" s="2516"/>
      <c r="F43" s="2516"/>
      <c r="G43" s="2517"/>
      <c r="H43" s="1501" t="str">
        <f t="shared" si="0"/>
        <v/>
      </c>
    </row>
    <row r="44" spans="1:8" s="1420" customFormat="1" ht="12.75" customHeight="1">
      <c r="A44" s="2019">
        <f>$A$4</f>
        <v>11</v>
      </c>
      <c r="B44" s="1696">
        <v>1.1200000000000001</v>
      </c>
      <c r="C44" s="2138"/>
      <c r="D44" s="2523" t="s">
        <v>1630</v>
      </c>
      <c r="E44" s="1830" t="s">
        <v>561</v>
      </c>
      <c r="F44" s="1830">
        <v>150</v>
      </c>
      <c r="G44" s="2520"/>
      <c r="H44" s="1501">
        <f t="shared" si="0"/>
        <v>0</v>
      </c>
    </row>
    <row r="45" spans="1:8" s="1420" customFormat="1" ht="12.75" customHeight="1">
      <c r="A45" s="2508"/>
      <c r="B45" s="2514"/>
      <c r="C45" s="1573"/>
      <c r="D45" s="2515"/>
      <c r="E45" s="2516"/>
      <c r="F45" s="2516"/>
      <c r="G45" s="2517"/>
      <c r="H45" s="1501" t="str">
        <f t="shared" si="0"/>
        <v/>
      </c>
    </row>
    <row r="46" spans="1:8" s="1420" customFormat="1" ht="26.4">
      <c r="A46" s="2508"/>
      <c r="B46" s="2525" t="s">
        <v>549</v>
      </c>
      <c r="C46" s="2526" t="s">
        <v>1633</v>
      </c>
      <c r="D46" s="2527" t="s">
        <v>1634</v>
      </c>
      <c r="E46" s="2512"/>
      <c r="F46" s="2512"/>
      <c r="G46" s="2513"/>
      <c r="H46" s="1501" t="str">
        <f t="shared" si="0"/>
        <v/>
      </c>
    </row>
    <row r="47" spans="1:8" s="1420" customFormat="1" ht="12.75" customHeight="1">
      <c r="A47" s="2508"/>
      <c r="B47" s="2514"/>
      <c r="C47" s="1573"/>
      <c r="D47" s="2515"/>
      <c r="E47" s="2516"/>
      <c r="F47" s="2516"/>
      <c r="G47" s="2517"/>
      <c r="H47" s="1501" t="str">
        <f t="shared" si="0"/>
        <v/>
      </c>
    </row>
    <row r="48" spans="1:8" s="1420" customFormat="1" ht="26.4">
      <c r="A48" s="2508"/>
      <c r="B48" s="2509"/>
      <c r="C48" s="2510" t="s">
        <v>1635</v>
      </c>
      <c r="D48" s="2518" t="s">
        <v>1636</v>
      </c>
      <c r="E48" s="2512"/>
      <c r="F48" s="2512"/>
      <c r="G48" s="2513"/>
      <c r="H48" s="1501" t="str">
        <f t="shared" si="0"/>
        <v/>
      </c>
    </row>
    <row r="49" spans="1:8" s="1420" customFormat="1" ht="12.75" customHeight="1">
      <c r="A49" s="2508"/>
      <c r="B49" s="2514"/>
      <c r="C49" s="1573"/>
      <c r="D49" s="2515"/>
      <c r="E49" s="2516"/>
      <c r="F49" s="2516"/>
      <c r="G49" s="2517"/>
      <c r="H49" s="1501" t="str">
        <f t="shared" si="0"/>
        <v/>
      </c>
    </row>
    <row r="50" spans="1:8" s="1420" customFormat="1" ht="12.75" customHeight="1">
      <c r="A50" s="2019">
        <f>$A$4</f>
        <v>11</v>
      </c>
      <c r="B50" s="2514">
        <v>1.1299999999999999</v>
      </c>
      <c r="C50" s="1573" t="s">
        <v>1637</v>
      </c>
      <c r="D50" s="2515" t="s">
        <v>1638</v>
      </c>
      <c r="E50" s="2516" t="s">
        <v>631</v>
      </c>
      <c r="F50" s="2516">
        <v>170</v>
      </c>
      <c r="G50" s="2517"/>
      <c r="H50" s="1501">
        <f t="shared" si="0"/>
        <v>0</v>
      </c>
    </row>
    <row r="51" spans="1:8" s="1420" customFormat="1" ht="12.75" customHeight="1">
      <c r="A51" s="2508"/>
      <c r="B51" s="2514"/>
      <c r="C51" s="1573"/>
      <c r="D51" s="2515"/>
      <c r="E51" s="2516"/>
      <c r="F51" s="2516"/>
      <c r="G51" s="2517"/>
      <c r="H51" s="1501" t="str">
        <f t="shared" si="0"/>
        <v/>
      </c>
    </row>
    <row r="52" spans="1:8" s="1420" customFormat="1" ht="12.75" customHeight="1">
      <c r="A52" s="2019">
        <f>$A$4</f>
        <v>11</v>
      </c>
      <c r="B52" s="2514">
        <v>1.1399999999999999</v>
      </c>
      <c r="C52" s="1573" t="s">
        <v>1631</v>
      </c>
      <c r="D52" s="2515" t="s">
        <v>1639</v>
      </c>
      <c r="E52" s="2516" t="s">
        <v>631</v>
      </c>
      <c r="F52" s="2516">
        <v>285</v>
      </c>
      <c r="G52" s="2517"/>
      <c r="H52" s="1501">
        <f t="shared" si="0"/>
        <v>0</v>
      </c>
    </row>
    <row r="53" spans="1:8" s="1420" customFormat="1" ht="12.75" customHeight="1">
      <c r="A53" s="2508"/>
      <c r="B53" s="2514"/>
      <c r="C53" s="1573"/>
      <c r="D53" s="2515"/>
      <c r="E53" s="2516"/>
      <c r="F53" s="2516"/>
      <c r="G53" s="2517"/>
      <c r="H53" s="1501" t="str">
        <f t="shared" si="0"/>
        <v/>
      </c>
    </row>
    <row r="54" spans="1:8" s="1420" customFormat="1" ht="12.75" customHeight="1">
      <c r="A54" s="2508"/>
      <c r="B54" s="2514"/>
      <c r="C54" s="1573" t="s">
        <v>1640</v>
      </c>
      <c r="D54" s="2515" t="s">
        <v>1641</v>
      </c>
      <c r="E54" s="2516"/>
      <c r="F54" s="2516"/>
      <c r="G54" s="2517"/>
      <c r="H54" s="1501" t="str">
        <f t="shared" si="0"/>
        <v/>
      </c>
    </row>
    <row r="55" spans="1:8" s="1420" customFormat="1" ht="12.75" customHeight="1">
      <c r="A55" s="2508"/>
      <c r="B55" s="2514"/>
      <c r="C55" s="1573"/>
      <c r="D55" s="2515"/>
      <c r="E55" s="2516"/>
      <c r="F55" s="2516"/>
      <c r="G55" s="2517"/>
      <c r="H55" s="1501" t="str">
        <f t="shared" si="0"/>
        <v/>
      </c>
    </row>
    <row r="56" spans="1:8" s="1420" customFormat="1" ht="12.75" customHeight="1">
      <c r="A56" s="2019">
        <f>$A$4</f>
        <v>11</v>
      </c>
      <c r="B56" s="2528">
        <v>1.1499999999999999</v>
      </c>
      <c r="C56" s="1573" t="s">
        <v>1637</v>
      </c>
      <c r="D56" s="2515" t="s">
        <v>1638</v>
      </c>
      <c r="E56" s="2516" t="s">
        <v>631</v>
      </c>
      <c r="F56" s="2516">
        <v>170</v>
      </c>
      <c r="G56" s="2529"/>
      <c r="H56" s="1501">
        <f t="shared" si="0"/>
        <v>0</v>
      </c>
    </row>
    <row r="57" spans="1:8" s="1420" customFormat="1" ht="12.75" customHeight="1">
      <c r="A57" s="2508"/>
      <c r="B57" s="2514"/>
      <c r="C57" s="1573"/>
      <c r="D57" s="2515"/>
      <c r="E57" s="2516"/>
      <c r="F57" s="2516"/>
      <c r="G57" s="2517"/>
      <c r="H57" s="1501" t="str">
        <f t="shared" si="0"/>
        <v/>
      </c>
    </row>
    <row r="58" spans="1:8" s="1420" customFormat="1" ht="12.75" customHeight="1">
      <c r="A58" s="2019">
        <f>$A$4</f>
        <v>11</v>
      </c>
      <c r="B58" s="2528">
        <v>1.1599999999999999</v>
      </c>
      <c r="C58" s="1573" t="s">
        <v>1631</v>
      </c>
      <c r="D58" s="2515" t="s">
        <v>1639</v>
      </c>
      <c r="E58" s="2516" t="s">
        <v>631</v>
      </c>
      <c r="F58" s="2516">
        <v>285</v>
      </c>
      <c r="G58" s="2517"/>
      <c r="H58" s="1501">
        <f t="shared" si="0"/>
        <v>0</v>
      </c>
    </row>
    <row r="59" spans="1:8" s="1420" customFormat="1" ht="12.75" customHeight="1">
      <c r="A59" s="2508"/>
      <c r="B59" s="2514"/>
      <c r="C59" s="1573"/>
      <c r="D59" s="2515"/>
      <c r="E59" s="2516"/>
      <c r="F59" s="2516"/>
      <c r="G59" s="2517"/>
      <c r="H59" s="1501" t="str">
        <f t="shared" si="0"/>
        <v/>
      </c>
    </row>
    <row r="60" spans="1:8" ht="12.75" customHeight="1">
      <c r="A60" s="2019"/>
      <c r="B60" s="1774" t="s">
        <v>558</v>
      </c>
      <c r="C60" s="2530" t="s">
        <v>1642</v>
      </c>
      <c r="D60" s="2531" t="s">
        <v>1643</v>
      </c>
      <c r="E60" s="1866"/>
      <c r="F60" s="1866"/>
      <c r="G60" s="2532"/>
      <c r="H60" s="1501" t="str">
        <f t="shared" si="0"/>
        <v/>
      </c>
    </row>
    <row r="61" spans="1:8" ht="12.75" customHeight="1">
      <c r="A61" s="2019"/>
      <c r="B61" s="1550"/>
      <c r="C61" s="2168"/>
      <c r="D61" s="2501"/>
      <c r="E61" s="1882"/>
      <c r="F61" s="1550"/>
      <c r="G61" s="1538"/>
      <c r="H61" s="1501" t="str">
        <f t="shared" si="0"/>
        <v/>
      </c>
    </row>
    <row r="62" spans="1:8" s="1420" customFormat="1" ht="12.75" customHeight="1">
      <c r="A62" s="2508"/>
      <c r="B62" s="2514"/>
      <c r="C62" s="1573" t="s">
        <v>546</v>
      </c>
      <c r="D62" s="2515" t="s">
        <v>1644</v>
      </c>
      <c r="E62" s="2516"/>
      <c r="F62" s="2516"/>
      <c r="G62" s="2517"/>
      <c r="H62" s="1501" t="str">
        <f t="shared" si="0"/>
        <v/>
      </c>
    </row>
    <row r="63" spans="1:8" s="1420" customFormat="1" ht="12.75" customHeight="1">
      <c r="A63" s="2508"/>
      <c r="B63" s="2514"/>
      <c r="C63" s="1573"/>
      <c r="D63" s="2515"/>
      <c r="E63" s="2516"/>
      <c r="F63" s="2516"/>
      <c r="G63" s="2517"/>
      <c r="H63" s="1501" t="str">
        <f t="shared" si="0"/>
        <v/>
      </c>
    </row>
    <row r="64" spans="1:8" s="1420" customFormat="1" ht="12.75" customHeight="1">
      <c r="A64" s="2019">
        <f>$A$4</f>
        <v>11</v>
      </c>
      <c r="B64" s="2514">
        <v>1.17</v>
      </c>
      <c r="C64" s="1573"/>
      <c r="D64" s="2515" t="s">
        <v>1645</v>
      </c>
      <c r="E64" s="2516" t="s">
        <v>561</v>
      </c>
      <c r="F64" s="2516">
        <v>377</v>
      </c>
      <c r="G64" s="2517"/>
      <c r="H64" s="1501">
        <f t="shared" si="0"/>
        <v>0</v>
      </c>
    </row>
    <row r="65" spans="1:8" s="1420" customFormat="1" ht="12.75" customHeight="1">
      <c r="A65" s="2508"/>
      <c r="B65" s="2514"/>
      <c r="C65" s="1573"/>
      <c r="D65" s="2515"/>
      <c r="E65" s="2516"/>
      <c r="F65" s="2516"/>
      <c r="G65" s="2517"/>
      <c r="H65" s="1501" t="str">
        <f t="shared" si="0"/>
        <v/>
      </c>
    </row>
    <row r="66" spans="1:8" s="1420" customFormat="1" ht="12.75" customHeight="1">
      <c r="A66" s="2019">
        <f>$A$4</f>
        <v>11</v>
      </c>
      <c r="B66" s="2514">
        <v>1.18</v>
      </c>
      <c r="C66" s="1573"/>
      <c r="D66" s="2515" t="s">
        <v>1646</v>
      </c>
      <c r="E66" s="2512" t="s">
        <v>230</v>
      </c>
      <c r="F66" s="2516">
        <v>1</v>
      </c>
      <c r="G66" s="2517"/>
      <c r="H66" s="1501">
        <f t="shared" si="0"/>
        <v>0</v>
      </c>
    </row>
    <row r="67" spans="1:8" s="1420" customFormat="1" ht="12.75" customHeight="1">
      <c r="A67" s="2019"/>
      <c r="B67" s="2514"/>
      <c r="C67" s="1573"/>
      <c r="D67" s="2515"/>
      <c r="E67" s="2512"/>
      <c r="F67" s="2516"/>
      <c r="G67" s="2517"/>
      <c r="H67" s="1501" t="str">
        <f t="shared" si="0"/>
        <v/>
      </c>
    </row>
    <row r="68" spans="1:8" s="1420" customFormat="1" ht="12.75" customHeight="1">
      <c r="A68" s="2019"/>
      <c r="B68" s="2514"/>
      <c r="C68" s="1573"/>
      <c r="D68" s="2515"/>
      <c r="E68" s="2512"/>
      <c r="F68" s="2516"/>
      <c r="G68" s="2517"/>
      <c r="H68" s="1501" t="str">
        <f t="shared" si="0"/>
        <v/>
      </c>
    </row>
    <row r="69" spans="1:8" s="370" customFormat="1">
      <c r="A69" s="1946"/>
      <c r="B69" s="1882"/>
      <c r="C69" s="1550" t="s">
        <v>1647</v>
      </c>
      <c r="D69" s="2360" t="s">
        <v>1648</v>
      </c>
      <c r="E69" s="1882"/>
      <c r="F69" s="1882"/>
      <c r="G69" s="1546"/>
      <c r="H69" s="1501" t="str">
        <f t="shared" si="0"/>
        <v/>
      </c>
    </row>
    <row r="70" spans="1:8" s="370" customFormat="1">
      <c r="A70" s="1946"/>
      <c r="B70" s="1842"/>
      <c r="C70" s="1550"/>
      <c r="D70" s="2533"/>
      <c r="E70" s="1842"/>
      <c r="F70" s="1842"/>
      <c r="G70" s="2174"/>
      <c r="H70" s="1501" t="str">
        <f t="shared" si="0"/>
        <v/>
      </c>
    </row>
    <row r="71" spans="1:8" s="320" customFormat="1" ht="26.4">
      <c r="A71" s="2019">
        <f>$A$4</f>
        <v>11</v>
      </c>
      <c r="B71" s="1667">
        <v>1.19</v>
      </c>
      <c r="C71" s="1550" t="s">
        <v>624</v>
      </c>
      <c r="D71" s="1840" t="s">
        <v>1649</v>
      </c>
      <c r="E71" s="1261" t="s">
        <v>252</v>
      </c>
      <c r="F71" s="1261">
        <v>1</v>
      </c>
      <c r="G71" s="1869">
        <v>500000</v>
      </c>
      <c r="H71" s="1501">
        <f t="shared" si="0"/>
        <v>500000</v>
      </c>
    </row>
    <row r="72" spans="1:8">
      <c r="A72" s="2019"/>
      <c r="B72" s="1667"/>
      <c r="C72" s="1550"/>
      <c r="D72" s="1840"/>
      <c r="E72" s="1818"/>
      <c r="F72" s="1261"/>
      <c r="G72" s="1536"/>
      <c r="H72" s="1501" t="str">
        <f t="shared" si="0"/>
        <v/>
      </c>
    </row>
    <row r="73" spans="1:8">
      <c r="A73" s="2019">
        <f>$A$4</f>
        <v>11</v>
      </c>
      <c r="B73" s="2534">
        <v>1.2</v>
      </c>
      <c r="C73" s="1550"/>
      <c r="D73" s="694" t="s">
        <v>1650</v>
      </c>
      <c r="E73" s="1261" t="s">
        <v>252</v>
      </c>
      <c r="F73" s="1261">
        <v>1</v>
      </c>
      <c r="G73" s="1869">
        <v>198467</v>
      </c>
      <c r="H73" s="1501">
        <f t="shared" si="0"/>
        <v>198467</v>
      </c>
    </row>
    <row r="74" spans="1:8" s="1420" customFormat="1" ht="12.75" customHeight="1">
      <c r="A74" s="2019"/>
      <c r="B74" s="2514"/>
      <c r="C74" s="1573"/>
      <c r="D74" s="2515"/>
      <c r="E74" s="2512"/>
      <c r="F74" s="2516"/>
      <c r="G74" s="2517"/>
      <c r="H74" s="1501" t="str">
        <f t="shared" si="0"/>
        <v/>
      </c>
    </row>
    <row r="75" spans="1:8" s="1420" customFormat="1" ht="12.75" customHeight="1">
      <c r="A75" s="2508"/>
      <c r="B75" s="1696"/>
      <c r="C75" s="1573"/>
      <c r="D75" s="2515"/>
      <c r="E75" s="2516"/>
      <c r="F75" s="2516"/>
      <c r="G75" s="2517"/>
      <c r="H75" s="1421"/>
    </row>
    <row r="76" spans="1:8" s="1420" customFormat="1" ht="12.75" customHeight="1">
      <c r="A76" s="2508"/>
      <c r="B76" s="1696"/>
      <c r="C76" s="1573"/>
      <c r="D76" s="2515"/>
      <c r="E76" s="2516"/>
      <c r="F76" s="2516"/>
      <c r="G76" s="2517"/>
      <c r="H76" s="1421"/>
    </row>
    <row r="77" spans="1:8" s="1420" customFormat="1" ht="12.75" customHeight="1">
      <c r="A77" s="2508"/>
      <c r="B77" s="1696"/>
      <c r="C77" s="1573"/>
      <c r="D77" s="2515"/>
      <c r="E77" s="2516"/>
      <c r="F77" s="2516"/>
      <c r="G77" s="2517"/>
      <c r="H77" s="1421"/>
    </row>
    <row r="78" spans="1:8" s="1420" customFormat="1" ht="12.75" customHeight="1">
      <c r="A78" s="2508"/>
      <c r="B78" s="1696"/>
      <c r="C78" s="1573"/>
      <c r="D78" s="2515"/>
      <c r="E78" s="2516"/>
      <c r="F78" s="2516"/>
      <c r="G78" s="2517"/>
      <c r="H78" s="1421"/>
    </row>
    <row r="79" spans="1:8" ht="12.75" customHeight="1">
      <c r="A79" s="2019"/>
      <c r="B79" s="1696"/>
      <c r="C79" s="1573"/>
      <c r="D79" s="2515"/>
      <c r="E79" s="2516"/>
      <c r="F79" s="2516"/>
      <c r="G79" s="2517"/>
      <c r="H79" s="1421"/>
    </row>
    <row r="80" spans="1:8" ht="12.75" customHeight="1">
      <c r="A80" s="2019"/>
      <c r="B80" s="2514"/>
      <c r="C80" s="1573"/>
      <c r="D80" s="2515"/>
      <c r="E80" s="2516"/>
      <c r="F80" s="2516"/>
      <c r="G80" s="2517"/>
      <c r="H80" s="1421"/>
    </row>
    <row r="81" spans="1:8" ht="12.75" customHeight="1">
      <c r="A81" s="2019"/>
      <c r="B81" s="2514"/>
      <c r="C81" s="1573"/>
      <c r="D81" s="2515"/>
      <c r="E81" s="2516"/>
      <c r="F81" s="2516"/>
      <c r="G81" s="2517"/>
      <c r="H81" s="1421"/>
    </row>
    <row r="82" spans="1:8">
      <c r="A82" s="2156"/>
      <c r="B82" s="806"/>
      <c r="C82" s="872"/>
      <c r="D82" s="872"/>
      <c r="E82" s="800"/>
      <c r="F82" s="800"/>
      <c r="G82" s="2535"/>
      <c r="H82" s="2158"/>
    </row>
    <row r="83" spans="1:8" s="326" customFormat="1">
      <c r="A83" s="2536"/>
      <c r="B83" s="807"/>
      <c r="C83" s="423"/>
      <c r="D83" s="413" t="s">
        <v>289</v>
      </c>
      <c r="E83" s="425"/>
      <c r="F83" s="425"/>
      <c r="G83" s="1298"/>
      <c r="H83" s="2537">
        <f>SUM(H3:H81)</f>
        <v>698467</v>
      </c>
    </row>
    <row r="84" spans="1:8" s="320" customFormat="1">
      <c r="A84" s="2171"/>
      <c r="B84" s="2192"/>
      <c r="C84" s="2193"/>
      <c r="D84" s="2162" t="s">
        <v>290</v>
      </c>
      <c r="E84" s="2192"/>
      <c r="F84" s="2192"/>
      <c r="G84" s="2194"/>
      <c r="H84" s="2538">
        <f>H83</f>
        <v>698467</v>
      </c>
    </row>
    <row r="85" spans="1:8" s="12" customFormat="1">
      <c r="A85" s="1763"/>
      <c r="B85" s="1842"/>
      <c r="C85" s="1842"/>
      <c r="D85" s="2539"/>
      <c r="E85" s="1971"/>
      <c r="F85" s="1842"/>
      <c r="G85" s="2174"/>
      <c r="H85" s="2540"/>
    </row>
    <row r="86" spans="1:8">
      <c r="A86" s="2019">
        <f>$A$4</f>
        <v>11</v>
      </c>
      <c r="B86" s="1774">
        <v>2</v>
      </c>
      <c r="C86" s="1550"/>
      <c r="D86" s="2061" t="s">
        <v>891</v>
      </c>
      <c r="E86" s="1783"/>
      <c r="F86" s="1550"/>
      <c r="G86" s="1538"/>
      <c r="H86" s="2166"/>
    </row>
    <row r="87" spans="1:8">
      <c r="A87" s="2019"/>
      <c r="B87" s="1550"/>
      <c r="C87" s="1550"/>
      <c r="D87" s="2165"/>
      <c r="E87" s="1783"/>
      <c r="F87" s="1550"/>
      <c r="G87" s="1538"/>
      <c r="H87" s="2166"/>
    </row>
    <row r="88" spans="1:8" ht="12.75" customHeight="1">
      <c r="A88" s="2019"/>
      <c r="B88" s="1753" t="s">
        <v>543</v>
      </c>
      <c r="C88" s="1766" t="s">
        <v>1611</v>
      </c>
      <c r="D88" s="1773" t="s">
        <v>893</v>
      </c>
      <c r="E88" s="1669"/>
      <c r="F88" s="1670"/>
      <c r="G88" s="1812"/>
      <c r="H88" s="2214"/>
    </row>
    <row r="89" spans="1:8" s="12" customFormat="1">
      <c r="A89" s="1763"/>
      <c r="B89" s="1550"/>
      <c r="C89" s="1550"/>
      <c r="D89" s="2165"/>
      <c r="E89" s="1669"/>
      <c r="F89" s="1670"/>
      <c r="G89" s="1188"/>
      <c r="H89" s="2031"/>
    </row>
    <row r="90" spans="1:8">
      <c r="A90" s="2019">
        <f>$A$4</f>
        <v>11</v>
      </c>
      <c r="B90" s="1667">
        <v>2.1</v>
      </c>
      <c r="C90" s="2029" t="s">
        <v>1651</v>
      </c>
      <c r="D90" s="2030" t="s">
        <v>1652</v>
      </c>
      <c r="E90" s="1550" t="s">
        <v>561</v>
      </c>
      <c r="F90" s="1670">
        <v>30</v>
      </c>
      <c r="G90" s="1189"/>
      <c r="H90" s="1501">
        <f t="shared" ref="H90:H138" si="1">IF(E90="","",ROUND(F90*G90,2))</f>
        <v>0</v>
      </c>
    </row>
    <row r="91" spans="1:8">
      <c r="A91" s="2019"/>
      <c r="B91" s="1667"/>
      <c r="C91" s="1550"/>
      <c r="D91" s="2165"/>
      <c r="E91" s="1550"/>
      <c r="F91" s="1670"/>
      <c r="G91" s="1189"/>
      <c r="H91" s="1501" t="str">
        <f t="shared" si="1"/>
        <v/>
      </c>
    </row>
    <row r="92" spans="1:8" ht="26.4">
      <c r="A92" s="2019"/>
      <c r="B92" s="1753" t="s">
        <v>549</v>
      </c>
      <c r="C92" s="1766" t="s">
        <v>1611</v>
      </c>
      <c r="D92" s="1773" t="s">
        <v>1612</v>
      </c>
      <c r="E92" s="1669"/>
      <c r="F92" s="1670"/>
      <c r="G92" s="1812"/>
      <c r="H92" s="1501" t="str">
        <f t="shared" si="1"/>
        <v/>
      </c>
    </row>
    <row r="93" spans="1:8">
      <c r="A93" s="2019"/>
      <c r="B93" s="1550"/>
      <c r="C93" s="1550"/>
      <c r="D93" s="2165"/>
      <c r="E93" s="1783"/>
      <c r="F93" s="1550"/>
      <c r="G93" s="1538"/>
      <c r="H93" s="1501" t="str">
        <f t="shared" si="1"/>
        <v/>
      </c>
    </row>
    <row r="94" spans="1:8" ht="39.6">
      <c r="A94" s="2019"/>
      <c r="B94" s="1550"/>
      <c r="C94" s="1550" t="s">
        <v>1613</v>
      </c>
      <c r="D94" s="2061" t="s">
        <v>1614</v>
      </c>
      <c r="E94" s="1783"/>
      <c r="F94" s="1550"/>
      <c r="G94" s="1538"/>
      <c r="H94" s="1501" t="str">
        <f t="shared" si="1"/>
        <v/>
      </c>
    </row>
    <row r="95" spans="1:8">
      <c r="A95" s="2019"/>
      <c r="B95" s="1550"/>
      <c r="C95" s="1550"/>
      <c r="D95" s="2165"/>
      <c r="E95" s="1783"/>
      <c r="F95" s="1550"/>
      <c r="G95" s="1538"/>
      <c r="H95" s="1501" t="str">
        <f t="shared" si="1"/>
        <v/>
      </c>
    </row>
    <row r="96" spans="1:8">
      <c r="A96" s="2019"/>
      <c r="B96" s="1550"/>
      <c r="C96" s="1550"/>
      <c r="D96" s="2165" t="s">
        <v>1615</v>
      </c>
      <c r="E96" s="1783"/>
      <c r="F96" s="1550"/>
      <c r="G96" s="1538"/>
      <c r="H96" s="1501" t="str">
        <f t="shared" si="1"/>
        <v/>
      </c>
    </row>
    <row r="97" spans="1:8">
      <c r="A97" s="2019"/>
      <c r="B97" s="1550"/>
      <c r="C97" s="1550"/>
      <c r="D97" s="2165"/>
      <c r="E97" s="1783"/>
      <c r="F97" s="1550"/>
      <c r="G97" s="1538"/>
      <c r="H97" s="1501" t="str">
        <f t="shared" si="1"/>
        <v/>
      </c>
    </row>
    <row r="98" spans="1:8">
      <c r="A98" s="2019">
        <f>$A$4</f>
        <v>11</v>
      </c>
      <c r="B98" s="1550">
        <v>2.2000000000000002</v>
      </c>
      <c r="C98" s="1550"/>
      <c r="D98" s="2165" t="s">
        <v>1616</v>
      </c>
      <c r="E98" s="1783" t="s">
        <v>561</v>
      </c>
      <c r="F98" s="1550">
        <v>5</v>
      </c>
      <c r="G98" s="2107"/>
      <c r="H98" s="1501">
        <f t="shared" si="1"/>
        <v>0</v>
      </c>
    </row>
    <row r="99" spans="1:8">
      <c r="A99" s="2019"/>
      <c r="B99" s="1550"/>
      <c r="C99" s="1550"/>
      <c r="D99" s="2165"/>
      <c r="E99" s="1783"/>
      <c r="F99" s="1550"/>
      <c r="G99" s="1538"/>
      <c r="H99" s="1501" t="str">
        <f t="shared" si="1"/>
        <v/>
      </c>
    </row>
    <row r="100" spans="1:8">
      <c r="A100" s="2019">
        <f>$A$4</f>
        <v>11</v>
      </c>
      <c r="B100" s="1550">
        <v>2.2999999999999998</v>
      </c>
      <c r="C100" s="1550"/>
      <c r="D100" s="2165" t="s">
        <v>1617</v>
      </c>
      <c r="E100" s="1783" t="s">
        <v>561</v>
      </c>
      <c r="F100" s="1550">
        <v>5</v>
      </c>
      <c r="G100" s="2107"/>
      <c r="H100" s="1501">
        <f t="shared" si="1"/>
        <v>0</v>
      </c>
    </row>
    <row r="101" spans="1:8">
      <c r="A101" s="2019"/>
      <c r="B101" s="1550"/>
      <c r="C101" s="1550"/>
      <c r="D101" s="2165"/>
      <c r="E101" s="1783"/>
      <c r="F101" s="1550"/>
      <c r="G101" s="1538"/>
      <c r="H101" s="1501" t="str">
        <f t="shared" si="1"/>
        <v/>
      </c>
    </row>
    <row r="102" spans="1:8">
      <c r="A102" s="2019">
        <f>$A$4</f>
        <v>11</v>
      </c>
      <c r="B102" s="1550">
        <v>2.4</v>
      </c>
      <c r="C102" s="1550"/>
      <c r="D102" s="2165" t="s">
        <v>1653</v>
      </c>
      <c r="E102" s="1783" t="s">
        <v>561</v>
      </c>
      <c r="F102" s="1550">
        <v>15</v>
      </c>
      <c r="G102" s="2107"/>
      <c r="H102" s="1501">
        <f t="shared" si="1"/>
        <v>0</v>
      </c>
    </row>
    <row r="103" spans="1:8">
      <c r="A103" s="2019"/>
      <c r="B103" s="1550"/>
      <c r="C103" s="1550"/>
      <c r="D103" s="2165"/>
      <c r="E103" s="1783"/>
      <c r="F103" s="1550"/>
      <c r="G103" s="1538"/>
      <c r="H103" s="1501" t="str">
        <f t="shared" si="1"/>
        <v/>
      </c>
    </row>
    <row r="104" spans="1:8">
      <c r="A104" s="2019"/>
      <c r="B104" s="1550"/>
      <c r="C104" s="1550" t="s">
        <v>779</v>
      </c>
      <c r="D104" s="2165" t="s">
        <v>1654</v>
      </c>
      <c r="E104" s="1783"/>
      <c r="F104" s="1550"/>
      <c r="G104" s="1538"/>
      <c r="H104" s="1501" t="str">
        <f t="shared" si="1"/>
        <v/>
      </c>
    </row>
    <row r="105" spans="1:8">
      <c r="A105" s="2019"/>
      <c r="B105" s="1550"/>
      <c r="C105" s="1550"/>
      <c r="D105" s="2165"/>
      <c r="E105" s="1783"/>
      <c r="F105" s="1550"/>
      <c r="G105" s="1538"/>
      <c r="H105" s="1501" t="str">
        <f t="shared" si="1"/>
        <v/>
      </c>
    </row>
    <row r="106" spans="1:8" ht="15.6">
      <c r="A106" s="2019">
        <f>$A$4</f>
        <v>11</v>
      </c>
      <c r="B106" s="1550">
        <v>2.5</v>
      </c>
      <c r="C106" s="1550" t="s">
        <v>1619</v>
      </c>
      <c r="D106" s="2165" t="s">
        <v>634</v>
      </c>
      <c r="E106" s="2512" t="s">
        <v>631</v>
      </c>
      <c r="F106" s="1550">
        <v>25</v>
      </c>
      <c r="G106" s="2107"/>
      <c r="H106" s="1501">
        <f t="shared" si="1"/>
        <v>0</v>
      </c>
    </row>
    <row r="107" spans="1:8" s="1420" customFormat="1" ht="14.4">
      <c r="A107" s="2508"/>
      <c r="B107" s="1550"/>
      <c r="C107" s="1550"/>
      <c r="D107" s="2165"/>
      <c r="E107" s="2512"/>
      <c r="F107" s="1550"/>
      <c r="G107" s="1538"/>
      <c r="H107" s="1501" t="str">
        <f t="shared" si="1"/>
        <v/>
      </c>
    </row>
    <row r="108" spans="1:8" s="1420" customFormat="1" ht="15.6">
      <c r="A108" s="2019">
        <f>$A$4</f>
        <v>11</v>
      </c>
      <c r="B108" s="1550">
        <v>2.6</v>
      </c>
      <c r="C108" s="1550" t="s">
        <v>1620</v>
      </c>
      <c r="D108" s="2165" t="s">
        <v>635</v>
      </c>
      <c r="E108" s="2512" t="s">
        <v>631</v>
      </c>
      <c r="F108" s="1550">
        <v>15</v>
      </c>
      <c r="G108" s="2107"/>
      <c r="H108" s="1501">
        <f t="shared" si="1"/>
        <v>0</v>
      </c>
    </row>
    <row r="109" spans="1:8" s="1420" customFormat="1" ht="14.4">
      <c r="A109" s="2508"/>
      <c r="B109" s="1550"/>
      <c r="C109" s="1550"/>
      <c r="D109" s="2165"/>
      <c r="E109" s="1783"/>
      <c r="F109" s="1550"/>
      <c r="G109" s="1538"/>
      <c r="H109" s="1501" t="str">
        <f t="shared" si="1"/>
        <v/>
      </c>
    </row>
    <row r="110" spans="1:8" s="1420" customFormat="1" ht="12.75" customHeight="1">
      <c r="A110" s="2508"/>
      <c r="B110" s="2525" t="s">
        <v>558</v>
      </c>
      <c r="C110" s="2526" t="s">
        <v>1633</v>
      </c>
      <c r="D110" s="2527" t="s">
        <v>1634</v>
      </c>
      <c r="E110" s="2512"/>
      <c r="F110" s="2512"/>
      <c r="G110" s="2513"/>
      <c r="H110" s="1501" t="str">
        <f t="shared" si="1"/>
        <v/>
      </c>
    </row>
    <row r="111" spans="1:8" s="1420" customFormat="1" ht="14.4">
      <c r="A111" s="2508"/>
      <c r="B111" s="2528"/>
      <c r="C111" s="1573"/>
      <c r="D111" s="2515"/>
      <c r="E111" s="2516"/>
      <c r="F111" s="2516"/>
      <c r="G111" s="2517"/>
      <c r="H111" s="1501" t="str">
        <f t="shared" si="1"/>
        <v/>
      </c>
    </row>
    <row r="112" spans="1:8" s="1420" customFormat="1" ht="26.4">
      <c r="A112" s="2508"/>
      <c r="B112" s="2509"/>
      <c r="C112" s="2510" t="s">
        <v>1635</v>
      </c>
      <c r="D112" s="2518" t="s">
        <v>1636</v>
      </c>
      <c r="E112" s="2512"/>
      <c r="F112" s="2512"/>
      <c r="G112" s="2513"/>
      <c r="H112" s="1501" t="str">
        <f t="shared" si="1"/>
        <v/>
      </c>
    </row>
    <row r="113" spans="1:8" s="1420" customFormat="1" ht="14.4">
      <c r="A113" s="2508"/>
      <c r="B113" s="2509"/>
      <c r="C113" s="2510"/>
      <c r="D113" s="2518"/>
      <c r="E113" s="2512"/>
      <c r="F113" s="2512"/>
      <c r="G113" s="2513"/>
      <c r="H113" s="1501" t="str">
        <f t="shared" si="1"/>
        <v/>
      </c>
    </row>
    <row r="114" spans="1:8" s="1420" customFormat="1" ht="15.6">
      <c r="A114" s="2019">
        <f>$A$4</f>
        <v>11</v>
      </c>
      <c r="B114" s="1667">
        <v>2.7</v>
      </c>
      <c r="C114" s="2510" t="s">
        <v>1637</v>
      </c>
      <c r="D114" s="2518" t="s">
        <v>1638</v>
      </c>
      <c r="E114" s="2512" t="s">
        <v>631</v>
      </c>
      <c r="F114" s="2541">
        <v>10</v>
      </c>
      <c r="G114" s="2542"/>
      <c r="H114" s="1501">
        <f t="shared" si="1"/>
        <v>0</v>
      </c>
    </row>
    <row r="115" spans="1:8" s="1420" customFormat="1" ht="14.4">
      <c r="A115" s="2508"/>
      <c r="B115" s="2528"/>
      <c r="C115" s="1573"/>
      <c r="D115" s="2515"/>
      <c r="E115" s="2516"/>
      <c r="F115" s="2516"/>
      <c r="G115" s="2517"/>
      <c r="H115" s="1501" t="str">
        <f t="shared" si="1"/>
        <v/>
      </c>
    </row>
    <row r="116" spans="1:8" s="1420" customFormat="1" ht="15.6">
      <c r="A116" s="2019">
        <f>$A$4</f>
        <v>11</v>
      </c>
      <c r="B116" s="1667">
        <v>2.8</v>
      </c>
      <c r="C116" s="2510" t="s">
        <v>1631</v>
      </c>
      <c r="D116" s="2518" t="s">
        <v>1639</v>
      </c>
      <c r="E116" s="2512" t="s">
        <v>631</v>
      </c>
      <c r="F116" s="2541">
        <v>15</v>
      </c>
      <c r="G116" s="2542"/>
      <c r="H116" s="1501">
        <f t="shared" si="1"/>
        <v>0</v>
      </c>
    </row>
    <row r="117" spans="1:8" s="1420" customFormat="1" ht="14.4">
      <c r="A117" s="2508"/>
      <c r="B117" s="2528"/>
      <c r="C117" s="1573"/>
      <c r="D117" s="2515"/>
      <c r="E117" s="2516"/>
      <c r="F117" s="2516"/>
      <c r="G117" s="2517"/>
      <c r="H117" s="1501" t="str">
        <f t="shared" si="1"/>
        <v/>
      </c>
    </row>
    <row r="118" spans="1:8" s="1420" customFormat="1" ht="14.4">
      <c r="A118" s="2508"/>
      <c r="B118" s="2528"/>
      <c r="C118" s="1573" t="s">
        <v>1640</v>
      </c>
      <c r="D118" s="2515" t="s">
        <v>1641</v>
      </c>
      <c r="E118" s="2516"/>
      <c r="F118" s="2516"/>
      <c r="G118" s="2517"/>
      <c r="H118" s="1501" t="str">
        <f t="shared" si="1"/>
        <v/>
      </c>
    </row>
    <row r="119" spans="1:8" s="1420" customFormat="1" ht="14.4">
      <c r="A119" s="2508"/>
      <c r="B119" s="2528"/>
      <c r="C119" s="1573"/>
      <c r="D119" s="2515"/>
      <c r="E119" s="2516"/>
      <c r="F119" s="2516"/>
      <c r="G119" s="2517"/>
      <c r="H119" s="1501" t="str">
        <f t="shared" si="1"/>
        <v/>
      </c>
    </row>
    <row r="120" spans="1:8" s="1420" customFormat="1" ht="15.6">
      <c r="A120" s="2019">
        <f>$A$4</f>
        <v>11</v>
      </c>
      <c r="B120" s="1667">
        <v>2.9</v>
      </c>
      <c r="C120" s="2510" t="s">
        <v>1637</v>
      </c>
      <c r="D120" s="2518" t="s">
        <v>1638</v>
      </c>
      <c r="E120" s="2512" t="s">
        <v>631</v>
      </c>
      <c r="F120" s="2541">
        <v>10</v>
      </c>
      <c r="G120" s="2542"/>
      <c r="H120" s="1501">
        <f t="shared" si="1"/>
        <v>0</v>
      </c>
    </row>
    <row r="121" spans="1:8">
      <c r="A121" s="2019"/>
      <c r="B121" s="2528"/>
      <c r="C121" s="1573"/>
      <c r="D121" s="2515"/>
      <c r="E121" s="2516"/>
      <c r="F121" s="2516"/>
      <c r="G121" s="2517"/>
      <c r="H121" s="1501" t="str">
        <f t="shared" si="1"/>
        <v/>
      </c>
    </row>
    <row r="122" spans="1:8" ht="15.6">
      <c r="A122" s="2019">
        <f>$A$4</f>
        <v>11</v>
      </c>
      <c r="B122" s="2534">
        <v>2.1</v>
      </c>
      <c r="C122" s="2510" t="s">
        <v>1631</v>
      </c>
      <c r="D122" s="2518" t="s">
        <v>1639</v>
      </c>
      <c r="E122" s="2512" t="s">
        <v>631</v>
      </c>
      <c r="F122" s="2541">
        <v>15</v>
      </c>
      <c r="G122" s="2542"/>
      <c r="H122" s="1501">
        <f t="shared" si="1"/>
        <v>0</v>
      </c>
    </row>
    <row r="123" spans="1:8">
      <c r="A123" s="2019"/>
      <c r="B123" s="2528"/>
      <c r="C123" s="1573"/>
      <c r="D123" s="2515"/>
      <c r="E123" s="2516"/>
      <c r="F123" s="2516"/>
      <c r="G123" s="2517"/>
      <c r="H123" s="1501" t="str">
        <f t="shared" si="1"/>
        <v/>
      </c>
    </row>
    <row r="124" spans="1:8" ht="26.4">
      <c r="A124" s="2019"/>
      <c r="B124" s="1774" t="s">
        <v>558</v>
      </c>
      <c r="C124" s="2530" t="s">
        <v>1642</v>
      </c>
      <c r="D124" s="2531" t="s">
        <v>1643</v>
      </c>
      <c r="E124" s="1866"/>
      <c r="F124" s="1866"/>
      <c r="G124" s="2532"/>
      <c r="H124" s="1501" t="str">
        <f t="shared" si="1"/>
        <v/>
      </c>
    </row>
    <row r="125" spans="1:8">
      <c r="A125" s="2019"/>
      <c r="B125" s="1550"/>
      <c r="C125" s="2168"/>
      <c r="D125" s="2501"/>
      <c r="E125" s="1882"/>
      <c r="F125" s="1550"/>
      <c r="G125" s="1538"/>
      <c r="H125" s="1501" t="str">
        <f t="shared" si="1"/>
        <v/>
      </c>
    </row>
    <row r="126" spans="1:8">
      <c r="A126" s="2019"/>
      <c r="B126" s="1550"/>
      <c r="C126" s="1551" t="s">
        <v>546</v>
      </c>
      <c r="D126" s="2106" t="s">
        <v>1644</v>
      </c>
      <c r="E126" s="1882"/>
      <c r="F126" s="1550"/>
      <c r="G126" s="1538"/>
      <c r="H126" s="1501" t="str">
        <f t="shared" si="1"/>
        <v/>
      </c>
    </row>
    <row r="127" spans="1:8">
      <c r="A127" s="2019"/>
      <c r="B127" s="1550"/>
      <c r="C127" s="2168"/>
      <c r="D127" s="2501"/>
      <c r="E127" s="1882"/>
      <c r="F127" s="1550"/>
      <c r="G127" s="1538"/>
      <c r="H127" s="1501" t="str">
        <f t="shared" si="1"/>
        <v/>
      </c>
    </row>
    <row r="128" spans="1:8">
      <c r="A128" s="2019">
        <f>$A$4</f>
        <v>11</v>
      </c>
      <c r="B128" s="1667">
        <v>2.11</v>
      </c>
      <c r="C128" s="2168"/>
      <c r="D128" s="2106" t="s">
        <v>1655</v>
      </c>
      <c r="E128" s="1550" t="s">
        <v>561</v>
      </c>
      <c r="F128" s="1550">
        <v>50</v>
      </c>
      <c r="G128" s="2107"/>
      <c r="H128" s="1501">
        <f t="shared" si="1"/>
        <v>0</v>
      </c>
    </row>
    <row r="129" spans="1:8">
      <c r="A129" s="2019"/>
      <c r="B129" s="1550"/>
      <c r="C129" s="2168"/>
      <c r="D129" s="2501"/>
      <c r="E129" s="1882"/>
      <c r="F129" s="1550"/>
      <c r="G129" s="1538"/>
      <c r="H129" s="1501" t="str">
        <f t="shared" si="1"/>
        <v/>
      </c>
    </row>
    <row r="130" spans="1:8">
      <c r="A130" s="2019">
        <f>$A$4</f>
        <v>11</v>
      </c>
      <c r="B130" s="1667">
        <v>2.12</v>
      </c>
      <c r="C130" s="2168"/>
      <c r="D130" s="2106" t="s">
        <v>1656</v>
      </c>
      <c r="E130" s="1550" t="s">
        <v>561</v>
      </c>
      <c r="F130" s="1550">
        <v>15</v>
      </c>
      <c r="G130" s="2107"/>
      <c r="H130" s="1501">
        <f t="shared" si="1"/>
        <v>0</v>
      </c>
    </row>
    <row r="131" spans="1:8" s="326" customFormat="1">
      <c r="A131" s="2053"/>
      <c r="B131" s="1550"/>
      <c r="C131" s="1551"/>
      <c r="D131" s="2106"/>
      <c r="E131" s="1550"/>
      <c r="F131" s="1550"/>
      <c r="G131" s="1538"/>
      <c r="H131" s="1501" t="str">
        <f t="shared" si="1"/>
        <v/>
      </c>
    </row>
    <row r="132" spans="1:8" s="320" customFormat="1">
      <c r="A132" s="2019">
        <f>$A$4</f>
        <v>11</v>
      </c>
      <c r="B132" s="1667">
        <v>2.13</v>
      </c>
      <c r="C132" s="1551"/>
      <c r="D132" s="2106" t="s">
        <v>1657</v>
      </c>
      <c r="E132" s="1550" t="s">
        <v>976</v>
      </c>
      <c r="F132" s="1550">
        <v>1</v>
      </c>
      <c r="G132" s="2107"/>
      <c r="H132" s="1501">
        <f t="shared" si="1"/>
        <v>0</v>
      </c>
    </row>
    <row r="133" spans="1:8" s="370" customFormat="1">
      <c r="A133" s="1946"/>
      <c r="B133" s="1550"/>
      <c r="C133" s="1551"/>
      <c r="D133" s="2106"/>
      <c r="E133" s="1550"/>
      <c r="F133" s="1550"/>
      <c r="G133" s="1538"/>
      <c r="H133" s="1501" t="str">
        <f t="shared" si="1"/>
        <v/>
      </c>
    </row>
    <row r="134" spans="1:8" s="370" customFormat="1">
      <c r="A134" s="1946"/>
      <c r="B134" s="1882"/>
      <c r="C134" s="1774" t="s">
        <v>1647</v>
      </c>
      <c r="D134" s="2360" t="s">
        <v>1648</v>
      </c>
      <c r="E134" s="1882"/>
      <c r="F134" s="1882"/>
      <c r="G134" s="1546"/>
      <c r="H134" s="1501" t="str">
        <f t="shared" si="1"/>
        <v/>
      </c>
    </row>
    <row r="135" spans="1:8" s="370" customFormat="1">
      <c r="A135" s="1946"/>
      <c r="B135" s="1842"/>
      <c r="C135" s="1550"/>
      <c r="D135" s="2533"/>
      <c r="E135" s="1842"/>
      <c r="F135" s="1842"/>
      <c r="G135" s="2174"/>
      <c r="H135" s="1501" t="str">
        <f t="shared" si="1"/>
        <v/>
      </c>
    </row>
    <row r="136" spans="1:8" s="370" customFormat="1" ht="26.4">
      <c r="A136" s="1763">
        <f>$A$4</f>
        <v>11</v>
      </c>
      <c r="B136" s="1667">
        <v>2.14</v>
      </c>
      <c r="C136" s="1550" t="s">
        <v>624</v>
      </c>
      <c r="D136" s="1840" t="s">
        <v>1649</v>
      </c>
      <c r="E136" s="1261" t="s">
        <v>252</v>
      </c>
      <c r="F136" s="1550">
        <v>1</v>
      </c>
      <c r="G136" s="1614">
        <v>175000</v>
      </c>
      <c r="H136" s="1501">
        <f t="shared" si="1"/>
        <v>175000</v>
      </c>
    </row>
    <row r="137" spans="1:8" s="370" customFormat="1">
      <c r="A137" s="1763"/>
      <c r="B137" s="1667"/>
      <c r="C137" s="1550"/>
      <c r="D137" s="1840"/>
      <c r="E137" s="1261"/>
      <c r="F137" s="1550"/>
      <c r="G137" s="1516"/>
      <c r="H137" s="1501" t="str">
        <f t="shared" si="1"/>
        <v/>
      </c>
    </row>
    <row r="138" spans="1:8" s="370" customFormat="1">
      <c r="A138" s="1763"/>
      <c r="B138" s="1667"/>
      <c r="C138" s="1550"/>
      <c r="D138" s="1840"/>
      <c r="E138" s="1261"/>
      <c r="F138" s="1550"/>
      <c r="G138" s="1516"/>
      <c r="H138" s="1501" t="str">
        <f t="shared" si="1"/>
        <v/>
      </c>
    </row>
    <row r="139" spans="1:8" s="370" customFormat="1">
      <c r="A139" s="1763"/>
      <c r="B139" s="1667"/>
      <c r="C139" s="1550"/>
      <c r="D139" s="1840"/>
      <c r="E139" s="1261"/>
      <c r="F139" s="1550"/>
      <c r="G139" s="1516"/>
      <c r="H139" s="1944"/>
    </row>
    <row r="140" spans="1:8" s="370" customFormat="1">
      <c r="A140" s="1763"/>
      <c r="B140" s="1667"/>
      <c r="C140" s="1550"/>
      <c r="D140" s="1840"/>
      <c r="E140" s="1261"/>
      <c r="F140" s="1550"/>
      <c r="G140" s="1516"/>
      <c r="H140" s="1944"/>
    </row>
    <row r="141" spans="1:8" s="370" customFormat="1">
      <c r="A141" s="1763"/>
      <c r="B141" s="1667"/>
      <c r="C141" s="1550"/>
      <c r="D141" s="1840"/>
      <c r="E141" s="1261"/>
      <c r="F141" s="1550"/>
      <c r="G141" s="1516"/>
      <c r="H141" s="1944"/>
    </row>
    <row r="142" spans="1:8" s="370" customFormat="1">
      <c r="A142" s="1763"/>
      <c r="B142" s="1667"/>
      <c r="C142" s="1550"/>
      <c r="D142" s="1840"/>
      <c r="E142" s="1261"/>
      <c r="F142" s="1550"/>
      <c r="G142" s="1516"/>
      <c r="H142" s="1944"/>
    </row>
    <row r="143" spans="1:8" s="370" customFormat="1">
      <c r="A143" s="1763"/>
      <c r="B143" s="1667"/>
      <c r="C143" s="1550"/>
      <c r="D143" s="1840"/>
      <c r="E143" s="1261"/>
      <c r="F143" s="1550"/>
      <c r="G143" s="1516"/>
      <c r="H143" s="1944"/>
    </row>
    <row r="144" spans="1:8" s="370" customFormat="1">
      <c r="A144" s="1763"/>
      <c r="B144" s="1667"/>
      <c r="C144" s="1550"/>
      <c r="D144" s="1840"/>
      <c r="E144" s="1261"/>
      <c r="F144" s="1550"/>
      <c r="G144" s="1516"/>
      <c r="H144" s="1944"/>
    </row>
    <row r="145" spans="1:8" s="370" customFormat="1">
      <c r="A145" s="1763"/>
      <c r="B145" s="1667"/>
      <c r="C145" s="1550"/>
      <c r="D145" s="1840"/>
      <c r="E145" s="1261"/>
      <c r="F145" s="1550"/>
      <c r="G145" s="1516"/>
      <c r="H145" s="1944"/>
    </row>
    <row r="146" spans="1:8" s="370" customFormat="1">
      <c r="A146" s="1763"/>
      <c r="B146" s="1667"/>
      <c r="C146" s="1550"/>
      <c r="D146" s="1840"/>
      <c r="E146" s="1261"/>
      <c r="F146" s="1550"/>
      <c r="G146" s="1516"/>
      <c r="H146" s="1944"/>
    </row>
    <row r="147" spans="1:8" s="370" customFormat="1">
      <c r="A147" s="1763"/>
      <c r="B147" s="1667"/>
      <c r="C147" s="1550"/>
      <c r="D147" s="1840"/>
      <c r="E147" s="1261"/>
      <c r="F147" s="1550"/>
      <c r="G147" s="1516"/>
      <c r="H147" s="1944"/>
    </row>
    <row r="148" spans="1:8" s="370" customFormat="1">
      <c r="A148" s="1763"/>
      <c r="B148" s="1667"/>
      <c r="C148" s="1550"/>
      <c r="D148" s="1840"/>
      <c r="E148" s="1261"/>
      <c r="F148" s="1550"/>
      <c r="G148" s="1516"/>
      <c r="H148" s="1944"/>
    </row>
    <row r="149" spans="1:8" s="370" customFormat="1">
      <c r="A149" s="1763"/>
      <c r="B149" s="1667"/>
      <c r="C149" s="1550"/>
      <c r="D149" s="1840"/>
      <c r="E149" s="1261"/>
      <c r="F149" s="1550"/>
      <c r="G149" s="1516"/>
      <c r="H149" s="1944"/>
    </row>
    <row r="150" spans="1:8" s="370" customFormat="1">
      <c r="A150" s="1763"/>
      <c r="B150" s="1667"/>
      <c r="C150" s="1550"/>
      <c r="D150" s="1840"/>
      <c r="E150" s="1261"/>
      <c r="F150" s="1550"/>
      <c r="G150" s="1516"/>
      <c r="H150" s="1944"/>
    </row>
    <row r="151" spans="1:8" s="370" customFormat="1">
      <c r="A151" s="1763"/>
      <c r="B151" s="1667"/>
      <c r="C151" s="1550"/>
      <c r="D151" s="1840"/>
      <c r="E151" s="1261"/>
      <c r="F151" s="1550"/>
      <c r="G151" s="1516"/>
      <c r="H151" s="1944"/>
    </row>
    <row r="152" spans="1:8" s="370" customFormat="1">
      <c r="A152" s="1946"/>
      <c r="B152" s="1667"/>
      <c r="C152" s="1550"/>
      <c r="D152" s="1840"/>
      <c r="E152" s="1783"/>
      <c r="F152" s="1550"/>
      <c r="G152" s="1516"/>
      <c r="H152" s="1871"/>
    </row>
    <row r="153" spans="1:8" s="370" customFormat="1">
      <c r="A153" s="1946"/>
      <c r="B153" s="1667"/>
      <c r="C153" s="1550"/>
      <c r="D153" s="1840"/>
      <c r="E153" s="1783"/>
      <c r="F153" s="1550"/>
      <c r="G153" s="1516"/>
      <c r="H153" s="1871"/>
    </row>
    <row r="154" spans="1:8" s="370" customFormat="1">
      <c r="A154" s="1946"/>
      <c r="B154" s="1667"/>
      <c r="C154" s="1550"/>
      <c r="D154" s="1840"/>
      <c r="E154" s="1783"/>
      <c r="F154" s="1550"/>
      <c r="G154" s="1516"/>
      <c r="H154" s="1871"/>
    </row>
    <row r="155" spans="1:8" s="371" customFormat="1">
      <c r="A155" s="2475"/>
      <c r="B155" s="1667"/>
      <c r="C155" s="1550"/>
      <c r="D155" s="1840"/>
      <c r="E155" s="1783"/>
      <c r="F155" s="1550"/>
      <c r="G155" s="1516"/>
      <c r="H155" s="1871"/>
    </row>
    <row r="156" spans="1:8" s="1423" customFormat="1">
      <c r="A156" s="2543"/>
      <c r="B156" s="1667"/>
      <c r="C156" s="1550"/>
      <c r="D156" s="1840"/>
      <c r="E156" s="1783"/>
      <c r="F156" s="1550"/>
      <c r="G156" s="1516"/>
      <c r="H156" s="1871"/>
    </row>
    <row r="157" spans="1:8">
      <c r="A157" s="2019"/>
      <c r="B157" s="1667"/>
      <c r="C157" s="1550"/>
      <c r="D157" s="1840"/>
      <c r="E157" s="1783"/>
      <c r="F157" s="1550"/>
      <c r="G157" s="1516"/>
      <c r="H157" s="1871"/>
    </row>
    <row r="158" spans="1:8">
      <c r="A158" s="2544"/>
      <c r="B158" s="1424"/>
      <c r="C158" s="1425"/>
      <c r="D158" s="1426"/>
      <c r="E158" s="1426"/>
      <c r="F158" s="1427"/>
      <c r="G158" s="1428"/>
      <c r="H158" s="2545"/>
    </row>
    <row r="159" spans="1:8">
      <c r="A159" s="2546"/>
      <c r="B159" s="1429"/>
      <c r="C159" s="1430"/>
      <c r="D159" s="1431" t="s">
        <v>1658</v>
      </c>
      <c r="E159" s="1432"/>
      <c r="F159" s="1433"/>
      <c r="G159" s="1434"/>
      <c r="H159" s="2547">
        <f>CEILING(SUM(H84:H157),1)</f>
        <v>873467</v>
      </c>
    </row>
    <row r="162" spans="8:8">
      <c r="H162" s="509"/>
    </row>
  </sheetData>
  <sheetProtection algorithmName="SHA-512" hashValue="45lkLj9TLU/Ryz6tg4StSXYI3rEtYWmy8kelmdqCMnBabBF7vWbR/gw/to36D243t+n02VqQl1+bJmnu4em1Cg==" saltValue="0gwq48POUBa6gX7jXjfG6g==" spinCount="100000" sheet="1" objects="1" scenarios="1"/>
  <mergeCells count="1">
    <mergeCell ref="A1:H1"/>
  </mergeCells>
  <phoneticPr fontId="33" type="noConversion"/>
  <pageMargins left="0.59055118110236227" right="0.59055118110236227" top="1.1023622047244095" bottom="0.78740157480314965" header="0.27559055118110237" footer="0.27559055118110237"/>
  <pageSetup paperSize="9" scale="64" firstPageNumber="88" fitToHeight="0" orientation="portrait" useFirstPageNumber="1" copies="2" r:id="rId1"/>
  <headerFooter alignWithMargins="0">
    <oddHeader>&amp;L&amp;G&amp;CContract JW13896RR
Bushkoppie Wastewater Treatment Works:
Infrastructure Renewal Plan
Volume 1 
C 2.2 Bill of Quantities&amp;R&amp;G</oddHeader>
    <oddFooter>&amp;C&amp;12
&amp;G
C.&amp;P</oddFooter>
  </headerFooter>
  <rowBreaks count="1" manualBreakCount="1">
    <brk id="83" max="16383"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746B0-6B7E-4611-A163-ED945C39E543}">
  <sheetPr codeName="Sheet13">
    <pageSetUpPr fitToPage="1"/>
  </sheetPr>
  <dimension ref="A1:I160"/>
  <sheetViews>
    <sheetView view="pageBreakPreview" zoomScaleNormal="100" zoomScaleSheetLayoutView="100" workbookViewId="0">
      <selection activeCell="G8" sqref="G8"/>
    </sheetView>
  </sheetViews>
  <sheetFormatPr defaultColWidth="6.109375" defaultRowHeight="13.2"/>
  <cols>
    <col min="1" max="1" width="9.109375" style="9" customWidth="1"/>
    <col min="2" max="2" width="8.88671875" style="9" customWidth="1"/>
    <col min="3" max="3" width="9.88671875" style="9" customWidth="1"/>
    <col min="4" max="4" width="58.88671875" style="2" customWidth="1"/>
    <col min="5" max="5" width="8.88671875" style="9" customWidth="1"/>
    <col min="6" max="6" width="11.5546875" style="9" bestFit="1" customWidth="1"/>
    <col min="7" max="7" width="14.88671875" style="319" customWidth="1"/>
    <col min="8" max="9" width="20.88671875" style="2" customWidth="1"/>
    <col min="10" max="16384" width="6.109375" style="2"/>
  </cols>
  <sheetData>
    <row r="1" spans="1:9" s="329" customFormat="1" ht="15.6">
      <c r="A1" s="3036" t="s">
        <v>1659</v>
      </c>
      <c r="B1" s="3036"/>
      <c r="C1" s="3036"/>
      <c r="D1" s="3036"/>
      <c r="E1" s="3036"/>
      <c r="F1" s="3036"/>
      <c r="G1" s="3036"/>
      <c r="H1" s="3036"/>
      <c r="I1" s="216"/>
    </row>
    <row r="2" spans="1:9" s="1" customFormat="1" ht="25.5" customHeight="1">
      <c r="A2" s="453" t="s">
        <v>541</v>
      </c>
      <c r="B2" s="452" t="s">
        <v>217</v>
      </c>
      <c r="C2" s="453" t="s">
        <v>218</v>
      </c>
      <c r="D2" s="417" t="s">
        <v>219</v>
      </c>
      <c r="E2" s="414" t="s">
        <v>220</v>
      </c>
      <c r="F2" s="454" t="s">
        <v>221</v>
      </c>
      <c r="G2" s="455" t="s">
        <v>222</v>
      </c>
      <c r="H2" s="494" t="s">
        <v>223</v>
      </c>
      <c r="I2" s="1435"/>
    </row>
    <row r="3" spans="1:9">
      <c r="A3" s="1271"/>
      <c r="B3" s="1550"/>
      <c r="C3" s="2168"/>
      <c r="D3" s="2501"/>
      <c r="E3" s="1882"/>
      <c r="F3" s="1550"/>
      <c r="G3" s="1538"/>
      <c r="H3" s="2166"/>
      <c r="I3" s="1436"/>
    </row>
    <row r="4" spans="1:9" ht="13.8">
      <c r="A4" s="2548">
        <v>12</v>
      </c>
      <c r="B4" s="2548">
        <v>1</v>
      </c>
      <c r="C4" s="2168"/>
      <c r="D4" s="2549" t="s">
        <v>1660</v>
      </c>
      <c r="E4" s="1882"/>
      <c r="F4" s="1550"/>
      <c r="G4" s="1538"/>
      <c r="H4" s="2166"/>
      <c r="I4" s="1436"/>
    </row>
    <row r="5" spans="1:9" ht="12.75" customHeight="1">
      <c r="A5" s="1271"/>
      <c r="B5" s="1550"/>
      <c r="C5" s="2168"/>
      <c r="D5" s="2501"/>
      <c r="E5" s="1882"/>
      <c r="F5" s="1550"/>
      <c r="G5" s="1538"/>
      <c r="H5" s="2166"/>
      <c r="I5" s="1436"/>
    </row>
    <row r="6" spans="1:9" s="396" customFormat="1">
      <c r="A6" s="1992"/>
      <c r="B6" s="1866"/>
      <c r="C6" s="2550"/>
      <c r="D6" s="2551" t="s">
        <v>1661</v>
      </c>
      <c r="E6" s="1866"/>
      <c r="F6" s="1866"/>
      <c r="G6" s="1547"/>
      <c r="H6" s="2552"/>
      <c r="I6" s="1437"/>
    </row>
    <row r="7" spans="1:9" ht="12.75" customHeight="1">
      <c r="A7" s="1271"/>
      <c r="B7" s="1550"/>
      <c r="C7" s="2168"/>
      <c r="D7" s="2501"/>
      <c r="E7" s="1882"/>
      <c r="F7" s="1550"/>
      <c r="G7" s="1538"/>
      <c r="H7" s="2166"/>
      <c r="I7" s="1436"/>
    </row>
    <row r="8" spans="1:9" s="12" customFormat="1" ht="79.2">
      <c r="A8" s="2223">
        <f>$A$4</f>
        <v>12</v>
      </c>
      <c r="B8" s="1667">
        <v>1.1000000000000001</v>
      </c>
      <c r="C8" s="2465"/>
      <c r="D8" s="1564" t="s">
        <v>1662</v>
      </c>
      <c r="E8" s="1962" t="s">
        <v>230</v>
      </c>
      <c r="F8" s="1670">
        <v>1</v>
      </c>
      <c r="G8" s="1519"/>
      <c r="H8" s="1501">
        <f t="shared" ref="H8:H61" si="0">IF(E8="","",ROUND(F8*G8,2))</f>
        <v>0</v>
      </c>
      <c r="I8" s="510"/>
    </row>
    <row r="9" spans="1:9">
      <c r="A9" s="1271"/>
      <c r="B9" s="1667"/>
      <c r="C9" s="2103"/>
      <c r="D9" s="2000"/>
      <c r="E9" s="1962"/>
      <c r="F9" s="1670"/>
      <c r="G9" s="1188"/>
      <c r="H9" s="1501" t="str">
        <f t="shared" si="0"/>
        <v/>
      </c>
      <c r="I9" s="477"/>
    </row>
    <row r="10" spans="1:9">
      <c r="A10" s="2223">
        <f>$A$4</f>
        <v>12</v>
      </c>
      <c r="B10" s="1667">
        <v>1.2</v>
      </c>
      <c r="C10" s="2103"/>
      <c r="D10" s="2000" t="s">
        <v>1663</v>
      </c>
      <c r="E10" s="1962" t="s">
        <v>230</v>
      </c>
      <c r="F10" s="1670">
        <v>1</v>
      </c>
      <c r="G10" s="1189"/>
      <c r="H10" s="1501">
        <f t="shared" si="0"/>
        <v>0</v>
      </c>
      <c r="I10" s="511"/>
    </row>
    <row r="11" spans="1:9">
      <c r="A11" s="1271"/>
      <c r="B11" s="1667"/>
      <c r="C11" s="2103"/>
      <c r="D11" s="2000"/>
      <c r="E11" s="1962"/>
      <c r="F11" s="1670"/>
      <c r="G11" s="1188"/>
      <c r="H11" s="1501" t="str">
        <f t="shared" si="0"/>
        <v/>
      </c>
      <c r="I11" s="477"/>
    </row>
    <row r="12" spans="1:9" s="12" customFormat="1" ht="26.4">
      <c r="A12" s="2223">
        <f>$A$4</f>
        <v>12</v>
      </c>
      <c r="B12" s="1667">
        <v>1.3</v>
      </c>
      <c r="C12" s="1962"/>
      <c r="D12" s="1564" t="s">
        <v>1664</v>
      </c>
      <c r="E12" s="1962" t="s">
        <v>230</v>
      </c>
      <c r="F12" s="1670">
        <v>1</v>
      </c>
      <c r="G12" s="1813"/>
      <c r="H12" s="1501">
        <f t="shared" si="0"/>
        <v>0</v>
      </c>
      <c r="I12" s="241"/>
    </row>
    <row r="13" spans="1:9" ht="12.75" customHeight="1">
      <c r="A13" s="1271"/>
      <c r="B13" s="1667"/>
      <c r="C13" s="2103"/>
      <c r="D13" s="2000"/>
      <c r="E13" s="1962"/>
      <c r="F13" s="1670"/>
      <c r="G13" s="1188"/>
      <c r="H13" s="1501" t="str">
        <f t="shared" si="0"/>
        <v/>
      </c>
      <c r="I13" s="477"/>
    </row>
    <row r="14" spans="1:9" s="12" customFormat="1" ht="52.8">
      <c r="A14" s="2223">
        <f>$A$4</f>
        <v>12</v>
      </c>
      <c r="B14" s="1667">
        <v>1.4</v>
      </c>
      <c r="C14" s="1962"/>
      <c r="D14" s="1564" t="s">
        <v>1665</v>
      </c>
      <c r="E14" s="1962" t="s">
        <v>273</v>
      </c>
      <c r="F14" s="1670">
        <v>1</v>
      </c>
      <c r="G14" s="1813"/>
      <c r="H14" s="1501">
        <f t="shared" si="0"/>
        <v>0</v>
      </c>
      <c r="I14" s="243"/>
    </row>
    <row r="15" spans="1:9" ht="12.75" customHeight="1">
      <c r="A15" s="1271"/>
      <c r="B15" s="1667"/>
      <c r="C15" s="2103"/>
      <c r="D15" s="2000"/>
      <c r="E15" s="1962"/>
      <c r="F15" s="1670"/>
      <c r="G15" s="1188"/>
      <c r="H15" s="1501" t="str">
        <f t="shared" si="0"/>
        <v/>
      </c>
      <c r="I15" s="477"/>
    </row>
    <row r="16" spans="1:9" ht="12.75" customHeight="1">
      <c r="A16" s="2223">
        <f>$A$4</f>
        <v>12</v>
      </c>
      <c r="B16" s="1667">
        <v>1.5</v>
      </c>
      <c r="C16" s="2103"/>
      <c r="D16" s="2000" t="s">
        <v>1666</v>
      </c>
      <c r="E16" s="1962" t="s">
        <v>273</v>
      </c>
      <c r="F16" s="1670">
        <v>1</v>
      </c>
      <c r="G16" s="1189"/>
      <c r="H16" s="1501">
        <f t="shared" si="0"/>
        <v>0</v>
      </c>
      <c r="I16" s="477"/>
    </row>
    <row r="17" spans="1:9" ht="12.75" customHeight="1">
      <c r="A17" s="1271"/>
      <c r="B17" s="1667"/>
      <c r="C17" s="2103"/>
      <c r="D17" s="2000"/>
      <c r="E17" s="1962"/>
      <c r="F17" s="1670"/>
      <c r="G17" s="1188"/>
      <c r="H17" s="1501" t="str">
        <f t="shared" si="0"/>
        <v/>
      </c>
      <c r="I17" s="477"/>
    </row>
    <row r="18" spans="1:9" ht="26.4">
      <c r="A18" s="2223">
        <f>$A$4</f>
        <v>12</v>
      </c>
      <c r="B18" s="1667">
        <v>1.6</v>
      </c>
      <c r="C18" s="1962"/>
      <c r="D18" s="1564" t="s">
        <v>1667</v>
      </c>
      <c r="E18" s="1962" t="s">
        <v>230</v>
      </c>
      <c r="F18" s="1670">
        <v>1</v>
      </c>
      <c r="G18" s="1813"/>
      <c r="H18" s="1501">
        <f t="shared" si="0"/>
        <v>0</v>
      </c>
      <c r="I18" s="241"/>
    </row>
    <row r="19" spans="1:9">
      <c r="A19" s="1271"/>
      <c r="B19" s="1667"/>
      <c r="C19" s="1962"/>
      <c r="D19" s="1564"/>
      <c r="E19" s="1962"/>
      <c r="F19" s="1670"/>
      <c r="G19" s="1813"/>
      <c r="H19" s="1501" t="str">
        <f t="shared" si="0"/>
        <v/>
      </c>
      <c r="I19" s="241"/>
    </row>
    <row r="20" spans="1:9" ht="26.4">
      <c r="A20" s="2223">
        <f>$A$4</f>
        <v>12</v>
      </c>
      <c r="B20" s="1667">
        <v>1.7</v>
      </c>
      <c r="C20" s="1962"/>
      <c r="D20" s="694" t="s">
        <v>1668</v>
      </c>
      <c r="E20" s="1261" t="s">
        <v>252</v>
      </c>
      <c r="F20" s="1781">
        <v>1</v>
      </c>
      <c r="G20" s="1944">
        <v>2000000</v>
      </c>
      <c r="H20" s="1501">
        <f t="shared" si="0"/>
        <v>2000000</v>
      </c>
      <c r="I20" s="241"/>
    </row>
    <row r="21" spans="1:9">
      <c r="A21" s="1271"/>
      <c r="B21" s="1667"/>
      <c r="C21" s="2103"/>
      <c r="D21" s="2000"/>
      <c r="E21" s="1962"/>
      <c r="F21" s="1670"/>
      <c r="G21" s="1813"/>
      <c r="H21" s="1501" t="str">
        <f t="shared" si="0"/>
        <v/>
      </c>
      <c r="I21" s="511"/>
    </row>
    <row r="22" spans="1:9">
      <c r="A22" s="1271"/>
      <c r="B22" s="1667"/>
      <c r="C22" s="2103"/>
      <c r="D22" s="1334" t="s">
        <v>1669</v>
      </c>
      <c r="E22" s="1962"/>
      <c r="F22" s="1670"/>
      <c r="G22" s="1813"/>
      <c r="H22" s="1501" t="str">
        <f t="shared" si="0"/>
        <v/>
      </c>
      <c r="I22" s="511"/>
    </row>
    <row r="23" spans="1:9">
      <c r="A23" s="1271"/>
      <c r="B23" s="1667"/>
      <c r="C23" s="2103"/>
      <c r="D23" s="953"/>
      <c r="E23" s="1962"/>
      <c r="F23" s="1670"/>
      <c r="G23" s="1813"/>
      <c r="H23" s="1501" t="str">
        <f t="shared" si="0"/>
        <v/>
      </c>
      <c r="I23" s="511"/>
    </row>
    <row r="24" spans="1:9">
      <c r="A24" s="2223">
        <f>$A$4</f>
        <v>12</v>
      </c>
      <c r="B24" s="1667">
        <v>1.8</v>
      </c>
      <c r="C24" s="2103"/>
      <c r="D24" s="2507" t="s">
        <v>1670</v>
      </c>
      <c r="E24" s="1962" t="s">
        <v>252</v>
      </c>
      <c r="F24" s="1670">
        <v>1</v>
      </c>
      <c r="G24" s="1944">
        <v>25000</v>
      </c>
      <c r="H24" s="1501">
        <f t="shared" si="0"/>
        <v>25000</v>
      </c>
      <c r="I24" s="511"/>
    </row>
    <row r="25" spans="1:9">
      <c r="A25" s="1271"/>
      <c r="B25" s="1667"/>
      <c r="C25" s="2103"/>
      <c r="D25" s="2346"/>
      <c r="E25" s="1962"/>
      <c r="F25" s="1670"/>
      <c r="G25" s="1813"/>
      <c r="H25" s="1501" t="str">
        <f t="shared" si="0"/>
        <v/>
      </c>
      <c r="I25" s="511"/>
    </row>
    <row r="26" spans="1:9">
      <c r="A26" s="1271"/>
      <c r="B26" s="1667"/>
      <c r="C26" s="2103"/>
      <c r="D26" s="1438" t="s">
        <v>1671</v>
      </c>
      <c r="E26" s="1962"/>
      <c r="F26" s="1670"/>
      <c r="G26" s="1813"/>
      <c r="H26" s="1501" t="str">
        <f t="shared" si="0"/>
        <v/>
      </c>
      <c r="I26" s="511"/>
    </row>
    <row r="27" spans="1:9">
      <c r="A27" s="1271"/>
      <c r="B27" s="1667"/>
      <c r="C27" s="2103"/>
      <c r="D27" s="1438"/>
      <c r="E27" s="1962"/>
      <c r="F27" s="1670"/>
      <c r="G27" s="1813"/>
      <c r="H27" s="1501" t="str">
        <f t="shared" si="0"/>
        <v/>
      </c>
      <c r="I27" s="511"/>
    </row>
    <row r="28" spans="1:9" s="12" customFormat="1" ht="26.4">
      <c r="A28" s="2223">
        <f>$A$4</f>
        <v>12</v>
      </c>
      <c r="B28" s="1667">
        <v>1.9</v>
      </c>
      <c r="C28" s="1962"/>
      <c r="D28" s="29" t="s">
        <v>1672</v>
      </c>
      <c r="E28" s="1962" t="s">
        <v>230</v>
      </c>
      <c r="F28" s="1670">
        <v>1</v>
      </c>
      <c r="G28" s="1813"/>
      <c r="H28" s="1501">
        <f t="shared" si="0"/>
        <v>0</v>
      </c>
      <c r="I28" s="241"/>
    </row>
    <row r="29" spans="1:9">
      <c r="A29" s="1271"/>
      <c r="B29" s="1667"/>
      <c r="C29" s="2103"/>
      <c r="D29" s="2000"/>
      <c r="E29" s="1962"/>
      <c r="F29" s="1670"/>
      <c r="G29" s="1813"/>
      <c r="H29" s="1501" t="str">
        <f t="shared" si="0"/>
        <v/>
      </c>
      <c r="I29" s="511"/>
    </row>
    <row r="30" spans="1:9" s="1420" customFormat="1" ht="14.4">
      <c r="A30" s="2223">
        <f>$A$4</f>
        <v>12</v>
      </c>
      <c r="B30" s="2553">
        <v>2</v>
      </c>
      <c r="C30" s="2510"/>
      <c r="D30" s="2554" t="s">
        <v>10</v>
      </c>
      <c r="E30" s="2512"/>
      <c r="F30" s="2512"/>
      <c r="G30" s="1813"/>
      <c r="H30" s="1501" t="str">
        <f t="shared" si="0"/>
        <v/>
      </c>
      <c r="I30" s="1439"/>
    </row>
    <row r="31" spans="1:9" s="1420" customFormat="1" ht="12.75" customHeight="1">
      <c r="A31" s="2555"/>
      <c r="B31" s="2553"/>
      <c r="C31" s="2510"/>
      <c r="D31" s="2554"/>
      <c r="E31" s="2512"/>
      <c r="F31" s="2512"/>
      <c r="G31" s="1813"/>
      <c r="H31" s="1501" t="str">
        <f t="shared" si="0"/>
        <v/>
      </c>
      <c r="I31" s="1439"/>
    </row>
    <row r="32" spans="1:9" s="1420" customFormat="1" ht="14.4">
      <c r="A32" s="2555"/>
      <c r="B32" s="2553"/>
      <c r="C32" s="2510"/>
      <c r="D32" s="2554" t="s">
        <v>1673</v>
      </c>
      <c r="E32" s="2512"/>
      <c r="F32" s="2512"/>
      <c r="G32" s="1813"/>
      <c r="H32" s="1501" t="str">
        <f t="shared" si="0"/>
        <v/>
      </c>
      <c r="I32" s="1439"/>
    </row>
    <row r="33" spans="1:9" s="1420" customFormat="1" ht="12.75" customHeight="1">
      <c r="A33" s="2555"/>
      <c r="B33" s="2553"/>
      <c r="C33" s="2510"/>
      <c r="D33" s="2554"/>
      <c r="E33" s="2512"/>
      <c r="F33" s="2512"/>
      <c r="G33" s="2513"/>
      <c r="H33" s="1501" t="str">
        <f t="shared" si="0"/>
        <v/>
      </c>
      <c r="I33" s="1440"/>
    </row>
    <row r="34" spans="1:9" s="1441" customFormat="1" ht="39.6">
      <c r="A34" s="2223">
        <f>$A$4</f>
        <v>12</v>
      </c>
      <c r="B34" s="2556">
        <v>2.1</v>
      </c>
      <c r="C34" s="2557"/>
      <c r="D34" s="2558" t="s">
        <v>1674</v>
      </c>
      <c r="E34" s="2559" t="s">
        <v>230</v>
      </c>
      <c r="F34" s="2559">
        <v>1</v>
      </c>
      <c r="G34" s="2560"/>
      <c r="H34" s="1501">
        <f t="shared" si="0"/>
        <v>0</v>
      </c>
      <c r="I34" s="218"/>
    </row>
    <row r="35" spans="1:9" s="1420" customFormat="1" ht="12.75" customHeight="1">
      <c r="A35" s="2555"/>
      <c r="B35" s="2509"/>
      <c r="C35" s="2510"/>
      <c r="D35" s="2518"/>
      <c r="E35" s="2512"/>
      <c r="F35" s="2512"/>
      <c r="G35" s="2513"/>
      <c r="H35" s="1501" t="str">
        <f t="shared" si="0"/>
        <v/>
      </c>
      <c r="I35" s="1440"/>
    </row>
    <row r="36" spans="1:9" s="1420" customFormat="1" ht="14.4">
      <c r="A36" s="2555"/>
      <c r="B36" s="2509"/>
      <c r="C36" s="2510"/>
      <c r="D36" s="2554" t="s">
        <v>1675</v>
      </c>
      <c r="E36" s="2512"/>
      <c r="F36" s="2512"/>
      <c r="G36" s="2513"/>
      <c r="H36" s="1501" t="str">
        <f t="shared" si="0"/>
        <v/>
      </c>
      <c r="I36" s="1440"/>
    </row>
    <row r="37" spans="1:9" s="1420" customFormat="1" ht="12.75" customHeight="1">
      <c r="A37" s="2555"/>
      <c r="B37" s="2509"/>
      <c r="C37" s="2510"/>
      <c r="D37" s="2518"/>
      <c r="E37" s="2512"/>
      <c r="F37" s="2512"/>
      <c r="G37" s="2513"/>
      <c r="H37" s="1501" t="str">
        <f t="shared" si="0"/>
        <v/>
      </c>
      <c r="I37" s="1440"/>
    </row>
    <row r="38" spans="1:9" s="1420" customFormat="1" ht="26.4">
      <c r="A38" s="2555"/>
      <c r="B38" s="2509"/>
      <c r="C38" s="2510"/>
      <c r="D38" s="2518" t="s">
        <v>1676</v>
      </c>
      <c r="E38" s="2512"/>
      <c r="F38" s="2512"/>
      <c r="G38" s="2513"/>
      <c r="H38" s="1501" t="str">
        <f t="shared" si="0"/>
        <v/>
      </c>
      <c r="I38" s="1440"/>
    </row>
    <row r="39" spans="1:9" s="1420" customFormat="1" ht="12.75" customHeight="1">
      <c r="A39" s="2555"/>
      <c r="B39" s="2509"/>
      <c r="C39" s="2510"/>
      <c r="D39" s="2518"/>
      <c r="E39" s="2512"/>
      <c r="F39" s="2512"/>
      <c r="G39" s="2513"/>
      <c r="H39" s="1501" t="str">
        <f t="shared" si="0"/>
        <v/>
      </c>
      <c r="I39" s="1440"/>
    </row>
    <row r="40" spans="1:9" s="1441" customFormat="1" ht="14.4">
      <c r="A40" s="2223">
        <f>$A$4</f>
        <v>12</v>
      </c>
      <c r="B40" s="2556">
        <v>2.2000000000000002</v>
      </c>
      <c r="C40" s="2557"/>
      <c r="D40" s="2558" t="s">
        <v>1677</v>
      </c>
      <c r="E40" s="2559" t="s">
        <v>252</v>
      </c>
      <c r="F40" s="2559">
        <v>1</v>
      </c>
      <c r="G40" s="2561">
        <v>20000</v>
      </c>
      <c r="H40" s="1501">
        <f t="shared" si="0"/>
        <v>20000</v>
      </c>
      <c r="I40" s="218"/>
    </row>
    <row r="41" spans="1:9" s="1420" customFormat="1" ht="12.75" customHeight="1">
      <c r="A41" s="2555"/>
      <c r="B41" s="2509"/>
      <c r="C41" s="2510"/>
      <c r="D41" s="2518"/>
      <c r="E41" s="2512"/>
      <c r="F41" s="2512"/>
      <c r="G41" s="2513"/>
      <c r="H41" s="1501" t="str">
        <f t="shared" si="0"/>
        <v/>
      </c>
      <c r="I41" s="1440"/>
    </row>
    <row r="42" spans="1:9" s="396" customFormat="1">
      <c r="A42" s="1992"/>
      <c r="B42" s="1866"/>
      <c r="C42" s="2550"/>
      <c r="D42" s="2551" t="s">
        <v>1678</v>
      </c>
      <c r="E42" s="1866"/>
      <c r="F42" s="1866"/>
      <c r="G42" s="1547"/>
      <c r="H42" s="1501" t="str">
        <f t="shared" si="0"/>
        <v/>
      </c>
      <c r="I42" s="1437"/>
    </row>
    <row r="43" spans="1:9" s="1420" customFormat="1" ht="12.75" customHeight="1">
      <c r="A43" s="2555"/>
      <c r="B43" s="2509"/>
      <c r="C43" s="2510"/>
      <c r="D43" s="2518"/>
      <c r="E43" s="2512"/>
      <c r="F43" s="2512"/>
      <c r="G43" s="2513"/>
      <c r="H43" s="1501" t="str">
        <f t="shared" si="0"/>
        <v/>
      </c>
      <c r="I43" s="1440"/>
    </row>
    <row r="44" spans="1:9" s="12" customFormat="1" ht="52.8">
      <c r="A44" s="2223">
        <f>$A$4</f>
        <v>12</v>
      </c>
      <c r="B44" s="1667">
        <v>2.2999999999999998</v>
      </c>
      <c r="C44" s="1442"/>
      <c r="D44" s="1443" t="s">
        <v>1679</v>
      </c>
      <c r="E44" s="1962" t="s">
        <v>230</v>
      </c>
      <c r="F44" s="1670">
        <v>1</v>
      </c>
      <c r="G44" s="1519"/>
      <c r="H44" s="1501">
        <f t="shared" si="0"/>
        <v>0</v>
      </c>
      <c r="I44" s="510"/>
    </row>
    <row r="45" spans="1:9" s="1420" customFormat="1" ht="12.75" customHeight="1">
      <c r="A45" s="2555"/>
      <c r="B45" s="2509"/>
      <c r="C45" s="2510"/>
      <c r="D45" s="2518"/>
      <c r="E45" s="2512"/>
      <c r="F45" s="2512"/>
      <c r="G45" s="2513"/>
      <c r="H45" s="1501" t="str">
        <f t="shared" si="0"/>
        <v/>
      </c>
      <c r="I45" s="1440"/>
    </row>
    <row r="46" spans="1:9">
      <c r="A46" s="1271"/>
      <c r="B46" s="1667"/>
      <c r="C46" s="1444"/>
      <c r="D46" s="1334" t="s">
        <v>1680</v>
      </c>
      <c r="E46" s="1962"/>
      <c r="F46" s="1670"/>
      <c r="G46" s="1188"/>
      <c r="H46" s="1501" t="str">
        <f t="shared" si="0"/>
        <v/>
      </c>
      <c r="I46" s="511"/>
    </row>
    <row r="47" spans="1:9" s="1420" customFormat="1" ht="12.75" customHeight="1">
      <c r="A47" s="2555"/>
      <c r="B47" s="2509"/>
      <c r="C47" s="2510"/>
      <c r="D47" s="2518"/>
      <c r="E47" s="2512"/>
      <c r="F47" s="2512"/>
      <c r="G47" s="2513"/>
      <c r="H47" s="1501" t="str">
        <f t="shared" si="0"/>
        <v/>
      </c>
      <c r="I47" s="1440"/>
    </row>
    <row r="48" spans="1:9" s="1420" customFormat="1" ht="14.4">
      <c r="A48" s="2223">
        <f>$A$4</f>
        <v>12</v>
      </c>
      <c r="B48" s="2562">
        <v>2.4</v>
      </c>
      <c r="C48" s="1445"/>
      <c r="D48" s="2518" t="s">
        <v>1681</v>
      </c>
      <c r="E48" s="2512" t="s">
        <v>273</v>
      </c>
      <c r="F48" s="2512">
        <v>1</v>
      </c>
      <c r="G48" s="2542"/>
      <c r="H48" s="1501">
        <f t="shared" si="0"/>
        <v>0</v>
      </c>
      <c r="I48" s="1440"/>
    </row>
    <row r="49" spans="1:9" s="1420" customFormat="1" ht="12.75" customHeight="1">
      <c r="A49" s="2555"/>
      <c r="B49" s="2509"/>
      <c r="C49" s="2510"/>
      <c r="D49" s="2518"/>
      <c r="E49" s="2512"/>
      <c r="F49" s="2512"/>
      <c r="G49" s="2513"/>
      <c r="H49" s="1501" t="str">
        <f t="shared" si="0"/>
        <v/>
      </c>
      <c r="I49" s="1440"/>
    </row>
    <row r="50" spans="1:9" s="1420" customFormat="1" ht="14.4">
      <c r="A50" s="2223">
        <f>$A$4</f>
        <v>12</v>
      </c>
      <c r="B50" s="2562">
        <v>2.5</v>
      </c>
      <c r="C50" s="1445"/>
      <c r="D50" s="2518" t="s">
        <v>1682</v>
      </c>
      <c r="E50" s="2512" t="s">
        <v>230</v>
      </c>
      <c r="F50" s="2512">
        <v>1</v>
      </c>
      <c r="G50" s="2542"/>
      <c r="H50" s="1501">
        <f t="shared" si="0"/>
        <v>0</v>
      </c>
      <c r="I50" s="1440"/>
    </row>
    <row r="51" spans="1:9" s="1420" customFormat="1" ht="12.75" customHeight="1">
      <c r="A51" s="2555"/>
      <c r="B51" s="2509"/>
      <c r="C51" s="2510"/>
      <c r="D51" s="2518"/>
      <c r="E51" s="2512"/>
      <c r="F51" s="2512"/>
      <c r="G51" s="2513"/>
      <c r="H51" s="1501" t="str">
        <f t="shared" si="0"/>
        <v/>
      </c>
      <c r="I51" s="1440"/>
    </row>
    <row r="52" spans="1:9" s="1441" customFormat="1" ht="14.4">
      <c r="A52" s="2223">
        <f>$A$4</f>
        <v>12</v>
      </c>
      <c r="B52" s="2556">
        <v>2.6</v>
      </c>
      <c r="C52" s="2557"/>
      <c r="D52" s="2558" t="s">
        <v>1683</v>
      </c>
      <c r="E52" s="2559" t="s">
        <v>252</v>
      </c>
      <c r="F52" s="2559">
        <v>1</v>
      </c>
      <c r="G52" s="2561">
        <v>120000</v>
      </c>
      <c r="H52" s="1501">
        <f t="shared" si="0"/>
        <v>120000</v>
      </c>
      <c r="I52" s="1440"/>
    </row>
    <row r="53" spans="1:9" s="1420" customFormat="1" ht="12.75" customHeight="1">
      <c r="A53" s="2555"/>
      <c r="B53" s="2509"/>
      <c r="C53" s="2510"/>
      <c r="D53" s="2518"/>
      <c r="E53" s="2512"/>
      <c r="F53" s="2512"/>
      <c r="G53" s="2513"/>
      <c r="H53" s="1501" t="str">
        <f t="shared" si="0"/>
        <v/>
      </c>
      <c r="I53" s="218"/>
    </row>
    <row r="54" spans="1:9" s="1420" customFormat="1" ht="14.4">
      <c r="A54" s="2223">
        <f>$A$4</f>
        <v>12</v>
      </c>
      <c r="B54" s="2563">
        <v>3</v>
      </c>
      <c r="C54" s="1445"/>
      <c r="D54" s="2554" t="s">
        <v>1684</v>
      </c>
      <c r="E54" s="2512"/>
      <c r="F54" s="2512"/>
      <c r="G54" s="2513"/>
      <c r="H54" s="1501" t="str">
        <f t="shared" si="0"/>
        <v/>
      </c>
      <c r="I54" s="1440"/>
    </row>
    <row r="55" spans="1:9" s="1420" customFormat="1" ht="12.75" customHeight="1">
      <c r="A55" s="2555"/>
      <c r="B55" s="2509"/>
      <c r="C55" s="2510"/>
      <c r="D55" s="2518"/>
      <c r="E55" s="2512"/>
      <c r="F55" s="2512"/>
      <c r="G55" s="2513"/>
      <c r="H55" s="1501" t="str">
        <f t="shared" si="0"/>
        <v/>
      </c>
      <c r="I55" s="1439"/>
    </row>
    <row r="56" spans="1:9" s="1420" customFormat="1" ht="14.4">
      <c r="A56" s="2555"/>
      <c r="B56" s="2509"/>
      <c r="C56" s="2510"/>
      <c r="D56" s="2554" t="str">
        <f>D36</f>
        <v>Light Fittings</v>
      </c>
      <c r="E56" s="2512"/>
      <c r="F56" s="2512"/>
      <c r="G56" s="2513"/>
      <c r="H56" s="1501" t="str">
        <f t="shared" si="0"/>
        <v/>
      </c>
      <c r="I56" s="1440"/>
    </row>
    <row r="57" spans="1:9" s="10" customFormat="1">
      <c r="A57" s="1575"/>
      <c r="B57" s="2509"/>
      <c r="C57" s="2510"/>
      <c r="D57" s="2518"/>
      <c r="E57" s="2512"/>
      <c r="F57" s="2512"/>
      <c r="G57" s="2542"/>
      <c r="H57" s="1501" t="str">
        <f t="shared" si="0"/>
        <v/>
      </c>
    </row>
    <row r="58" spans="1:9" s="10" customFormat="1">
      <c r="A58" s="1575"/>
      <c r="B58" s="2509"/>
      <c r="C58" s="2510"/>
      <c r="D58" s="2518" t="s">
        <v>1685</v>
      </c>
      <c r="E58" s="2512"/>
      <c r="F58" s="2512"/>
      <c r="G58" s="2513"/>
      <c r="H58" s="1501" t="str">
        <f t="shared" si="0"/>
        <v/>
      </c>
    </row>
    <row r="59" spans="1:9" s="10" customFormat="1">
      <c r="A59" s="1575"/>
      <c r="B59" s="2509"/>
      <c r="C59" s="2510"/>
      <c r="D59" s="2518"/>
      <c r="E59" s="2512"/>
      <c r="F59" s="2512"/>
      <c r="G59" s="2513"/>
      <c r="H59" s="1501" t="str">
        <f t="shared" si="0"/>
        <v/>
      </c>
    </row>
    <row r="60" spans="1:9" s="10" customFormat="1">
      <c r="A60" s="2223">
        <f>$A$4</f>
        <v>12</v>
      </c>
      <c r="B60" s="2556">
        <v>3.1</v>
      </c>
      <c r="C60" s="2557"/>
      <c r="D60" s="2558" t="s">
        <v>1686</v>
      </c>
      <c r="E60" s="2559" t="s">
        <v>252</v>
      </c>
      <c r="F60" s="2559">
        <v>1</v>
      </c>
      <c r="G60" s="2561">
        <v>10000</v>
      </c>
      <c r="H60" s="1501">
        <f t="shared" si="0"/>
        <v>10000</v>
      </c>
    </row>
    <row r="61" spans="1:9" s="1420" customFormat="1" ht="12.75" customHeight="1">
      <c r="A61" s="2555"/>
      <c r="B61" s="2509"/>
      <c r="C61" s="2510"/>
      <c r="D61" s="2518"/>
      <c r="E61" s="2512"/>
      <c r="F61" s="2512"/>
      <c r="G61" s="2513"/>
      <c r="H61" s="1501" t="str">
        <f t="shared" si="0"/>
        <v/>
      </c>
      <c r="I61" s="1446"/>
    </row>
    <row r="62" spans="1:9" s="1420" customFormat="1" ht="12.75" customHeight="1">
      <c r="A62" s="2555"/>
      <c r="B62" s="2509"/>
      <c r="C62" s="2510"/>
      <c r="D62" s="2518"/>
      <c r="E62" s="2512"/>
      <c r="F62" s="2512"/>
      <c r="G62" s="2513"/>
      <c r="H62" s="1422"/>
      <c r="I62" s="1446"/>
    </row>
    <row r="63" spans="1:9" s="1420" customFormat="1" ht="12.75" customHeight="1">
      <c r="A63" s="2555"/>
      <c r="B63" s="2509"/>
      <c r="C63" s="2510"/>
      <c r="D63" s="2518"/>
      <c r="E63" s="2512"/>
      <c r="F63" s="2512"/>
      <c r="G63" s="2513"/>
      <c r="H63" s="1422"/>
      <c r="I63" s="1446"/>
    </row>
    <row r="64" spans="1:9" s="1420" customFormat="1" ht="12.75" customHeight="1">
      <c r="A64" s="2555"/>
      <c r="B64" s="2509"/>
      <c r="C64" s="2510"/>
      <c r="D64" s="2518"/>
      <c r="E64" s="2512"/>
      <c r="F64" s="2512"/>
      <c r="G64" s="2513"/>
      <c r="H64" s="1422"/>
      <c r="I64" s="1446"/>
    </row>
    <row r="65" spans="1:9" s="1420" customFormat="1" ht="14.4">
      <c r="A65" s="2555"/>
      <c r="B65" s="2509"/>
      <c r="C65" s="2510"/>
      <c r="D65" s="2518"/>
      <c r="E65" s="2512"/>
      <c r="F65" s="2512"/>
      <c r="G65" s="2542"/>
      <c r="H65" s="1422"/>
      <c r="I65" s="1446"/>
    </row>
    <row r="66" spans="1:9" s="1420" customFormat="1" ht="14.4">
      <c r="A66" s="2555"/>
      <c r="B66" s="2509"/>
      <c r="C66" s="2510"/>
      <c r="D66" s="2518"/>
      <c r="E66" s="2512"/>
      <c r="F66" s="2512"/>
      <c r="G66" s="2542"/>
      <c r="H66" s="1422"/>
      <c r="I66" s="1446"/>
    </row>
    <row r="67" spans="1:9" s="1420" customFormat="1" ht="12.75" customHeight="1">
      <c r="A67" s="2555"/>
      <c r="B67" s="2509"/>
      <c r="C67" s="2510"/>
      <c r="D67" s="2518"/>
      <c r="E67" s="2512"/>
      <c r="F67" s="2512"/>
      <c r="G67" s="2513"/>
      <c r="H67" s="1422"/>
      <c r="I67" s="1439"/>
    </row>
    <row r="68" spans="1:9" s="10" customFormat="1">
      <c r="A68" s="1786"/>
      <c r="B68" s="787"/>
      <c r="C68" s="872"/>
      <c r="D68" s="872"/>
      <c r="E68" s="801"/>
      <c r="F68" s="873"/>
      <c r="G68" s="2564"/>
      <c r="H68" s="2565"/>
    </row>
    <row r="69" spans="1:9" s="10" customFormat="1">
      <c r="A69" s="2566"/>
      <c r="B69" s="566"/>
      <c r="C69" s="423"/>
      <c r="D69" s="413" t="s">
        <v>289</v>
      </c>
      <c r="E69" s="426"/>
      <c r="F69" s="24"/>
      <c r="G69" s="1465"/>
      <c r="H69" s="2567">
        <f>SUM(H3:H67)</f>
        <v>2175000</v>
      </c>
    </row>
    <row r="70" spans="1:9" s="10" customFormat="1">
      <c r="A70" s="1575"/>
      <c r="B70" s="1271"/>
      <c r="C70" s="1575"/>
      <c r="D70" s="1552" t="s">
        <v>290</v>
      </c>
      <c r="E70" s="882"/>
      <c r="F70" s="2568"/>
      <c r="G70" s="2569"/>
      <c r="H70" s="1447">
        <f>H69</f>
        <v>2175000</v>
      </c>
    </row>
    <row r="71" spans="1:9" s="1420" customFormat="1" ht="14.4">
      <c r="A71" s="2555"/>
      <c r="B71" s="2509"/>
      <c r="C71" s="2510"/>
      <c r="D71" s="2518"/>
      <c r="E71" s="2512"/>
      <c r="F71" s="2512"/>
      <c r="G71" s="2542"/>
      <c r="H71" s="1422"/>
      <c r="I71" s="1446"/>
    </row>
    <row r="72" spans="1:9" s="1420" customFormat="1" ht="14.4">
      <c r="A72" s="2555"/>
      <c r="B72" s="2553"/>
      <c r="C72" s="2510"/>
      <c r="D72" s="2554" t="s">
        <v>1673</v>
      </c>
      <c r="E72" s="2512"/>
      <c r="F72" s="2512"/>
      <c r="G72" s="2513"/>
      <c r="H72" s="1419"/>
      <c r="I72" s="2"/>
    </row>
    <row r="73" spans="1:9" s="1420" customFormat="1" ht="12.75" customHeight="1">
      <c r="A73" s="2555"/>
      <c r="B73" s="2509"/>
      <c r="C73" s="2510"/>
      <c r="D73" s="2518"/>
      <c r="E73" s="2512"/>
      <c r="F73" s="2512"/>
      <c r="G73" s="2513"/>
      <c r="H73" s="1422"/>
      <c r="I73" s="1446"/>
    </row>
    <row r="74" spans="1:9" s="1441" customFormat="1" ht="39.6">
      <c r="A74" s="2223">
        <f>$A$4</f>
        <v>12</v>
      </c>
      <c r="B74" s="2556">
        <v>3.2</v>
      </c>
      <c r="C74" s="2557"/>
      <c r="D74" s="2558" t="s">
        <v>1674</v>
      </c>
      <c r="E74" s="2559" t="s">
        <v>230</v>
      </c>
      <c r="F74" s="2559">
        <v>1</v>
      </c>
      <c r="G74" s="2560"/>
      <c r="H74" s="1501">
        <f t="shared" ref="H74:H82" si="1">IF(E74="","",ROUND(F74*G74,2))</f>
        <v>0</v>
      </c>
      <c r="I74" s="1446"/>
    </row>
    <row r="75" spans="1:9" s="1420" customFormat="1" ht="14.4">
      <c r="A75" s="2555"/>
      <c r="B75" s="2509"/>
      <c r="C75" s="2510"/>
      <c r="D75" s="2518"/>
      <c r="E75" s="2512"/>
      <c r="F75" s="2512"/>
      <c r="G75" s="2542"/>
      <c r="H75" s="1501" t="str">
        <f t="shared" si="1"/>
        <v/>
      </c>
      <c r="I75" s="1446"/>
    </row>
    <row r="76" spans="1:9" s="1420" customFormat="1" ht="14.4">
      <c r="A76" s="2555">
        <v>12</v>
      </c>
      <c r="B76" s="2509">
        <v>4</v>
      </c>
      <c r="C76" s="2570" t="s">
        <v>1687</v>
      </c>
      <c r="D76" s="2554" t="s">
        <v>1688</v>
      </c>
      <c r="E76" s="2512"/>
      <c r="F76" s="2512"/>
      <c r="G76" s="2542"/>
      <c r="H76" s="1501" t="str">
        <f t="shared" si="1"/>
        <v/>
      </c>
      <c r="I76" s="1446"/>
    </row>
    <row r="77" spans="1:9" s="1420" customFormat="1" ht="14.4">
      <c r="A77" s="2555"/>
      <c r="B77" s="2509"/>
      <c r="C77" s="2510"/>
      <c r="D77" s="2518"/>
      <c r="E77" s="2512"/>
      <c r="F77" s="2512"/>
      <c r="G77" s="2542"/>
      <c r="H77" s="1501" t="str">
        <f t="shared" si="1"/>
        <v/>
      </c>
      <c r="I77" s="1446"/>
    </row>
    <row r="78" spans="1:9" s="1420" customFormat="1" ht="14.4">
      <c r="A78" s="2555"/>
      <c r="B78" s="2509"/>
      <c r="C78" s="2510">
        <v>8.6999999999999993</v>
      </c>
      <c r="D78" s="2518" t="s">
        <v>1689</v>
      </c>
      <c r="E78" s="2559"/>
      <c r="F78" s="2559"/>
      <c r="G78" s="2542"/>
      <c r="H78" s="1501" t="str">
        <f t="shared" si="1"/>
        <v/>
      </c>
      <c r="I78" s="1446"/>
    </row>
    <row r="79" spans="1:9" s="1420" customFormat="1" ht="14.4">
      <c r="A79" s="2555"/>
      <c r="B79" s="2509"/>
      <c r="C79" s="2510"/>
      <c r="D79" s="2518"/>
      <c r="E79" s="2512"/>
      <c r="F79" s="2512"/>
      <c r="G79" s="2542"/>
      <c r="H79" s="1501" t="str">
        <f t="shared" si="1"/>
        <v/>
      </c>
      <c r="I79" s="1446"/>
    </row>
    <row r="80" spans="1:9" s="1420" customFormat="1" ht="26.4">
      <c r="A80" s="2555">
        <v>12</v>
      </c>
      <c r="B80" s="2556">
        <v>4.0999999999999996</v>
      </c>
      <c r="C80" s="2510" t="s">
        <v>1690</v>
      </c>
      <c r="D80" s="2518" t="s">
        <v>1691</v>
      </c>
      <c r="E80" s="2571" t="s">
        <v>529</v>
      </c>
      <c r="F80" s="1448">
        <v>1</v>
      </c>
      <c r="G80" s="1449">
        <f>536245+23000+162.33-31.66+6.66-1.66</f>
        <v>559380.66999999993</v>
      </c>
      <c r="H80" s="1501">
        <f t="shared" si="1"/>
        <v>559380.67000000004</v>
      </c>
      <c r="I80" s="1446"/>
    </row>
    <row r="81" spans="1:9" s="1420" customFormat="1" ht="14.4">
      <c r="A81" s="2555"/>
      <c r="B81" s="2509"/>
      <c r="C81" s="2510"/>
      <c r="D81" s="2518"/>
      <c r="E81" s="2512"/>
      <c r="F81" s="2512"/>
      <c r="G81" s="2542"/>
      <c r="H81" s="1501" t="str">
        <f t="shared" si="1"/>
        <v/>
      </c>
      <c r="I81" s="1446"/>
    </row>
    <row r="82" spans="1:9" s="1420" customFormat="1" ht="14.4">
      <c r="A82" s="2555"/>
      <c r="B82" s="2509"/>
      <c r="C82" s="2510"/>
      <c r="D82" s="2518"/>
      <c r="E82" s="2512"/>
      <c r="F82" s="2512"/>
      <c r="G82" s="2542"/>
      <c r="H82" s="1501" t="str">
        <f t="shared" si="1"/>
        <v/>
      </c>
      <c r="I82" s="1446"/>
    </row>
    <row r="83" spans="1:9" s="1420" customFormat="1" ht="14.4">
      <c r="A83" s="2555"/>
      <c r="B83" s="2509"/>
      <c r="C83" s="2510"/>
      <c r="D83" s="2518"/>
      <c r="E83" s="2512"/>
      <c r="F83" s="2512"/>
      <c r="G83" s="2542"/>
      <c r="H83" s="1422"/>
      <c r="I83" s="1446"/>
    </row>
    <row r="84" spans="1:9" s="1420" customFormat="1" ht="14.4">
      <c r="A84" s="2555"/>
      <c r="B84" s="2509"/>
      <c r="C84" s="2510"/>
      <c r="D84" s="2518"/>
      <c r="E84" s="2512"/>
      <c r="F84" s="2512"/>
      <c r="G84" s="2542"/>
      <c r="H84" s="1422"/>
      <c r="I84" s="1446"/>
    </row>
    <row r="85" spans="1:9" s="1420" customFormat="1" ht="14.4">
      <c r="A85" s="2555"/>
      <c r="B85" s="2509"/>
      <c r="C85" s="2510"/>
      <c r="D85" s="2518"/>
      <c r="E85" s="2512"/>
      <c r="F85" s="2512"/>
      <c r="G85" s="2542"/>
      <c r="H85" s="1422"/>
      <c r="I85" s="1446"/>
    </row>
    <row r="86" spans="1:9" s="1420" customFormat="1" ht="14.4">
      <c r="A86" s="2555"/>
      <c r="B86" s="2509"/>
      <c r="C86" s="2510"/>
      <c r="D86" s="2518"/>
      <c r="E86" s="2512"/>
      <c r="F86" s="2512"/>
      <c r="G86" s="2542"/>
      <c r="H86" s="1422"/>
      <c r="I86" s="1446"/>
    </row>
    <row r="87" spans="1:9" s="1420" customFormat="1" ht="14.4">
      <c r="A87" s="2555"/>
      <c r="B87" s="2509"/>
      <c r="C87" s="2510"/>
      <c r="D87" s="2518"/>
      <c r="E87" s="2512"/>
      <c r="F87" s="2512"/>
      <c r="G87" s="2542"/>
      <c r="H87" s="1422"/>
      <c r="I87" s="1446"/>
    </row>
    <row r="88" spans="1:9" s="1420" customFormat="1" ht="14.4">
      <c r="A88" s="2555"/>
      <c r="B88" s="2509"/>
      <c r="C88" s="2510"/>
      <c r="D88" s="2518"/>
      <c r="E88" s="2512"/>
      <c r="F88" s="2512"/>
      <c r="G88" s="2542"/>
      <c r="H88" s="1422"/>
      <c r="I88" s="1446"/>
    </row>
    <row r="89" spans="1:9" s="1420" customFormat="1" ht="14.4">
      <c r="A89" s="2555"/>
      <c r="B89" s="2509"/>
      <c r="C89" s="2510"/>
      <c r="D89" s="2518"/>
      <c r="E89" s="2512"/>
      <c r="F89" s="2512"/>
      <c r="G89" s="2542"/>
      <c r="H89" s="1422"/>
      <c r="I89" s="1446"/>
    </row>
    <row r="90" spans="1:9" s="1420" customFormat="1" ht="14.4">
      <c r="A90" s="2555"/>
      <c r="B90" s="2509"/>
      <c r="C90" s="2510"/>
      <c r="D90" s="2518"/>
      <c r="E90" s="2512"/>
      <c r="F90" s="2512"/>
      <c r="G90" s="2542"/>
      <c r="H90" s="1422"/>
      <c r="I90" s="1446"/>
    </row>
    <row r="91" spans="1:9" s="1420" customFormat="1" ht="14.4">
      <c r="A91" s="2555"/>
      <c r="B91" s="2509"/>
      <c r="C91" s="2510"/>
      <c r="D91" s="2518"/>
      <c r="E91" s="2512"/>
      <c r="F91" s="2512"/>
      <c r="G91" s="2542"/>
      <c r="H91" s="1422"/>
      <c r="I91" s="1446"/>
    </row>
    <row r="92" spans="1:9" s="1420" customFormat="1" ht="14.4">
      <c r="A92" s="2555"/>
      <c r="B92" s="2509"/>
      <c r="C92" s="2510"/>
      <c r="D92" s="2518"/>
      <c r="E92" s="2512"/>
      <c r="F92" s="2512"/>
      <c r="G92" s="2542"/>
      <c r="H92" s="1422"/>
      <c r="I92" s="1446"/>
    </row>
    <row r="93" spans="1:9" s="1420" customFormat="1" ht="14.4">
      <c r="A93" s="2555"/>
      <c r="B93" s="2509"/>
      <c r="C93" s="2510"/>
      <c r="D93" s="2518"/>
      <c r="E93" s="2512"/>
      <c r="F93" s="2512"/>
      <c r="G93" s="2542"/>
      <c r="H93" s="1422"/>
      <c r="I93" s="1446"/>
    </row>
    <row r="94" spans="1:9" s="1420" customFormat="1" ht="14.4">
      <c r="A94" s="2555"/>
      <c r="B94" s="2509"/>
      <c r="C94" s="2510"/>
      <c r="D94" s="2518"/>
      <c r="E94" s="2512"/>
      <c r="F94" s="2512"/>
      <c r="G94" s="2542"/>
      <c r="H94" s="1422"/>
      <c r="I94" s="1446"/>
    </row>
    <row r="95" spans="1:9" s="1420" customFormat="1" ht="14.4">
      <c r="A95" s="2555"/>
      <c r="B95" s="2509"/>
      <c r="C95" s="2510"/>
      <c r="D95" s="2518"/>
      <c r="E95" s="2512"/>
      <c r="F95" s="2512"/>
      <c r="G95" s="2542"/>
      <c r="H95" s="1422"/>
      <c r="I95" s="1446"/>
    </row>
    <row r="96" spans="1:9" s="1420" customFormat="1" ht="14.4">
      <c r="A96" s="2555"/>
      <c r="B96" s="2509"/>
      <c r="C96" s="2510"/>
      <c r="D96" s="2518"/>
      <c r="E96" s="2512"/>
      <c r="F96" s="2512"/>
      <c r="G96" s="2542"/>
      <c r="H96" s="1422"/>
      <c r="I96" s="1446"/>
    </row>
    <row r="97" spans="1:9" s="1420" customFormat="1" ht="14.4">
      <c r="A97" s="2555"/>
      <c r="B97" s="2509"/>
      <c r="C97" s="2510"/>
      <c r="D97" s="2518"/>
      <c r="E97" s="2512"/>
      <c r="F97" s="2512"/>
      <c r="G97" s="2542"/>
      <c r="H97" s="1422"/>
      <c r="I97" s="1446"/>
    </row>
    <row r="98" spans="1:9" s="1420" customFormat="1" ht="14.4">
      <c r="A98" s="2555"/>
      <c r="B98" s="2509"/>
      <c r="C98" s="2510"/>
      <c r="D98" s="2518"/>
      <c r="E98" s="2512"/>
      <c r="F98" s="2512"/>
      <c r="G98" s="2542"/>
      <c r="H98" s="1422"/>
      <c r="I98" s="1446"/>
    </row>
    <row r="99" spans="1:9" s="1420" customFormat="1" ht="14.4">
      <c r="A99" s="2555"/>
      <c r="B99" s="2509"/>
      <c r="C99" s="2510"/>
      <c r="D99" s="2518"/>
      <c r="E99" s="2512"/>
      <c r="F99" s="2512"/>
      <c r="G99" s="2542"/>
      <c r="H99" s="1422"/>
      <c r="I99" s="1446"/>
    </row>
    <row r="100" spans="1:9" s="1420" customFormat="1" ht="14.4">
      <c r="A100" s="2555"/>
      <c r="B100" s="2509"/>
      <c r="C100" s="2510"/>
      <c r="D100" s="2518"/>
      <c r="E100" s="2512"/>
      <c r="F100" s="2512"/>
      <c r="G100" s="2542"/>
      <c r="H100" s="1422"/>
      <c r="I100" s="1446"/>
    </row>
    <row r="101" spans="1:9" s="1420" customFormat="1" ht="14.4">
      <c r="A101" s="2555"/>
      <c r="B101" s="2509"/>
      <c r="C101" s="2510"/>
      <c r="D101" s="2518"/>
      <c r="E101" s="2512"/>
      <c r="F101" s="2512"/>
      <c r="G101" s="2542"/>
      <c r="H101" s="1422"/>
      <c r="I101" s="1446"/>
    </row>
    <row r="102" spans="1:9" s="1420" customFormat="1" ht="14.4">
      <c r="A102" s="2555"/>
      <c r="B102" s="2509"/>
      <c r="C102" s="2510"/>
      <c r="D102" s="2518"/>
      <c r="E102" s="2512"/>
      <c r="F102" s="2512"/>
      <c r="G102" s="2542"/>
      <c r="H102" s="1422"/>
      <c r="I102" s="1446"/>
    </row>
    <row r="103" spans="1:9" s="1420" customFormat="1" ht="14.4">
      <c r="A103" s="2555"/>
      <c r="B103" s="2509"/>
      <c r="C103" s="2510"/>
      <c r="D103" s="2518"/>
      <c r="E103" s="2512"/>
      <c r="F103" s="2512"/>
      <c r="G103" s="2542"/>
      <c r="H103" s="1422"/>
      <c r="I103" s="1446"/>
    </row>
    <row r="104" spans="1:9" s="1420" customFormat="1" ht="14.4">
      <c r="A104" s="2555"/>
      <c r="B104" s="2509"/>
      <c r="C104" s="2510"/>
      <c r="D104" s="2518"/>
      <c r="E104" s="2512"/>
      <c r="F104" s="2512"/>
      <c r="G104" s="2542"/>
      <c r="H104" s="1422"/>
      <c r="I104" s="1446"/>
    </row>
    <row r="105" spans="1:9" s="1420" customFormat="1" ht="14.4">
      <c r="A105" s="2555"/>
      <c r="B105" s="2509"/>
      <c r="C105" s="2510"/>
      <c r="D105" s="2518"/>
      <c r="E105" s="2512"/>
      <c r="F105" s="2512"/>
      <c r="G105" s="2542"/>
      <c r="H105" s="1422"/>
      <c r="I105" s="1446"/>
    </row>
    <row r="106" spans="1:9" s="1420" customFormat="1" ht="14.4">
      <c r="A106" s="2555"/>
      <c r="B106" s="2509"/>
      <c r="C106" s="2510"/>
      <c r="D106" s="2518"/>
      <c r="E106" s="2512"/>
      <c r="F106" s="2512"/>
      <c r="G106" s="2542"/>
      <c r="H106" s="1422"/>
      <c r="I106" s="1446"/>
    </row>
    <row r="107" spans="1:9" s="1420" customFormat="1" ht="14.4">
      <c r="A107" s="2555"/>
      <c r="B107" s="2509"/>
      <c r="C107" s="2510"/>
      <c r="D107" s="2518"/>
      <c r="E107" s="2512"/>
      <c r="F107" s="2512"/>
      <c r="G107" s="2542"/>
      <c r="H107" s="1422"/>
      <c r="I107" s="1446"/>
    </row>
    <row r="108" spans="1:9" s="1420" customFormat="1" ht="14.4">
      <c r="A108" s="2555"/>
      <c r="B108" s="2509"/>
      <c r="C108" s="2510"/>
      <c r="D108" s="2518"/>
      <c r="E108" s="2512"/>
      <c r="F108" s="2512"/>
      <c r="G108" s="2542"/>
      <c r="H108" s="1422"/>
      <c r="I108" s="1446"/>
    </row>
    <row r="109" spans="1:9" s="1420" customFormat="1" ht="14.4">
      <c r="A109" s="2555"/>
      <c r="B109" s="2509"/>
      <c r="C109" s="2510"/>
      <c r="D109" s="2518"/>
      <c r="E109" s="2512"/>
      <c r="F109" s="2512"/>
      <c r="G109" s="2542"/>
      <c r="H109" s="1422"/>
      <c r="I109" s="1446"/>
    </row>
    <row r="110" spans="1:9" s="1420" customFormat="1" ht="14.4">
      <c r="A110" s="2555"/>
      <c r="B110" s="2509"/>
      <c r="C110" s="2510"/>
      <c r="D110" s="2518"/>
      <c r="E110" s="2512"/>
      <c r="F110" s="2512"/>
      <c r="G110" s="2542"/>
      <c r="H110" s="1422"/>
      <c r="I110" s="1446"/>
    </row>
    <row r="111" spans="1:9" s="1420" customFormat="1" ht="14.4">
      <c r="A111" s="2555"/>
      <c r="B111" s="2509"/>
      <c r="C111" s="2510"/>
      <c r="D111" s="2518"/>
      <c r="E111" s="2512"/>
      <c r="F111" s="2512"/>
      <c r="G111" s="2542"/>
      <c r="H111" s="1422"/>
      <c r="I111" s="1446"/>
    </row>
    <row r="112" spans="1:9" s="1420" customFormat="1" ht="14.4">
      <c r="A112" s="2555"/>
      <c r="B112" s="2509"/>
      <c r="C112" s="2510"/>
      <c r="D112" s="2518"/>
      <c r="E112" s="2512"/>
      <c r="F112" s="2512"/>
      <c r="G112" s="2542"/>
      <c r="H112" s="1422"/>
      <c r="I112" s="1446"/>
    </row>
    <row r="113" spans="1:9" s="1420" customFormat="1" ht="14.4">
      <c r="A113" s="2555"/>
      <c r="B113" s="2509"/>
      <c r="C113" s="2510"/>
      <c r="D113" s="2518"/>
      <c r="E113" s="2512"/>
      <c r="F113" s="2512"/>
      <c r="G113" s="2542"/>
      <c r="H113" s="1422"/>
      <c r="I113" s="1446"/>
    </row>
    <row r="114" spans="1:9" s="1420" customFormat="1" ht="14.4">
      <c r="A114" s="2555"/>
      <c r="B114" s="2509"/>
      <c r="C114" s="2510"/>
      <c r="D114" s="2518"/>
      <c r="E114" s="2512"/>
      <c r="F114" s="2512"/>
      <c r="G114" s="2542"/>
      <c r="H114" s="1422"/>
      <c r="I114" s="1446"/>
    </row>
    <row r="115" spans="1:9" s="1420" customFormat="1" ht="14.4">
      <c r="A115" s="2555"/>
      <c r="B115" s="2509"/>
      <c r="C115" s="2510"/>
      <c r="D115" s="2518"/>
      <c r="E115" s="2512"/>
      <c r="F115" s="2512"/>
      <c r="G115" s="2542"/>
      <c r="H115" s="1422"/>
      <c r="I115" s="1446"/>
    </row>
    <row r="116" spans="1:9" s="1420" customFormat="1" ht="14.4">
      <c r="A116" s="2555"/>
      <c r="B116" s="2509"/>
      <c r="C116" s="2510"/>
      <c r="D116" s="2518"/>
      <c r="E116" s="2512"/>
      <c r="F116" s="2512"/>
      <c r="G116" s="2542"/>
      <c r="H116" s="1422"/>
      <c r="I116" s="1446"/>
    </row>
    <row r="117" spans="1:9" s="1420" customFormat="1" ht="14.4">
      <c r="A117" s="2555"/>
      <c r="B117" s="2509"/>
      <c r="C117" s="2510"/>
      <c r="D117" s="2518"/>
      <c r="E117" s="2512"/>
      <c r="F117" s="2512"/>
      <c r="G117" s="2542"/>
      <c r="H117" s="1422"/>
      <c r="I117" s="1446"/>
    </row>
    <row r="118" spans="1:9" s="1420" customFormat="1" ht="14.4">
      <c r="A118" s="2555"/>
      <c r="B118" s="2509"/>
      <c r="C118" s="2510"/>
      <c r="D118" s="2518"/>
      <c r="E118" s="2512"/>
      <c r="F118" s="2512"/>
      <c r="G118" s="2542"/>
      <c r="H118" s="1422"/>
      <c r="I118" s="1446"/>
    </row>
    <row r="119" spans="1:9" s="1420" customFormat="1" ht="14.4">
      <c r="A119" s="2555"/>
      <c r="B119" s="2509"/>
      <c r="C119" s="2510"/>
      <c r="D119" s="2518"/>
      <c r="E119" s="2512"/>
      <c r="F119" s="2512"/>
      <c r="G119" s="2542"/>
      <c r="H119" s="1422"/>
      <c r="I119" s="1446"/>
    </row>
    <row r="120" spans="1:9" s="1420" customFormat="1" ht="14.4">
      <c r="A120" s="2555"/>
      <c r="B120" s="2509"/>
      <c r="C120" s="2510"/>
      <c r="D120" s="2518"/>
      <c r="E120" s="2512"/>
      <c r="F120" s="2512"/>
      <c r="G120" s="2542"/>
      <c r="H120" s="1422"/>
      <c r="I120" s="1446"/>
    </row>
    <row r="121" spans="1:9" s="1420" customFormat="1" ht="14.4">
      <c r="A121" s="2555"/>
      <c r="B121" s="2509"/>
      <c r="C121" s="2510"/>
      <c r="D121" s="2518"/>
      <c r="E121" s="2512"/>
      <c r="F121" s="2512"/>
      <c r="G121" s="2542"/>
      <c r="H121" s="1422"/>
      <c r="I121" s="1446"/>
    </row>
    <row r="122" spans="1:9" s="1420" customFormat="1" ht="14.4">
      <c r="A122" s="2555"/>
      <c r="B122" s="2509"/>
      <c r="C122" s="2510"/>
      <c r="D122" s="2518"/>
      <c r="E122" s="2512"/>
      <c r="F122" s="2512"/>
      <c r="G122" s="2542"/>
      <c r="H122" s="1422"/>
      <c r="I122" s="1446"/>
    </row>
    <row r="123" spans="1:9" s="1420" customFormat="1" ht="14.4">
      <c r="A123" s="2555"/>
      <c r="B123" s="2509"/>
      <c r="C123" s="2510"/>
      <c r="D123" s="2518"/>
      <c r="E123" s="2512"/>
      <c r="F123" s="2512"/>
      <c r="G123" s="2542"/>
      <c r="H123" s="1422"/>
      <c r="I123" s="1446"/>
    </row>
    <row r="124" spans="1:9" s="1420" customFormat="1" ht="14.4">
      <c r="A124" s="2555"/>
      <c r="B124" s="2509"/>
      <c r="C124" s="2510"/>
      <c r="D124" s="2518"/>
      <c r="E124" s="2512"/>
      <c r="F124" s="2512"/>
      <c r="G124" s="2542"/>
      <c r="H124" s="1422"/>
      <c r="I124" s="1446"/>
    </row>
    <row r="125" spans="1:9" s="1420" customFormat="1" ht="14.4">
      <c r="A125" s="2555"/>
      <c r="B125" s="2509"/>
      <c r="C125" s="2510"/>
      <c r="D125" s="2518"/>
      <c r="E125" s="2512"/>
      <c r="F125" s="2512"/>
      <c r="G125" s="2542"/>
      <c r="H125" s="1422"/>
      <c r="I125" s="1446"/>
    </row>
    <row r="126" spans="1:9" s="1420" customFormat="1" ht="14.4">
      <c r="A126" s="2555"/>
      <c r="B126" s="2509"/>
      <c r="C126" s="2510"/>
      <c r="D126" s="2518"/>
      <c r="E126" s="2512"/>
      <c r="F126" s="2512"/>
      <c r="G126" s="2542"/>
      <c r="H126" s="1422"/>
      <c r="I126" s="1446"/>
    </row>
    <row r="127" spans="1:9" s="1420" customFormat="1" ht="14.4">
      <c r="A127" s="2555"/>
      <c r="B127" s="2509"/>
      <c r="C127" s="2510"/>
      <c r="D127" s="2518"/>
      <c r="E127" s="2512"/>
      <c r="F127" s="2512"/>
      <c r="G127" s="2542"/>
      <c r="H127" s="1422"/>
      <c r="I127" s="1446"/>
    </row>
    <row r="128" spans="1:9" s="1420" customFormat="1" ht="14.4">
      <c r="A128" s="2555"/>
      <c r="B128" s="2509"/>
      <c r="C128" s="2510"/>
      <c r="D128" s="2518"/>
      <c r="E128" s="2512"/>
      <c r="F128" s="2512"/>
      <c r="G128" s="2542"/>
      <c r="H128" s="1422"/>
      <c r="I128" s="1446"/>
    </row>
    <row r="129" spans="1:9" s="1420" customFormat="1" ht="14.4">
      <c r="A129" s="2555"/>
      <c r="B129" s="2509"/>
      <c r="C129" s="2510"/>
      <c r="D129" s="2518"/>
      <c r="E129" s="2512"/>
      <c r="F129" s="2512"/>
      <c r="G129" s="2542"/>
      <c r="H129" s="1422"/>
      <c r="I129" s="1446"/>
    </row>
    <row r="130" spans="1:9" s="1420" customFormat="1" ht="14.4">
      <c r="A130" s="2555"/>
      <c r="B130" s="2509"/>
      <c r="C130" s="2510"/>
      <c r="D130" s="2518"/>
      <c r="E130" s="2512"/>
      <c r="F130" s="2512"/>
      <c r="G130" s="2542"/>
      <c r="H130" s="1422"/>
      <c r="I130" s="1446"/>
    </row>
    <row r="131" spans="1:9" s="1420" customFormat="1" ht="14.4">
      <c r="A131" s="2555"/>
      <c r="B131" s="2509"/>
      <c r="C131" s="2510"/>
      <c r="D131" s="2518"/>
      <c r="E131" s="2512"/>
      <c r="F131" s="2512"/>
      <c r="G131" s="2542"/>
      <c r="H131" s="1422"/>
      <c r="I131" s="1446"/>
    </row>
    <row r="132" spans="1:9" s="1420" customFormat="1" ht="14.4">
      <c r="A132" s="2555"/>
      <c r="B132" s="2509"/>
      <c r="C132" s="2510"/>
      <c r="D132" s="2518"/>
      <c r="E132" s="2512"/>
      <c r="F132" s="2512"/>
      <c r="G132" s="2542"/>
      <c r="H132" s="1422"/>
      <c r="I132" s="1446"/>
    </row>
    <row r="133" spans="1:9" s="1420" customFormat="1" ht="14.4">
      <c r="A133" s="2555"/>
      <c r="B133" s="2509"/>
      <c r="C133" s="2510"/>
      <c r="D133" s="2518"/>
      <c r="E133" s="2512"/>
      <c r="F133" s="2512"/>
      <c r="G133" s="2542"/>
      <c r="H133" s="1422"/>
      <c r="I133" s="1446"/>
    </row>
    <row r="134" spans="1:9" s="1420" customFormat="1" ht="14.4">
      <c r="A134" s="2555"/>
      <c r="B134" s="2509"/>
      <c r="C134" s="2510"/>
      <c r="D134" s="2518"/>
      <c r="E134" s="2512"/>
      <c r="F134" s="2512"/>
      <c r="G134" s="2542"/>
      <c r="H134" s="1422"/>
      <c r="I134" s="1446"/>
    </row>
    <row r="135" spans="1:9" s="1420" customFormat="1" ht="14.4">
      <c r="A135" s="2555"/>
      <c r="B135" s="2509"/>
      <c r="C135" s="2510"/>
      <c r="D135" s="2518"/>
      <c r="E135" s="2512"/>
      <c r="F135" s="2512"/>
      <c r="G135" s="2542"/>
      <c r="H135" s="1422"/>
      <c r="I135" s="1446"/>
    </row>
    <row r="136" spans="1:9" s="1420" customFormat="1" ht="14.4">
      <c r="A136" s="2555"/>
      <c r="B136" s="2509"/>
      <c r="C136" s="2510"/>
      <c r="D136" s="2518"/>
      <c r="E136" s="2512"/>
      <c r="F136" s="2512"/>
      <c r="G136" s="2542"/>
      <c r="H136" s="1422"/>
      <c r="I136" s="1446"/>
    </row>
    <row r="137" spans="1:9" s="1420" customFormat="1" ht="14.4">
      <c r="A137" s="2555"/>
      <c r="B137" s="2509"/>
      <c r="C137" s="2510"/>
      <c r="D137" s="2518"/>
      <c r="E137" s="2512"/>
      <c r="F137" s="2512"/>
      <c r="G137" s="2542"/>
      <c r="H137" s="1422"/>
      <c r="I137" s="1446"/>
    </row>
    <row r="138" spans="1:9" s="1420" customFormat="1" ht="14.4">
      <c r="A138" s="2555"/>
      <c r="B138" s="2509"/>
      <c r="C138" s="2510"/>
      <c r="D138" s="2518"/>
      <c r="E138" s="2512"/>
      <c r="F138" s="2512"/>
      <c r="G138" s="2542"/>
      <c r="H138" s="1422"/>
      <c r="I138" s="1446"/>
    </row>
    <row r="139" spans="1:9" s="1420" customFormat="1" ht="14.4">
      <c r="A139" s="2555"/>
      <c r="B139" s="2509"/>
      <c r="C139" s="2510"/>
      <c r="D139" s="2518"/>
      <c r="E139" s="2512"/>
      <c r="F139" s="2512"/>
      <c r="G139" s="2542"/>
      <c r="H139" s="1422"/>
      <c r="I139" s="1446"/>
    </row>
    <row r="140" spans="1:9" s="1420" customFormat="1" ht="14.4">
      <c r="A140" s="2555"/>
      <c r="B140" s="2509"/>
      <c r="C140" s="2510"/>
      <c r="D140" s="2518"/>
      <c r="E140" s="2512"/>
      <c r="F140" s="2512"/>
      <c r="G140" s="2542"/>
      <c r="H140" s="1422"/>
      <c r="I140" s="1446"/>
    </row>
    <row r="141" spans="1:9" s="1420" customFormat="1" ht="14.4">
      <c r="A141" s="2555"/>
      <c r="B141" s="2509"/>
      <c r="C141" s="2510"/>
      <c r="D141" s="2518"/>
      <c r="E141" s="2512"/>
      <c r="F141" s="2512"/>
      <c r="G141" s="2542"/>
      <c r="H141" s="1422"/>
      <c r="I141" s="1446"/>
    </row>
    <row r="142" spans="1:9" s="1420" customFormat="1" ht="14.4">
      <c r="A142" s="2555"/>
      <c r="B142" s="2509"/>
      <c r="C142" s="2510"/>
      <c r="D142" s="2518"/>
      <c r="E142" s="2512"/>
      <c r="F142" s="2512"/>
      <c r="G142" s="2542"/>
      <c r="H142" s="1422"/>
      <c r="I142" s="1446"/>
    </row>
    <row r="143" spans="1:9" s="1420" customFormat="1" ht="14.4">
      <c r="A143" s="2555"/>
      <c r="B143" s="2509"/>
      <c r="C143" s="2510"/>
      <c r="D143" s="2518"/>
      <c r="E143" s="2512"/>
      <c r="F143" s="2512"/>
      <c r="G143" s="2542"/>
      <c r="H143" s="1422"/>
      <c r="I143" s="1446"/>
    </row>
    <row r="144" spans="1:9">
      <c r="A144" s="1786"/>
      <c r="B144" s="1424"/>
      <c r="C144" s="1425"/>
      <c r="D144" s="1426"/>
      <c r="E144" s="1426"/>
      <c r="F144" s="1427"/>
      <c r="G144" s="1428"/>
      <c r="H144" s="2572"/>
    </row>
    <row r="145" spans="1:9">
      <c r="A145" s="2566"/>
      <c r="B145" s="1429"/>
      <c r="C145" s="1430"/>
      <c r="D145" s="1431" t="s">
        <v>1692</v>
      </c>
      <c r="E145" s="1432"/>
      <c r="F145" s="1450"/>
      <c r="G145" s="1451"/>
      <c r="H145" s="2573">
        <f>SUM(H70:H143)</f>
        <v>2734380.67</v>
      </c>
    </row>
    <row r="146" spans="1:9" s="1420" customFormat="1" ht="14.4">
      <c r="A146" s="2574"/>
      <c r="B146" s="1452"/>
      <c r="C146" s="1453"/>
      <c r="D146" s="1454"/>
      <c r="E146" s="1455"/>
      <c r="F146" s="1455"/>
      <c r="G146" s="1456"/>
      <c r="H146" s="1456"/>
      <c r="I146" s="1446"/>
    </row>
    <row r="147" spans="1:9" s="1420" customFormat="1" ht="14.4">
      <c r="A147" s="2574"/>
      <c r="B147" s="1457"/>
      <c r="C147" s="1458"/>
      <c r="D147" s="1454"/>
      <c r="E147" s="1459"/>
      <c r="F147" s="1459"/>
      <c r="G147" s="1460"/>
      <c r="H147" s="1460"/>
      <c r="I147" s="1446"/>
    </row>
    <row r="148" spans="1:9" s="1420" customFormat="1" ht="14.4">
      <c r="A148" s="2574"/>
      <c r="B148" s="1457"/>
      <c r="C148" s="1458"/>
      <c r="D148" s="1454"/>
      <c r="E148" s="1459"/>
      <c r="F148" s="1459"/>
      <c r="G148" s="1460"/>
      <c r="H148" s="1460"/>
      <c r="I148" s="1446"/>
    </row>
    <row r="149" spans="1:9" s="1420" customFormat="1" ht="14.4">
      <c r="A149" s="2574"/>
      <c r="B149" s="1457"/>
      <c r="C149" s="1458"/>
      <c r="D149" s="1454"/>
      <c r="E149" s="1459"/>
      <c r="F149" s="1459"/>
      <c r="G149" s="1460"/>
      <c r="H149" s="1460"/>
      <c r="I149" s="1446"/>
    </row>
    <row r="150" spans="1:9" s="1420" customFormat="1" ht="14.4">
      <c r="A150" s="2574"/>
      <c r="B150" s="1457"/>
      <c r="C150" s="1458"/>
      <c r="D150" s="1454"/>
      <c r="E150" s="1459"/>
      <c r="F150" s="1459"/>
      <c r="G150" s="1460"/>
      <c r="H150" s="1460"/>
      <c r="I150" s="1446"/>
    </row>
    <row r="151" spans="1:9" s="1420" customFormat="1" ht="14.4">
      <c r="A151" s="2574"/>
      <c r="B151" s="1457"/>
      <c r="C151" s="1458"/>
      <c r="D151" s="1454"/>
      <c r="E151" s="1459"/>
      <c r="F151" s="1459"/>
      <c r="G151" s="1460"/>
      <c r="H151" s="1460"/>
      <c r="I151" s="1446"/>
    </row>
    <row r="152" spans="1:9" s="1420" customFormat="1" ht="14.4">
      <c r="A152" s="2574"/>
      <c r="B152" s="1457"/>
      <c r="C152" s="1458"/>
      <c r="D152" s="1454"/>
      <c r="E152" s="1459"/>
      <c r="F152" s="1459"/>
      <c r="G152" s="1460"/>
      <c r="H152" s="1460"/>
      <c r="I152" s="1446"/>
    </row>
    <row r="153" spans="1:9" s="1420" customFormat="1" ht="14.4">
      <c r="A153" s="2574"/>
      <c r="B153" s="1457"/>
      <c r="C153" s="1458"/>
      <c r="D153" s="1454"/>
      <c r="E153" s="1459"/>
      <c r="F153" s="1459"/>
      <c r="G153" s="1460"/>
      <c r="H153" s="1460"/>
      <c r="I153" s="1446"/>
    </row>
    <row r="154" spans="1:9" s="1420" customFormat="1" ht="12.75" customHeight="1">
      <c r="A154" s="2574"/>
      <c r="B154" s="1457"/>
      <c r="C154" s="1458"/>
      <c r="D154" s="1454"/>
      <c r="E154" s="1459"/>
      <c r="F154" s="1459"/>
      <c r="G154" s="1439"/>
      <c r="H154" s="1460"/>
      <c r="I154" s="1446"/>
    </row>
    <row r="155" spans="1:9" hidden="1">
      <c r="A155" s="1763"/>
      <c r="B155" s="1457"/>
      <c r="C155" s="1458"/>
      <c r="D155" s="1454"/>
      <c r="E155" s="1459"/>
      <c r="F155" s="1461"/>
      <c r="G155" s="1439"/>
      <c r="H155" s="1439"/>
    </row>
    <row r="156" spans="1:9" ht="14.4" hidden="1">
      <c r="A156" s="1763"/>
      <c r="B156" s="1439"/>
      <c r="C156" s="1462" t="s">
        <v>1693</v>
      </c>
      <c r="E156" s="2"/>
      <c r="F156" s="2"/>
      <c r="G156" s="2"/>
    </row>
    <row r="157" spans="1:9" s="371" customFormat="1" hidden="1">
      <c r="A157" s="2482"/>
      <c r="H157" s="1463"/>
    </row>
    <row r="158" spans="1:9" s="1423" customFormat="1" hidden="1">
      <c r="A158" s="2575"/>
      <c r="B158" s="1464"/>
      <c r="C158" s="1464"/>
      <c r="D158" s="1464"/>
      <c r="E158" s="1464"/>
      <c r="F158" s="1464"/>
      <c r="G158" s="1464"/>
      <c r="H158" s="1464"/>
    </row>
    <row r="159" spans="1:9" hidden="1"/>
    <row r="160" spans="1:9" hidden="1"/>
  </sheetData>
  <sheetProtection algorithmName="SHA-512" hashValue="+gwFhBNS1TGG+FTvms6RbIayViJ3UPLQ5lpm8AYkhYQDljABDHuy3qbud6AqwLF6ehX8u2Bt87iabWQkt71VAg==" saltValue="PXehyy9/vc0wmD/8E2mlJg==" spinCount="100000" sheet="1" objects="1" scenarios="1"/>
  <mergeCells count="1">
    <mergeCell ref="A1:H1"/>
  </mergeCells>
  <pageMargins left="0.59055118110236227" right="0.59055118110236227" top="1.1023622047244095" bottom="0.78740157480314965" header="0.27559055118110237" footer="0.27559055118110237"/>
  <pageSetup paperSize="9" scale="64" firstPageNumber="90" fitToHeight="0" orientation="portrait" useFirstPageNumber="1" copies="2" r:id="rId1"/>
  <headerFooter alignWithMargins="0">
    <oddHeader>&amp;L&amp;G&amp;CContract JW 14425
Bushkoppie Wastewater Treatment Works:
Infrastructure Renewal Plan
Volume 1 
C 2.2 Bill of Quantities&amp;R&amp;G</oddHeader>
    <oddFooter>&amp;C&amp;12
&amp;G
C.&amp;P</oddFooter>
  </headerFooter>
  <rowBreaks count="1" manualBreakCount="1">
    <brk id="69" max="16383" man="1"/>
  </row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67E18-DDE9-4C18-8B2B-0C85BE90455A}">
  <sheetPr codeName="Sheet14">
    <pageSetUpPr fitToPage="1"/>
  </sheetPr>
  <dimension ref="A1:O363"/>
  <sheetViews>
    <sheetView view="pageBreakPreview" topLeftCell="A289" zoomScaleNormal="100" zoomScaleSheetLayoutView="100" workbookViewId="0">
      <selection activeCell="I8" sqref="I8"/>
    </sheetView>
  </sheetViews>
  <sheetFormatPr defaultColWidth="6.109375" defaultRowHeight="13.2"/>
  <cols>
    <col min="1" max="1" width="9.109375" style="448" customWidth="1"/>
    <col min="2" max="2" width="8.88671875" style="335" customWidth="1"/>
    <col min="3" max="3" width="9.88671875" style="31" customWidth="1"/>
    <col min="4" max="4" width="58.88671875" style="31" customWidth="1"/>
    <col min="5" max="5" width="9.33203125" style="32" customWidth="1"/>
    <col min="6" max="6" width="10.88671875" style="337" customWidth="1"/>
    <col min="7" max="7" width="14.88671875" style="31" customWidth="1"/>
    <col min="8" max="8" width="20.88671875" style="448" customWidth="1"/>
    <col min="9" max="9" width="16.6640625" style="31" customWidth="1"/>
    <col min="10" max="10" width="6.109375" style="31" customWidth="1"/>
    <col min="11" max="11" width="3.44140625" style="448" customWidth="1"/>
    <col min="12" max="14" width="3.88671875" style="448" customWidth="1"/>
    <col min="15" max="16" width="6.109375" style="31" customWidth="1"/>
    <col min="17" max="17" width="8" style="31" customWidth="1"/>
    <col min="18" max="16384" width="6.109375" style="31"/>
  </cols>
  <sheetData>
    <row r="1" spans="1:15" s="329" customFormat="1" ht="15">
      <c r="A1" s="3036" t="s">
        <v>1694</v>
      </c>
      <c r="B1" s="3036"/>
      <c r="C1" s="3036"/>
      <c r="D1" s="3036"/>
      <c r="E1" s="3036"/>
      <c r="F1" s="3036"/>
      <c r="G1" s="3036"/>
      <c r="H1" s="3036"/>
      <c r="I1" s="826"/>
      <c r="K1" s="449"/>
      <c r="L1" s="449"/>
      <c r="M1" s="449"/>
      <c r="N1" s="449"/>
    </row>
    <row r="2" spans="1:15" s="335" customFormat="1" ht="25.5" customHeight="1">
      <c r="A2" s="453" t="s">
        <v>541</v>
      </c>
      <c r="B2" s="453" t="s">
        <v>217</v>
      </c>
      <c r="C2" s="453" t="s">
        <v>218</v>
      </c>
      <c r="D2" s="453" t="s">
        <v>219</v>
      </c>
      <c r="E2" s="680" t="s">
        <v>220</v>
      </c>
      <c r="F2" s="681" t="s">
        <v>221</v>
      </c>
      <c r="G2" s="682" t="s">
        <v>222</v>
      </c>
      <c r="H2" s="683" t="s">
        <v>223</v>
      </c>
      <c r="I2" s="476"/>
      <c r="K2" s="3037"/>
      <c r="L2" s="3037"/>
      <c r="M2" s="3037"/>
      <c r="N2" s="3037"/>
    </row>
    <row r="3" spans="1:15">
      <c r="A3" s="2383"/>
      <c r="B3" s="1667"/>
      <c r="C3" s="2029"/>
      <c r="D3" s="2030"/>
      <c r="E3" s="1669"/>
      <c r="F3" s="1816"/>
      <c r="G3" s="2080"/>
      <c r="H3" s="2576"/>
      <c r="I3" s="477"/>
      <c r="K3" s="3037"/>
      <c r="L3" s="3037"/>
      <c r="M3" s="3037"/>
      <c r="N3" s="3037"/>
    </row>
    <row r="4" spans="1:15" s="513" customFormat="1" ht="13.8">
      <c r="A4" s="2577">
        <v>13</v>
      </c>
      <c r="B4" s="2578"/>
      <c r="C4" s="2579" t="s">
        <v>1695</v>
      </c>
      <c r="D4" s="2580" t="s">
        <v>1696</v>
      </c>
      <c r="E4" s="888"/>
      <c r="F4" s="2581"/>
      <c r="G4" s="2582"/>
      <c r="H4" s="2583"/>
      <c r="I4" s="830"/>
      <c r="K4" s="3037"/>
      <c r="L4" s="3037"/>
      <c r="M4" s="3037"/>
      <c r="N4" s="3037"/>
    </row>
    <row r="5" spans="1:15" s="10" customFormat="1">
      <c r="A5" s="1574"/>
      <c r="B5" s="1271"/>
      <c r="C5" s="1575"/>
      <c r="D5" s="2240"/>
      <c r="E5" s="882"/>
      <c r="F5" s="1577"/>
      <c r="G5" s="1578"/>
      <c r="H5" s="1579"/>
      <c r="I5" s="829"/>
      <c r="K5" s="3037"/>
      <c r="L5" s="3037"/>
      <c r="M5" s="3037"/>
      <c r="N5" s="3037"/>
    </row>
    <row r="6" spans="1:15" s="10" customFormat="1" ht="26.4">
      <c r="A6" s="1574"/>
      <c r="B6" s="1271"/>
      <c r="C6" s="1575"/>
      <c r="D6" s="2241" t="s">
        <v>1697</v>
      </c>
      <c r="E6" s="882"/>
      <c r="F6" s="1577"/>
      <c r="G6" s="1578"/>
      <c r="H6" s="1579"/>
      <c r="I6" s="829"/>
      <c r="K6" s="3037"/>
      <c r="L6" s="3037"/>
      <c r="M6" s="3037"/>
      <c r="N6" s="3037"/>
    </row>
    <row r="7" spans="1:15" s="10" customFormat="1">
      <c r="A7" s="1574"/>
      <c r="B7" s="1271"/>
      <c r="C7" s="1575"/>
      <c r="D7" s="2240"/>
      <c r="E7" s="882"/>
      <c r="F7" s="1577"/>
      <c r="G7" s="1578"/>
      <c r="H7" s="1579"/>
      <c r="I7" s="829"/>
      <c r="K7" s="3037"/>
      <c r="L7" s="3037"/>
      <c r="M7" s="3037"/>
      <c r="N7" s="3037"/>
    </row>
    <row r="8" spans="1:15" s="10" customFormat="1" ht="39.6">
      <c r="A8" s="1574">
        <f>$A$4</f>
        <v>13</v>
      </c>
      <c r="B8" s="1271">
        <v>1</v>
      </c>
      <c r="C8" s="1575"/>
      <c r="D8" s="2241" t="s">
        <v>1698</v>
      </c>
      <c r="E8" s="882"/>
      <c r="F8" s="1577"/>
      <c r="G8" s="1578"/>
      <c r="H8" s="1579"/>
      <c r="I8" s="829"/>
      <c r="K8" s="3037"/>
      <c r="L8" s="3037"/>
      <c r="M8" s="3037"/>
      <c r="N8" s="3037"/>
    </row>
    <row r="9" spans="1:15" s="10" customFormat="1">
      <c r="A9" s="1574"/>
      <c r="B9" s="1271"/>
      <c r="C9" s="1575"/>
      <c r="D9" s="2240"/>
      <c r="E9" s="882"/>
      <c r="F9" s="1577"/>
      <c r="G9" s="1578"/>
      <c r="H9" s="1579"/>
      <c r="I9" s="829"/>
      <c r="K9" s="3037"/>
      <c r="L9" s="3037"/>
      <c r="M9" s="3037"/>
      <c r="N9" s="3037"/>
    </row>
    <row r="10" spans="1:15" s="10" customFormat="1">
      <c r="A10" s="1574">
        <f>$A$4</f>
        <v>13</v>
      </c>
      <c r="B10" s="1271">
        <v>1.1000000000000001</v>
      </c>
      <c r="C10" s="1575"/>
      <c r="D10" s="1580" t="s">
        <v>1699</v>
      </c>
      <c r="E10" s="882" t="s">
        <v>273</v>
      </c>
      <c r="F10" s="1577">
        <v>2</v>
      </c>
      <c r="G10" s="1578"/>
      <c r="H10" s="1501">
        <f t="shared" ref="H10:H68" si="0">IF(E10="","",ROUND(F10*G10,2))</f>
        <v>0</v>
      </c>
      <c r="I10" s="829"/>
      <c r="K10" s="3037"/>
      <c r="L10" s="3037"/>
      <c r="M10" s="3037"/>
      <c r="N10" s="3037"/>
    </row>
    <row r="11" spans="1:15" s="10" customFormat="1">
      <c r="A11" s="1574"/>
      <c r="B11" s="1271"/>
      <c r="C11" s="1575"/>
      <c r="D11" s="1580"/>
      <c r="E11" s="882"/>
      <c r="F11" s="1577"/>
      <c r="G11" s="1578"/>
      <c r="H11" s="1501" t="str">
        <f t="shared" si="0"/>
        <v/>
      </c>
      <c r="I11" s="829"/>
      <c r="K11" s="3037"/>
      <c r="L11" s="3037"/>
      <c r="M11" s="3037"/>
      <c r="N11" s="3037"/>
    </row>
    <row r="12" spans="1:15" s="10" customFormat="1">
      <c r="A12" s="1574">
        <f>$A$4</f>
        <v>13</v>
      </c>
      <c r="B12" s="1271">
        <v>1.2</v>
      </c>
      <c r="C12" s="1575"/>
      <c r="D12" s="1580" t="s">
        <v>1700</v>
      </c>
      <c r="E12" s="882" t="s">
        <v>954</v>
      </c>
      <c r="F12" s="1577">
        <v>4</v>
      </c>
      <c r="G12" s="1578"/>
      <c r="H12" s="1501">
        <f t="shared" si="0"/>
        <v>0</v>
      </c>
      <c r="I12" s="829"/>
      <c r="K12" s="3037"/>
      <c r="L12" s="3037"/>
      <c r="M12" s="3037"/>
      <c r="N12" s="3037"/>
    </row>
    <row r="13" spans="1:15" s="10" customFormat="1">
      <c r="A13" s="1574"/>
      <c r="B13" s="1271"/>
      <c r="C13" s="1575"/>
      <c r="D13" s="1580"/>
      <c r="E13" s="882"/>
      <c r="F13" s="1577"/>
      <c r="G13" s="1578"/>
      <c r="H13" s="1501" t="str">
        <f t="shared" si="0"/>
        <v/>
      </c>
      <c r="I13" s="829"/>
      <c r="K13" s="3037"/>
      <c r="L13" s="3037"/>
      <c r="M13" s="3037"/>
      <c r="N13" s="3037"/>
    </row>
    <row r="14" spans="1:15" s="10" customFormat="1">
      <c r="A14" s="1574">
        <f>$A$4</f>
        <v>13</v>
      </c>
      <c r="B14" s="1271">
        <v>1.3</v>
      </c>
      <c r="C14" s="1575"/>
      <c r="D14" s="1580" t="s">
        <v>1701</v>
      </c>
      <c r="E14" s="882" t="s">
        <v>954</v>
      </c>
      <c r="F14" s="1577">
        <v>4</v>
      </c>
      <c r="G14" s="1578"/>
      <c r="H14" s="1501">
        <f t="shared" si="0"/>
        <v>0</v>
      </c>
      <c r="I14" s="829"/>
      <c r="K14" s="3037"/>
      <c r="L14" s="3037"/>
      <c r="M14" s="3037"/>
      <c r="N14" s="3037"/>
    </row>
    <row r="15" spans="1:15" s="10" customFormat="1">
      <c r="A15" s="1574"/>
      <c r="B15" s="1271"/>
      <c r="C15" s="1575"/>
      <c r="D15" s="1580"/>
      <c r="E15" s="882"/>
      <c r="F15" s="1577"/>
      <c r="G15" s="1578"/>
      <c r="H15" s="1501" t="str">
        <f t="shared" si="0"/>
        <v/>
      </c>
      <c r="I15" s="829"/>
      <c r="K15" s="3037"/>
      <c r="L15" s="3037"/>
      <c r="M15" s="3037"/>
      <c r="N15" s="3037"/>
      <c r="O15" s="3038"/>
    </row>
    <row r="16" spans="1:15" s="10" customFormat="1">
      <c r="A16" s="1574">
        <f>$A$4</f>
        <v>13</v>
      </c>
      <c r="B16" s="1271">
        <v>1.4</v>
      </c>
      <c r="C16" s="1575"/>
      <c r="D16" s="1580" t="s">
        <v>1702</v>
      </c>
      <c r="E16" s="882" t="s">
        <v>954</v>
      </c>
      <c r="F16" s="1577">
        <v>29</v>
      </c>
      <c r="G16" s="1578"/>
      <c r="H16" s="1501">
        <f t="shared" si="0"/>
        <v>0</v>
      </c>
      <c r="I16" s="829"/>
      <c r="K16" s="450"/>
      <c r="L16" s="450"/>
      <c r="M16" s="450"/>
      <c r="N16" s="450"/>
      <c r="O16" s="3038"/>
    </row>
    <row r="17" spans="1:15" s="10" customFormat="1">
      <c r="A17" s="1574"/>
      <c r="B17" s="1271"/>
      <c r="C17" s="1575"/>
      <c r="D17" s="1580"/>
      <c r="E17" s="882"/>
      <c r="F17" s="1577"/>
      <c r="G17" s="1578"/>
      <c r="H17" s="1501" t="str">
        <f t="shared" si="0"/>
        <v/>
      </c>
      <c r="I17" s="829"/>
      <c r="K17" s="450"/>
      <c r="L17" s="450"/>
      <c r="M17" s="450"/>
      <c r="N17" s="450"/>
      <c r="O17" s="3038"/>
    </row>
    <row r="18" spans="1:15" s="10" customFormat="1" ht="26.4">
      <c r="A18" s="1574">
        <f>$A$4</f>
        <v>13</v>
      </c>
      <c r="B18" s="1888">
        <v>2</v>
      </c>
      <c r="C18" s="1575"/>
      <c r="D18" s="2241" t="s">
        <v>1703</v>
      </c>
      <c r="E18" s="882"/>
      <c r="F18" s="1577"/>
      <c r="G18" s="1578"/>
      <c r="H18" s="1501" t="str">
        <f t="shared" si="0"/>
        <v/>
      </c>
      <c r="I18" s="829"/>
      <c r="K18" s="450"/>
      <c r="L18" s="450"/>
      <c r="M18" s="450"/>
      <c r="N18" s="450"/>
      <c r="O18" s="3038"/>
    </row>
    <row r="19" spans="1:15" s="10" customFormat="1">
      <c r="A19" s="1574"/>
      <c r="B19" s="1271"/>
      <c r="C19" s="1575"/>
      <c r="D19" s="1580"/>
      <c r="E19" s="882"/>
      <c r="F19" s="1577"/>
      <c r="G19" s="1578"/>
      <c r="H19" s="1501" t="str">
        <f t="shared" si="0"/>
        <v/>
      </c>
      <c r="I19" s="829"/>
      <c r="K19" s="450"/>
      <c r="L19" s="450"/>
      <c r="M19" s="450"/>
      <c r="N19" s="450"/>
      <c r="O19" s="3038"/>
    </row>
    <row r="20" spans="1:15" s="10" customFormat="1">
      <c r="A20" s="1574"/>
      <c r="B20" s="1271"/>
      <c r="C20" s="1575"/>
      <c r="D20" s="2584" t="s">
        <v>1704</v>
      </c>
      <c r="E20" s="882"/>
      <c r="F20" s="1577"/>
      <c r="G20" s="1578"/>
      <c r="H20" s="1501" t="str">
        <f t="shared" si="0"/>
        <v/>
      </c>
      <c r="I20" s="829"/>
      <c r="K20" s="450"/>
      <c r="L20" s="450"/>
      <c r="M20" s="450"/>
      <c r="N20" s="450"/>
      <c r="O20" s="3038"/>
    </row>
    <row r="21" spans="1:15" s="10" customFormat="1">
      <c r="A21" s="1574"/>
      <c r="B21" s="1271"/>
      <c r="C21" s="1575"/>
      <c r="D21" s="1580"/>
      <c r="E21" s="882"/>
      <c r="F21" s="1577"/>
      <c r="G21" s="1578"/>
      <c r="H21" s="1501" t="str">
        <f t="shared" si="0"/>
        <v/>
      </c>
      <c r="I21" s="829"/>
      <c r="K21" s="450"/>
      <c r="L21" s="450"/>
      <c r="M21" s="450"/>
      <c r="N21" s="450"/>
      <c r="O21" s="3038"/>
    </row>
    <row r="22" spans="1:15" s="10" customFormat="1">
      <c r="A22" s="1574">
        <f>$A$4</f>
        <v>13</v>
      </c>
      <c r="B22" s="1271">
        <v>2.1</v>
      </c>
      <c r="C22" s="1575"/>
      <c r="D22" s="1580" t="s">
        <v>1699</v>
      </c>
      <c r="E22" s="882" t="s">
        <v>393</v>
      </c>
      <c r="F22" s="1577">
        <v>1</v>
      </c>
      <c r="G22" s="1578"/>
      <c r="H22" s="1501">
        <f t="shared" si="0"/>
        <v>0</v>
      </c>
      <c r="I22" s="829"/>
      <c r="K22" s="450"/>
      <c r="L22" s="450"/>
      <c r="M22" s="450"/>
      <c r="N22" s="450"/>
      <c r="O22" s="3038"/>
    </row>
    <row r="23" spans="1:15" s="10" customFormat="1">
      <c r="A23" s="1574"/>
      <c r="B23" s="1271"/>
      <c r="C23" s="1575"/>
      <c r="D23" s="1580"/>
      <c r="E23" s="882"/>
      <c r="F23" s="1577"/>
      <c r="G23" s="1578"/>
      <c r="H23" s="1501" t="str">
        <f t="shared" si="0"/>
        <v/>
      </c>
      <c r="I23" s="829"/>
      <c r="K23" s="450"/>
      <c r="L23" s="450"/>
      <c r="M23" s="450"/>
      <c r="N23" s="450"/>
      <c r="O23" s="3038"/>
    </row>
    <row r="24" spans="1:15" s="10" customFormat="1">
      <c r="A24" s="1574">
        <f>$A$4</f>
        <v>13</v>
      </c>
      <c r="B24" s="1271">
        <v>2.2000000000000002</v>
      </c>
      <c r="C24" s="1575"/>
      <c r="D24" s="1580" t="s">
        <v>1700</v>
      </c>
      <c r="E24" s="882" t="s">
        <v>393</v>
      </c>
      <c r="F24" s="1577">
        <v>1</v>
      </c>
      <c r="G24" s="1578"/>
      <c r="H24" s="1501">
        <f t="shared" si="0"/>
        <v>0</v>
      </c>
      <c r="I24" s="829"/>
      <c r="K24" s="450"/>
      <c r="L24" s="450"/>
      <c r="M24" s="450"/>
      <c r="N24" s="450"/>
      <c r="O24" s="3038"/>
    </row>
    <row r="25" spans="1:15" s="10" customFormat="1">
      <c r="A25" s="1574"/>
      <c r="B25" s="1271"/>
      <c r="C25" s="1575"/>
      <c r="D25" s="1580"/>
      <c r="E25" s="882"/>
      <c r="F25" s="1577"/>
      <c r="G25" s="1578"/>
      <c r="H25" s="1501" t="str">
        <f t="shared" si="0"/>
        <v/>
      </c>
      <c r="I25" s="829"/>
      <c r="K25" s="450"/>
      <c r="L25" s="450"/>
      <c r="M25" s="450"/>
      <c r="N25" s="450"/>
      <c r="O25" s="3038"/>
    </row>
    <row r="26" spans="1:15" s="10" customFormat="1">
      <c r="A26" s="1574">
        <f>$A$4</f>
        <v>13</v>
      </c>
      <c r="B26" s="1271">
        <v>2.2999999999999998</v>
      </c>
      <c r="C26" s="1575"/>
      <c r="D26" s="1580" t="s">
        <v>1701</v>
      </c>
      <c r="E26" s="882" t="s">
        <v>393</v>
      </c>
      <c r="F26" s="1577">
        <v>1</v>
      </c>
      <c r="G26" s="1578"/>
      <c r="H26" s="1501">
        <f t="shared" si="0"/>
        <v>0</v>
      </c>
      <c r="I26" s="829"/>
      <c r="K26" s="450"/>
      <c r="L26" s="450"/>
      <c r="M26" s="450"/>
      <c r="N26" s="450"/>
      <c r="O26" s="3038"/>
    </row>
    <row r="27" spans="1:15" s="10" customFormat="1">
      <c r="A27" s="1574"/>
      <c r="B27" s="1271"/>
      <c r="C27" s="1575"/>
      <c r="D27" s="1580"/>
      <c r="E27" s="882"/>
      <c r="F27" s="1577"/>
      <c r="G27" s="1578"/>
      <c r="H27" s="1501" t="str">
        <f t="shared" si="0"/>
        <v/>
      </c>
      <c r="I27" s="829"/>
      <c r="K27" s="450"/>
      <c r="L27" s="450"/>
      <c r="M27" s="450"/>
      <c r="N27" s="450"/>
      <c r="O27" s="3038"/>
    </row>
    <row r="28" spans="1:15" s="10" customFormat="1">
      <c r="A28" s="1574">
        <f>$A$4</f>
        <v>13</v>
      </c>
      <c r="B28" s="1271">
        <v>2.4</v>
      </c>
      <c r="C28" s="1575"/>
      <c r="D28" s="1580" t="s">
        <v>1705</v>
      </c>
      <c r="E28" s="882" t="s">
        <v>393</v>
      </c>
      <c r="F28" s="1577">
        <v>1</v>
      </c>
      <c r="G28" s="1578"/>
      <c r="H28" s="1501">
        <f t="shared" si="0"/>
        <v>0</v>
      </c>
      <c r="I28" s="829"/>
      <c r="K28" s="450"/>
      <c r="L28" s="450"/>
      <c r="M28" s="450"/>
      <c r="N28" s="450"/>
      <c r="O28" s="3038"/>
    </row>
    <row r="29" spans="1:15" s="10" customFormat="1">
      <c r="A29" s="1574"/>
      <c r="B29" s="1271"/>
      <c r="C29" s="1575"/>
      <c r="D29" s="1580"/>
      <c r="E29" s="882"/>
      <c r="F29" s="1577"/>
      <c r="G29" s="1578"/>
      <c r="H29" s="1501" t="str">
        <f t="shared" si="0"/>
        <v/>
      </c>
      <c r="I29" s="829"/>
    </row>
    <row r="30" spans="1:15" s="10" customFormat="1">
      <c r="A30" s="1574">
        <f>$A$4</f>
        <v>13</v>
      </c>
      <c r="B30" s="1888">
        <v>3</v>
      </c>
      <c r="C30" s="1575"/>
      <c r="D30" s="2241" t="s">
        <v>1039</v>
      </c>
      <c r="E30" s="882"/>
      <c r="F30" s="1577"/>
      <c r="G30" s="1578"/>
      <c r="H30" s="1501" t="str">
        <f t="shared" si="0"/>
        <v/>
      </c>
      <c r="I30" s="829"/>
    </row>
    <row r="31" spans="1:15" s="10" customFormat="1">
      <c r="A31" s="1574"/>
      <c r="B31" s="1271"/>
      <c r="C31" s="1575"/>
      <c r="D31" s="1580"/>
      <c r="E31" s="882"/>
      <c r="F31" s="1577"/>
      <c r="G31" s="1578"/>
      <c r="H31" s="1501" t="str">
        <f t="shared" si="0"/>
        <v/>
      </c>
      <c r="I31" s="829"/>
    </row>
    <row r="32" spans="1:15" s="10" customFormat="1" ht="26.4">
      <c r="A32" s="1574">
        <f>$A$4</f>
        <v>13</v>
      </c>
      <c r="B32" s="1271">
        <v>3.1</v>
      </c>
      <c r="C32" s="1575"/>
      <c r="D32" s="1584" t="s">
        <v>1699</v>
      </c>
      <c r="E32" s="1818" t="s">
        <v>252</v>
      </c>
      <c r="F32" s="1577">
        <v>1</v>
      </c>
      <c r="G32" s="2281">
        <v>100000</v>
      </c>
      <c r="H32" s="1501">
        <f t="shared" si="0"/>
        <v>100000</v>
      </c>
      <c r="I32" s="829"/>
    </row>
    <row r="33" spans="1:14" s="10" customFormat="1">
      <c r="A33" s="1574"/>
      <c r="B33" s="1271"/>
      <c r="C33" s="1575"/>
      <c r="D33" s="1580"/>
      <c r="E33" s="882"/>
      <c r="F33" s="1577"/>
      <c r="G33" s="2281"/>
      <c r="H33" s="1501" t="str">
        <f t="shared" si="0"/>
        <v/>
      </c>
      <c r="I33" s="829"/>
    </row>
    <row r="34" spans="1:14" s="10" customFormat="1" ht="26.4">
      <c r="A34" s="1574">
        <f>$A$4</f>
        <v>13</v>
      </c>
      <c r="B34" s="1271">
        <v>3.2</v>
      </c>
      <c r="C34" s="1575"/>
      <c r="D34" s="1584" t="s">
        <v>1700</v>
      </c>
      <c r="E34" s="1818" t="s">
        <v>252</v>
      </c>
      <c r="F34" s="1577">
        <v>1</v>
      </c>
      <c r="G34" s="2281">
        <v>200000</v>
      </c>
      <c r="H34" s="1501">
        <f t="shared" si="0"/>
        <v>200000</v>
      </c>
      <c r="I34" s="829"/>
    </row>
    <row r="35" spans="1:14" s="10" customFormat="1">
      <c r="A35" s="1574"/>
      <c r="B35" s="1271"/>
      <c r="C35" s="1575"/>
      <c r="D35" s="1580"/>
      <c r="E35" s="882"/>
      <c r="F35" s="1577"/>
      <c r="G35" s="2281"/>
      <c r="H35" s="1501" t="str">
        <f t="shared" si="0"/>
        <v/>
      </c>
      <c r="I35" s="829"/>
    </row>
    <row r="36" spans="1:14" s="10" customFormat="1" ht="26.4">
      <c r="A36" s="1574">
        <f>$A$4</f>
        <v>13</v>
      </c>
      <c r="B36" s="1271">
        <v>3.3</v>
      </c>
      <c r="C36" s="1575"/>
      <c r="D36" s="1584" t="s">
        <v>1701</v>
      </c>
      <c r="E36" s="1818" t="s">
        <v>252</v>
      </c>
      <c r="F36" s="1577">
        <v>1</v>
      </c>
      <c r="G36" s="2281">
        <v>200000</v>
      </c>
      <c r="H36" s="1501">
        <f t="shared" si="0"/>
        <v>200000</v>
      </c>
      <c r="I36" s="829"/>
    </row>
    <row r="37" spans="1:14" s="10" customFormat="1">
      <c r="A37" s="1574"/>
      <c r="B37" s="1271"/>
      <c r="C37" s="1575"/>
      <c r="D37" s="1580"/>
      <c r="E37" s="882"/>
      <c r="F37" s="1577"/>
      <c r="G37" s="2281"/>
      <c r="H37" s="1501" t="str">
        <f t="shared" si="0"/>
        <v/>
      </c>
      <c r="I37" s="829"/>
    </row>
    <row r="38" spans="1:14" s="10" customFormat="1" ht="26.4">
      <c r="A38" s="1574">
        <f>$A$4</f>
        <v>13</v>
      </c>
      <c r="B38" s="1271">
        <v>3.4</v>
      </c>
      <c r="C38" s="1575"/>
      <c r="D38" s="1584" t="s">
        <v>1706</v>
      </c>
      <c r="E38" s="1818" t="s">
        <v>252</v>
      </c>
      <c r="F38" s="1577">
        <v>1</v>
      </c>
      <c r="G38" s="2281">
        <v>100000</v>
      </c>
      <c r="H38" s="1501">
        <f t="shared" si="0"/>
        <v>100000</v>
      </c>
      <c r="I38" s="829"/>
    </row>
    <row r="39" spans="1:14" s="10" customFormat="1">
      <c r="A39" s="1574"/>
      <c r="B39" s="1271"/>
      <c r="C39" s="1575"/>
      <c r="D39" s="944"/>
      <c r="E39" s="2585"/>
      <c r="F39" s="1577"/>
      <c r="G39" s="2281"/>
      <c r="H39" s="1501" t="str">
        <f t="shared" si="0"/>
        <v/>
      </c>
      <c r="I39" s="829"/>
    </row>
    <row r="40" spans="1:14" s="10" customFormat="1" ht="26.4">
      <c r="A40" s="1574">
        <f>$A$4</f>
        <v>13</v>
      </c>
      <c r="B40" s="1271">
        <v>3.5</v>
      </c>
      <c r="C40" s="1575"/>
      <c r="D40" s="694" t="s">
        <v>1707</v>
      </c>
      <c r="E40" s="1818" t="s">
        <v>252</v>
      </c>
      <c r="F40" s="1781">
        <v>1</v>
      </c>
      <c r="G40" s="2281">
        <v>1000000</v>
      </c>
      <c r="H40" s="1501">
        <f t="shared" si="0"/>
        <v>1000000</v>
      </c>
      <c r="I40" s="829"/>
    </row>
    <row r="41" spans="1:14" s="10" customFormat="1">
      <c r="A41" s="1574"/>
      <c r="B41" s="1271"/>
      <c r="C41" s="1575"/>
      <c r="D41" s="1580"/>
      <c r="E41" s="882"/>
      <c r="F41" s="1577"/>
      <c r="G41" s="1578"/>
      <c r="H41" s="1501" t="str">
        <f t="shared" si="0"/>
        <v/>
      </c>
      <c r="I41" s="829"/>
      <c r="K41" s="450"/>
      <c r="L41" s="450"/>
      <c r="M41" s="450"/>
      <c r="N41" s="450"/>
    </row>
    <row r="42" spans="1:14" s="10" customFormat="1" ht="26.4">
      <c r="A42" s="1574">
        <f>$A$4</f>
        <v>13</v>
      </c>
      <c r="B42" s="1888">
        <v>4</v>
      </c>
      <c r="C42" s="1575"/>
      <c r="D42" s="2241" t="s">
        <v>1040</v>
      </c>
      <c r="E42" s="882"/>
      <c r="F42" s="1577"/>
      <c r="G42" s="1578"/>
      <c r="H42" s="1501" t="str">
        <f t="shared" si="0"/>
        <v/>
      </c>
      <c r="I42" s="829"/>
      <c r="K42" s="450"/>
      <c r="L42" s="450"/>
      <c r="M42" s="450"/>
      <c r="N42" s="450"/>
    </row>
    <row r="43" spans="1:14" s="10" customFormat="1">
      <c r="A43" s="1574"/>
      <c r="B43" s="1271"/>
      <c r="C43" s="1575"/>
      <c r="D43" s="1580"/>
      <c r="E43" s="882"/>
      <c r="F43" s="1577"/>
      <c r="G43" s="1578"/>
      <c r="H43" s="1501" t="str">
        <f t="shared" si="0"/>
        <v/>
      </c>
      <c r="I43" s="829"/>
      <c r="K43" s="450"/>
      <c r="L43" s="450"/>
      <c r="M43" s="450"/>
      <c r="N43" s="450"/>
    </row>
    <row r="44" spans="1:14" s="10" customFormat="1">
      <c r="A44" s="1574">
        <f>$A$4</f>
        <v>13</v>
      </c>
      <c r="B44" s="1271">
        <v>4.0999999999999996</v>
      </c>
      <c r="C44" s="1575"/>
      <c r="D44" s="1580" t="s">
        <v>1699</v>
      </c>
      <c r="E44" s="882" t="s">
        <v>273</v>
      </c>
      <c r="F44" s="1577">
        <v>2</v>
      </c>
      <c r="G44" s="1578"/>
      <c r="H44" s="1501">
        <f t="shared" si="0"/>
        <v>0</v>
      </c>
      <c r="I44" s="829"/>
      <c r="K44" s="450"/>
      <c r="L44" s="450"/>
      <c r="M44" s="450"/>
      <c r="N44" s="450"/>
    </row>
    <row r="45" spans="1:14" s="10" customFormat="1">
      <c r="A45" s="1574"/>
      <c r="B45" s="1271"/>
      <c r="C45" s="1575"/>
      <c r="D45" s="1580"/>
      <c r="E45" s="882"/>
      <c r="F45" s="1577"/>
      <c r="G45" s="1578"/>
      <c r="H45" s="1501" t="str">
        <f t="shared" si="0"/>
        <v/>
      </c>
      <c r="I45" s="829"/>
      <c r="K45" s="450"/>
      <c r="L45" s="450"/>
      <c r="M45" s="450"/>
      <c r="N45" s="450"/>
    </row>
    <row r="46" spans="1:14" s="10" customFormat="1">
      <c r="A46" s="1574">
        <f>$A$4</f>
        <v>13</v>
      </c>
      <c r="B46" s="1271">
        <v>4.2</v>
      </c>
      <c r="C46" s="1575"/>
      <c r="D46" s="1580" t="s">
        <v>1700</v>
      </c>
      <c r="E46" s="882" t="s">
        <v>954</v>
      </c>
      <c r="F46" s="1577">
        <v>4</v>
      </c>
      <c r="G46" s="1578"/>
      <c r="H46" s="1501">
        <f t="shared" si="0"/>
        <v>0</v>
      </c>
      <c r="I46" s="829"/>
      <c r="K46" s="450"/>
      <c r="L46" s="450"/>
      <c r="M46" s="450"/>
      <c r="N46" s="450"/>
    </row>
    <row r="47" spans="1:14" s="10" customFormat="1">
      <c r="A47" s="1574"/>
      <c r="B47" s="1271"/>
      <c r="C47" s="1575"/>
      <c r="D47" s="1580"/>
      <c r="E47" s="882"/>
      <c r="F47" s="1577"/>
      <c r="G47" s="1578"/>
      <c r="H47" s="1501" t="str">
        <f t="shared" si="0"/>
        <v/>
      </c>
      <c r="I47" s="829"/>
      <c r="K47" s="450"/>
      <c r="L47" s="450"/>
      <c r="M47" s="450"/>
      <c r="N47" s="450"/>
    </row>
    <row r="48" spans="1:14" s="10" customFormat="1">
      <c r="A48" s="1574">
        <f>$A$4</f>
        <v>13</v>
      </c>
      <c r="B48" s="1271">
        <v>4.3</v>
      </c>
      <c r="C48" s="1575"/>
      <c r="D48" s="1580" t="s">
        <v>1701</v>
      </c>
      <c r="E48" s="882" t="s">
        <v>954</v>
      </c>
      <c r="F48" s="1577">
        <v>4</v>
      </c>
      <c r="G48" s="1578"/>
      <c r="H48" s="1501">
        <f t="shared" si="0"/>
        <v>0</v>
      </c>
      <c r="I48" s="829"/>
      <c r="K48" s="450"/>
      <c r="L48" s="450"/>
      <c r="M48" s="450"/>
      <c r="N48" s="450"/>
    </row>
    <row r="49" spans="1:14" s="10" customFormat="1">
      <c r="A49" s="1574"/>
      <c r="B49" s="1271"/>
      <c r="C49" s="1575"/>
      <c r="D49" s="1580"/>
      <c r="E49" s="882"/>
      <c r="F49" s="1577"/>
      <c r="G49" s="1578"/>
      <c r="H49" s="1501" t="str">
        <f t="shared" si="0"/>
        <v/>
      </c>
      <c r="I49" s="829"/>
      <c r="K49" s="450"/>
      <c r="L49" s="450"/>
      <c r="M49" s="450"/>
      <c r="N49" s="450"/>
    </row>
    <row r="50" spans="1:14" s="10" customFormat="1">
      <c r="A50" s="1574">
        <f>$A$4</f>
        <v>13</v>
      </c>
      <c r="B50" s="1271">
        <v>4.4000000000000004</v>
      </c>
      <c r="C50" s="1575"/>
      <c r="D50" s="1580" t="s">
        <v>1706</v>
      </c>
      <c r="E50" s="882" t="s">
        <v>954</v>
      </c>
      <c r="F50" s="1577">
        <v>29</v>
      </c>
      <c r="G50" s="1578"/>
      <c r="H50" s="1501">
        <f t="shared" si="0"/>
        <v>0</v>
      </c>
      <c r="I50" s="829"/>
      <c r="K50" s="450"/>
      <c r="L50" s="450"/>
      <c r="M50" s="450"/>
      <c r="N50" s="450"/>
    </row>
    <row r="51" spans="1:14" s="10" customFormat="1">
      <c r="A51" s="1574"/>
      <c r="B51" s="1271"/>
      <c r="C51" s="1575"/>
      <c r="D51" s="2586"/>
      <c r="E51" s="882"/>
      <c r="F51" s="1577"/>
      <c r="G51" s="1578"/>
      <c r="H51" s="1501" t="str">
        <f t="shared" si="0"/>
        <v/>
      </c>
      <c r="I51" s="829"/>
      <c r="K51" s="450"/>
      <c r="L51" s="450"/>
      <c r="M51" s="450"/>
      <c r="N51" s="450"/>
    </row>
    <row r="52" spans="1:14" s="10" customFormat="1" ht="26.4">
      <c r="A52" s="1574">
        <f>$A$4</f>
        <v>13</v>
      </c>
      <c r="B52" s="1888">
        <v>5</v>
      </c>
      <c r="C52" s="1575"/>
      <c r="D52" s="2241" t="s">
        <v>1708</v>
      </c>
      <c r="E52" s="882"/>
      <c r="F52" s="1577"/>
      <c r="G52" s="1578"/>
      <c r="H52" s="1501" t="str">
        <f t="shared" si="0"/>
        <v/>
      </c>
      <c r="I52" s="829"/>
      <c r="K52" s="450"/>
      <c r="L52" s="450"/>
      <c r="M52" s="450"/>
      <c r="N52" s="450"/>
    </row>
    <row r="53" spans="1:14" s="10" customFormat="1">
      <c r="A53" s="1574"/>
      <c r="B53" s="1271"/>
      <c r="C53" s="1575"/>
      <c r="D53" s="1580"/>
      <c r="E53" s="882"/>
      <c r="F53" s="1577"/>
      <c r="G53" s="1578"/>
      <c r="H53" s="1501" t="str">
        <f t="shared" si="0"/>
        <v/>
      </c>
      <c r="I53" s="829"/>
      <c r="K53" s="450"/>
      <c r="L53" s="450"/>
      <c r="M53" s="450"/>
      <c r="N53" s="450"/>
    </row>
    <row r="54" spans="1:14" s="10" customFormat="1">
      <c r="A54" s="1574">
        <f>$A$4</f>
        <v>13</v>
      </c>
      <c r="B54" s="1271">
        <v>5.0999999999999996</v>
      </c>
      <c r="C54" s="1575"/>
      <c r="D54" s="1580" t="s">
        <v>1699</v>
      </c>
      <c r="E54" s="882" t="s">
        <v>273</v>
      </c>
      <c r="F54" s="1577">
        <v>2</v>
      </c>
      <c r="G54" s="1578"/>
      <c r="H54" s="1501">
        <f t="shared" si="0"/>
        <v>0</v>
      </c>
      <c r="I54" s="829"/>
      <c r="K54" s="450"/>
      <c r="L54" s="450"/>
      <c r="M54" s="450"/>
      <c r="N54" s="450"/>
    </row>
    <row r="55" spans="1:14" s="10" customFormat="1">
      <c r="A55" s="1574"/>
      <c r="B55" s="1271"/>
      <c r="C55" s="1575"/>
      <c r="D55" s="1580"/>
      <c r="E55" s="882"/>
      <c r="F55" s="1577"/>
      <c r="G55" s="1578"/>
      <c r="H55" s="1501" t="str">
        <f t="shared" si="0"/>
        <v/>
      </c>
      <c r="I55" s="829"/>
      <c r="K55" s="450"/>
      <c r="L55" s="450"/>
      <c r="M55" s="450"/>
      <c r="N55" s="450"/>
    </row>
    <row r="56" spans="1:14" s="10" customFormat="1">
      <c r="A56" s="1574">
        <f>$A$4</f>
        <v>13</v>
      </c>
      <c r="B56" s="1271">
        <v>5.2</v>
      </c>
      <c r="C56" s="1575"/>
      <c r="D56" s="1580" t="s">
        <v>1700</v>
      </c>
      <c r="E56" s="882" t="s">
        <v>954</v>
      </c>
      <c r="F56" s="1577">
        <v>4</v>
      </c>
      <c r="G56" s="1578"/>
      <c r="H56" s="1501">
        <f t="shared" si="0"/>
        <v>0</v>
      </c>
      <c r="I56" s="829"/>
      <c r="K56" s="450"/>
      <c r="L56" s="450"/>
      <c r="M56" s="450"/>
      <c r="N56" s="450"/>
    </row>
    <row r="57" spans="1:14" s="10" customFormat="1">
      <c r="A57" s="1574"/>
      <c r="B57" s="1271"/>
      <c r="C57" s="1575"/>
      <c r="D57" s="1580"/>
      <c r="E57" s="882"/>
      <c r="F57" s="1577"/>
      <c r="G57" s="1578"/>
      <c r="H57" s="1501" t="str">
        <f t="shared" si="0"/>
        <v/>
      </c>
      <c r="I57" s="829"/>
      <c r="K57" s="450"/>
      <c r="L57" s="450"/>
      <c r="M57" s="450"/>
      <c r="N57" s="450"/>
    </row>
    <row r="58" spans="1:14" s="10" customFormat="1">
      <c r="A58" s="1574">
        <f>$A$4</f>
        <v>13</v>
      </c>
      <c r="B58" s="1271">
        <v>5.3</v>
      </c>
      <c r="C58" s="1575"/>
      <c r="D58" s="1580" t="s">
        <v>1701</v>
      </c>
      <c r="E58" s="882" t="s">
        <v>954</v>
      </c>
      <c r="F58" s="1577">
        <v>4</v>
      </c>
      <c r="G58" s="1578"/>
      <c r="H58" s="1501">
        <f t="shared" si="0"/>
        <v>0</v>
      </c>
      <c r="I58" s="829"/>
      <c r="K58" s="450"/>
      <c r="L58" s="450"/>
      <c r="M58" s="450"/>
      <c r="N58" s="450"/>
    </row>
    <row r="59" spans="1:14" s="10" customFormat="1">
      <c r="A59" s="1574"/>
      <c r="B59" s="1271"/>
      <c r="C59" s="1575"/>
      <c r="D59" s="1580"/>
      <c r="E59" s="882"/>
      <c r="F59" s="1577"/>
      <c r="G59" s="1578"/>
      <c r="H59" s="1501" t="str">
        <f t="shared" si="0"/>
        <v/>
      </c>
      <c r="I59" s="829"/>
      <c r="K59" s="450"/>
      <c r="L59" s="450"/>
      <c r="M59" s="450"/>
      <c r="N59" s="450"/>
    </row>
    <row r="60" spans="1:14" s="10" customFormat="1">
      <c r="A60" s="1574">
        <f>$A$4</f>
        <v>13</v>
      </c>
      <c r="B60" s="1271">
        <v>5.4</v>
      </c>
      <c r="C60" s="1575"/>
      <c r="D60" s="1576" t="s">
        <v>1709</v>
      </c>
      <c r="E60" s="882" t="s">
        <v>954</v>
      </c>
      <c r="F60" s="1577">
        <v>2</v>
      </c>
      <c r="G60" s="1578"/>
      <c r="H60" s="1501">
        <f t="shared" si="0"/>
        <v>0</v>
      </c>
      <c r="I60" s="829"/>
      <c r="K60" s="450"/>
      <c r="L60" s="450"/>
      <c r="M60" s="450"/>
      <c r="N60" s="450"/>
    </row>
    <row r="61" spans="1:14" s="10" customFormat="1">
      <c r="A61" s="1574"/>
      <c r="B61" s="1271"/>
      <c r="C61" s="1575"/>
      <c r="D61" s="2586"/>
      <c r="E61" s="882"/>
      <c r="F61" s="1577"/>
      <c r="G61" s="1578"/>
      <c r="H61" s="1501" t="str">
        <f t="shared" si="0"/>
        <v/>
      </c>
      <c r="I61" s="829"/>
      <c r="K61" s="450"/>
      <c r="L61" s="450"/>
      <c r="M61" s="450"/>
      <c r="N61" s="450"/>
    </row>
    <row r="62" spans="1:14" s="10" customFormat="1">
      <c r="A62" s="1574">
        <f>$A$4</f>
        <v>13</v>
      </c>
      <c r="B62" s="1271">
        <v>5.5</v>
      </c>
      <c r="C62" s="1575"/>
      <c r="D62" s="1576" t="s">
        <v>1710</v>
      </c>
      <c r="E62" s="882" t="s">
        <v>954</v>
      </c>
      <c r="F62" s="1577">
        <v>1</v>
      </c>
      <c r="G62" s="1578"/>
      <c r="H62" s="1501">
        <f t="shared" si="0"/>
        <v>0</v>
      </c>
      <c r="I62" s="829"/>
      <c r="K62" s="450"/>
      <c r="L62" s="450"/>
      <c r="M62" s="450"/>
      <c r="N62" s="450"/>
    </row>
    <row r="63" spans="1:14" s="10" customFormat="1">
      <c r="A63" s="1574"/>
      <c r="B63" s="1271"/>
      <c r="C63" s="1575"/>
      <c r="D63" s="1576"/>
      <c r="E63" s="882"/>
      <c r="F63" s="1577"/>
      <c r="G63" s="1578"/>
      <c r="H63" s="1501" t="str">
        <f t="shared" si="0"/>
        <v/>
      </c>
      <c r="I63" s="829"/>
      <c r="K63" s="450"/>
      <c r="L63" s="450"/>
      <c r="M63" s="450"/>
      <c r="N63" s="450"/>
    </row>
    <row r="64" spans="1:14" s="10" customFormat="1">
      <c r="A64" s="1574">
        <f>$A$4</f>
        <v>13</v>
      </c>
      <c r="B64" s="1271">
        <v>5.6</v>
      </c>
      <c r="C64" s="1575"/>
      <c r="D64" s="1576" t="s">
        <v>1711</v>
      </c>
      <c r="E64" s="882" t="s">
        <v>954</v>
      </c>
      <c r="F64" s="1577">
        <v>2</v>
      </c>
      <c r="G64" s="1578"/>
      <c r="H64" s="1501">
        <f t="shared" si="0"/>
        <v>0</v>
      </c>
      <c r="I64" s="829"/>
      <c r="K64" s="450"/>
      <c r="L64" s="450"/>
      <c r="M64" s="450"/>
      <c r="N64" s="450"/>
    </row>
    <row r="65" spans="1:14" s="10" customFormat="1">
      <c r="A65" s="1574"/>
      <c r="B65" s="1271"/>
      <c r="C65" s="1575"/>
      <c r="D65" s="1576"/>
      <c r="E65" s="882"/>
      <c r="F65" s="1577"/>
      <c r="G65" s="1578"/>
      <c r="H65" s="1501" t="str">
        <f t="shared" si="0"/>
        <v/>
      </c>
      <c r="I65" s="829"/>
      <c r="K65" s="450"/>
      <c r="L65" s="450"/>
      <c r="M65" s="450"/>
      <c r="N65" s="450"/>
    </row>
    <row r="66" spans="1:14" s="10" customFormat="1">
      <c r="A66" s="1574">
        <f>$A$4</f>
        <v>13</v>
      </c>
      <c r="B66" s="1271">
        <v>5.7</v>
      </c>
      <c r="C66" s="1575"/>
      <c r="D66" s="1576" t="s">
        <v>1712</v>
      </c>
      <c r="E66" s="882" t="s">
        <v>954</v>
      </c>
      <c r="F66" s="1577">
        <v>2</v>
      </c>
      <c r="G66" s="1578"/>
      <c r="H66" s="1501">
        <f t="shared" si="0"/>
        <v>0</v>
      </c>
      <c r="I66" s="829"/>
      <c r="K66" s="450"/>
      <c r="L66" s="450"/>
      <c r="M66" s="450"/>
      <c r="N66" s="450"/>
    </row>
    <row r="67" spans="1:14" s="10" customFormat="1">
      <c r="A67" s="1574"/>
      <c r="B67" s="1271"/>
      <c r="C67" s="1575"/>
      <c r="D67" s="1576"/>
      <c r="E67" s="882"/>
      <c r="F67" s="1577"/>
      <c r="G67" s="1578"/>
      <c r="H67" s="1501" t="str">
        <f t="shared" si="0"/>
        <v/>
      </c>
      <c r="I67" s="829"/>
      <c r="K67" s="450"/>
      <c r="L67" s="450"/>
      <c r="M67" s="450"/>
      <c r="N67" s="450"/>
    </row>
    <row r="68" spans="1:14" s="10" customFormat="1">
      <c r="A68" s="1574">
        <f>$A$4</f>
        <v>13</v>
      </c>
      <c r="B68" s="1271">
        <v>5.8</v>
      </c>
      <c r="C68" s="1575"/>
      <c r="D68" s="1576" t="s">
        <v>1713</v>
      </c>
      <c r="E68" s="882" t="s">
        <v>691</v>
      </c>
      <c r="F68" s="1577">
        <v>3</v>
      </c>
      <c r="G68" s="1578"/>
      <c r="H68" s="1501">
        <f t="shared" si="0"/>
        <v>0</v>
      </c>
      <c r="I68" s="829"/>
      <c r="K68" s="450"/>
      <c r="L68" s="450"/>
      <c r="M68" s="450"/>
      <c r="N68" s="450"/>
    </row>
    <row r="69" spans="1:14" s="10" customFormat="1">
      <c r="A69" s="1574"/>
      <c r="B69" s="1271"/>
      <c r="C69" s="1575"/>
      <c r="D69" s="1576"/>
      <c r="E69" s="882"/>
      <c r="F69" s="1577"/>
      <c r="G69" s="1578"/>
      <c r="H69" s="1579"/>
      <c r="I69" s="829"/>
      <c r="K69" s="450"/>
      <c r="L69" s="450"/>
      <c r="M69" s="450"/>
      <c r="N69" s="450"/>
    </row>
    <row r="70" spans="1:14" s="10" customFormat="1">
      <c r="A70" s="1574"/>
      <c r="B70" s="1271"/>
      <c r="C70" s="1575"/>
      <c r="D70" s="1576"/>
      <c r="E70" s="882"/>
      <c r="F70" s="1577"/>
      <c r="G70" s="1578"/>
      <c r="H70" s="1579"/>
      <c r="I70" s="829"/>
      <c r="K70" s="450"/>
      <c r="L70" s="450"/>
      <c r="M70" s="450"/>
      <c r="N70" s="450"/>
    </row>
    <row r="71" spans="1:14" s="10" customFormat="1">
      <c r="A71" s="1574"/>
      <c r="B71" s="1271"/>
      <c r="C71" s="1575"/>
      <c r="D71" s="1576"/>
      <c r="E71" s="882"/>
      <c r="F71" s="1577"/>
      <c r="G71" s="1578"/>
      <c r="H71" s="1579"/>
      <c r="I71" s="829"/>
      <c r="K71" s="450"/>
      <c r="L71" s="450"/>
      <c r="M71" s="450"/>
      <c r="N71" s="450"/>
    </row>
    <row r="72" spans="1:14" s="10" customFormat="1">
      <c r="A72" s="1574"/>
      <c r="B72" s="1271"/>
      <c r="C72" s="1575"/>
      <c r="D72" s="1576"/>
      <c r="E72" s="882"/>
      <c r="F72" s="1577"/>
      <c r="G72" s="1578"/>
      <c r="H72" s="1579"/>
      <c r="I72" s="829"/>
      <c r="K72" s="450"/>
      <c r="L72" s="450"/>
      <c r="M72" s="450"/>
      <c r="N72" s="450"/>
    </row>
    <row r="73" spans="1:14" s="10" customFormat="1">
      <c r="A73" s="1574"/>
      <c r="B73" s="1271"/>
      <c r="C73" s="1575"/>
      <c r="D73" s="1576"/>
      <c r="E73" s="882"/>
      <c r="F73" s="1577"/>
      <c r="G73" s="1578"/>
      <c r="H73" s="1579"/>
      <c r="I73" s="829"/>
      <c r="K73" s="450"/>
      <c r="L73" s="450"/>
      <c r="M73" s="450"/>
      <c r="N73" s="450"/>
    </row>
    <row r="74" spans="1:14" s="10" customFormat="1">
      <c r="A74" s="1574"/>
      <c r="B74" s="1271"/>
      <c r="C74" s="1575"/>
      <c r="D74" s="1576"/>
      <c r="E74" s="882"/>
      <c r="F74" s="1577"/>
      <c r="G74" s="1578"/>
      <c r="H74" s="1579"/>
      <c r="I74" s="829"/>
      <c r="K74" s="450"/>
      <c r="L74" s="450"/>
      <c r="M74" s="450"/>
      <c r="N74" s="450"/>
    </row>
    <row r="75" spans="1:14" s="10" customFormat="1">
      <c r="A75" s="1574"/>
      <c r="B75" s="1271"/>
      <c r="C75" s="1575"/>
      <c r="D75" s="1576"/>
      <c r="E75" s="882"/>
      <c r="F75" s="1577"/>
      <c r="G75" s="1578"/>
      <c r="H75" s="1579"/>
      <c r="I75" s="829"/>
      <c r="K75" s="450"/>
      <c r="L75" s="450"/>
      <c r="M75" s="450"/>
      <c r="N75" s="450"/>
    </row>
    <row r="76" spans="1:14" s="10" customFormat="1">
      <c r="A76" s="1786"/>
      <c r="B76" s="787"/>
      <c r="C76" s="872"/>
      <c r="D76" s="872"/>
      <c r="E76" s="801"/>
      <c r="F76" s="873"/>
      <c r="G76" s="2587"/>
      <c r="H76" s="2588"/>
      <c r="I76" s="827"/>
      <c r="K76" s="450"/>
      <c r="L76" s="450"/>
      <c r="M76" s="450"/>
      <c r="N76" s="450"/>
    </row>
    <row r="77" spans="1:14" s="10" customFormat="1">
      <c r="A77" s="2566"/>
      <c r="B77" s="566"/>
      <c r="C77" s="423"/>
      <c r="D77" s="413" t="s">
        <v>289</v>
      </c>
      <c r="E77" s="426"/>
      <c r="F77" s="24"/>
      <c r="G77" s="2589"/>
      <c r="H77" s="2590">
        <f>SUM(H3:H75)</f>
        <v>1600000</v>
      </c>
      <c r="I77" s="828"/>
      <c r="K77" s="450"/>
      <c r="L77" s="450"/>
      <c r="M77" s="450"/>
      <c r="N77" s="450"/>
    </row>
    <row r="78" spans="1:14" s="10" customFormat="1">
      <c r="A78" s="1574"/>
      <c r="B78" s="1271"/>
      <c r="C78" s="1575"/>
      <c r="D78" s="1552" t="s">
        <v>290</v>
      </c>
      <c r="E78" s="882"/>
      <c r="F78" s="1577"/>
      <c r="G78" s="1578"/>
      <c r="H78" s="890">
        <f>H77</f>
        <v>1600000</v>
      </c>
      <c r="I78" s="829"/>
      <c r="K78" s="450"/>
      <c r="L78" s="450"/>
      <c r="M78" s="450"/>
      <c r="N78" s="450"/>
    </row>
    <row r="79" spans="1:14" s="10" customFormat="1">
      <c r="A79" s="1574"/>
      <c r="B79" s="1271"/>
      <c r="C79" s="1575"/>
      <c r="D79" s="1552"/>
      <c r="E79" s="882"/>
      <c r="F79" s="1577"/>
      <c r="G79" s="1578"/>
      <c r="H79" s="890"/>
      <c r="I79" s="829"/>
      <c r="K79" s="450"/>
      <c r="L79" s="450"/>
      <c r="M79" s="450"/>
      <c r="N79" s="450"/>
    </row>
    <row r="80" spans="1:14" s="10" customFormat="1" ht="26.4">
      <c r="A80" s="1574"/>
      <c r="B80" s="1271"/>
      <c r="C80" s="1575"/>
      <c r="D80" s="2241" t="s">
        <v>1714</v>
      </c>
      <c r="E80" s="882"/>
      <c r="F80" s="1577"/>
      <c r="G80" s="1578"/>
      <c r="H80" s="1579"/>
      <c r="I80" s="829"/>
      <c r="K80" s="450"/>
      <c r="L80" s="450"/>
      <c r="M80" s="450"/>
      <c r="N80" s="450"/>
    </row>
    <row r="81" spans="1:14" s="10" customFormat="1">
      <c r="A81" s="1574"/>
      <c r="B81" s="1271"/>
      <c r="C81" s="1575"/>
      <c r="D81" s="2241"/>
      <c r="E81" s="882"/>
      <c r="F81" s="1577"/>
      <c r="G81" s="1578"/>
      <c r="H81" s="1579"/>
      <c r="I81" s="829"/>
      <c r="K81" s="450"/>
      <c r="L81" s="450"/>
      <c r="M81" s="450"/>
      <c r="N81" s="450"/>
    </row>
    <row r="82" spans="1:14" s="10" customFormat="1" ht="39.6">
      <c r="A82" s="1574"/>
      <c r="B82" s="1271"/>
      <c r="C82" s="1575"/>
      <c r="D82" s="2241" t="s">
        <v>1715</v>
      </c>
      <c r="E82" s="882"/>
      <c r="F82" s="1577"/>
      <c r="G82" s="1578"/>
      <c r="H82" s="1579"/>
      <c r="I82" s="829"/>
      <c r="K82" s="450"/>
      <c r="L82" s="450"/>
      <c r="M82" s="450"/>
      <c r="N82" s="450"/>
    </row>
    <row r="83" spans="1:14" s="10" customFormat="1">
      <c r="A83" s="1574"/>
      <c r="B83" s="1271"/>
      <c r="C83" s="1575"/>
      <c r="D83" s="2241"/>
      <c r="E83" s="882"/>
      <c r="F83" s="1577"/>
      <c r="G83" s="1578"/>
      <c r="H83" s="1579"/>
      <c r="I83" s="829"/>
      <c r="K83" s="450"/>
      <c r="L83" s="450"/>
      <c r="M83" s="450"/>
      <c r="N83" s="450"/>
    </row>
    <row r="84" spans="1:14" s="10" customFormat="1" ht="26.4">
      <c r="A84" s="1574">
        <f>$A$4</f>
        <v>13</v>
      </c>
      <c r="B84" s="1888">
        <v>6</v>
      </c>
      <c r="C84" s="1575"/>
      <c r="D84" s="2241" t="s">
        <v>1716</v>
      </c>
      <c r="E84" s="882"/>
      <c r="F84" s="1577"/>
      <c r="G84" s="1578"/>
      <c r="H84" s="1579"/>
      <c r="I84" s="829"/>
      <c r="K84" s="451"/>
      <c r="L84" s="451"/>
      <c r="M84" s="451"/>
      <c r="N84" s="451"/>
    </row>
    <row r="85" spans="1:14" s="10" customFormat="1">
      <c r="A85" s="1574"/>
      <c r="B85" s="1888"/>
      <c r="C85" s="1575"/>
      <c r="D85" s="2241"/>
      <c r="E85" s="882"/>
      <c r="F85" s="1577"/>
      <c r="G85" s="1578"/>
      <c r="H85" s="1579"/>
      <c r="I85" s="829"/>
      <c r="K85" s="451"/>
      <c r="L85" s="451"/>
      <c r="M85" s="451"/>
      <c r="N85" s="451"/>
    </row>
    <row r="86" spans="1:14" s="10" customFormat="1" ht="26.4">
      <c r="A86" s="1574">
        <f>$A$4</f>
        <v>13</v>
      </c>
      <c r="B86" s="1271">
        <v>6.1</v>
      </c>
      <c r="C86" s="1575" t="s">
        <v>1717</v>
      </c>
      <c r="D86" s="1580" t="s">
        <v>1043</v>
      </c>
      <c r="E86" s="882" t="s">
        <v>954</v>
      </c>
      <c r="F86" s="1577">
        <v>2</v>
      </c>
      <c r="G86" s="1578"/>
      <c r="H86" s="1501">
        <f t="shared" ref="H86:H122" si="1">IF(E86="","",ROUND(F86*G86,2))</f>
        <v>0</v>
      </c>
      <c r="I86" s="829"/>
      <c r="K86" s="450"/>
      <c r="L86" s="450"/>
      <c r="M86" s="450"/>
      <c r="N86" s="450"/>
    </row>
    <row r="87" spans="1:14" s="10" customFormat="1">
      <c r="A87" s="1574"/>
      <c r="B87" s="1271"/>
      <c r="C87" s="1575"/>
      <c r="D87" s="1580"/>
      <c r="E87" s="882"/>
      <c r="F87" s="1577"/>
      <c r="G87" s="1578"/>
      <c r="H87" s="1501" t="str">
        <f t="shared" si="1"/>
        <v/>
      </c>
      <c r="I87" s="829"/>
      <c r="K87" s="450"/>
      <c r="L87" s="450"/>
      <c r="M87" s="450"/>
      <c r="N87" s="450"/>
    </row>
    <row r="88" spans="1:14" s="10" customFormat="1" ht="26.4">
      <c r="A88" s="1574">
        <f>$A$4</f>
        <v>13</v>
      </c>
      <c r="B88" s="1271">
        <v>6.2</v>
      </c>
      <c r="C88" s="1575" t="s">
        <v>1717</v>
      </c>
      <c r="D88" s="1580" t="s">
        <v>1044</v>
      </c>
      <c r="E88" s="882" t="s">
        <v>273</v>
      </c>
      <c r="F88" s="1577">
        <v>4</v>
      </c>
      <c r="G88" s="1578"/>
      <c r="H88" s="1501">
        <f t="shared" si="1"/>
        <v>0</v>
      </c>
      <c r="I88" s="829"/>
      <c r="K88" s="450"/>
      <c r="L88" s="450"/>
      <c r="M88" s="450"/>
      <c r="N88" s="450"/>
    </row>
    <row r="89" spans="1:14" s="10" customFormat="1">
      <c r="A89" s="1574"/>
      <c r="B89" s="1271"/>
      <c r="C89" s="1575"/>
      <c r="D89" s="1580"/>
      <c r="E89" s="882"/>
      <c r="F89" s="1577"/>
      <c r="G89" s="1578"/>
      <c r="H89" s="1501" t="str">
        <f t="shared" si="1"/>
        <v/>
      </c>
      <c r="I89" s="829"/>
      <c r="K89" s="450"/>
      <c r="L89" s="450"/>
      <c r="M89" s="450"/>
      <c r="N89" s="450"/>
    </row>
    <row r="90" spans="1:14" s="10" customFormat="1" ht="26.4">
      <c r="A90" s="1574">
        <f>$A$4</f>
        <v>13</v>
      </c>
      <c r="B90" s="1271">
        <v>6.3</v>
      </c>
      <c r="C90" s="1575" t="s">
        <v>1717</v>
      </c>
      <c r="D90" s="1580" t="s">
        <v>1043</v>
      </c>
      <c r="E90" s="882" t="s">
        <v>273</v>
      </c>
      <c r="F90" s="1577">
        <v>4</v>
      </c>
      <c r="G90" s="1578"/>
      <c r="H90" s="1501">
        <f t="shared" si="1"/>
        <v>0</v>
      </c>
      <c r="I90" s="829"/>
      <c r="K90" s="450"/>
      <c r="L90" s="450"/>
      <c r="M90" s="450"/>
      <c r="N90" s="450"/>
    </row>
    <row r="91" spans="1:14" s="10" customFormat="1">
      <c r="A91" s="1574"/>
      <c r="B91" s="1271"/>
      <c r="C91" s="1575"/>
      <c r="D91" s="1580"/>
      <c r="E91" s="882"/>
      <c r="F91" s="1577"/>
      <c r="G91" s="1581"/>
      <c r="H91" s="1501" t="str">
        <f t="shared" si="1"/>
        <v/>
      </c>
      <c r="I91" s="831"/>
      <c r="K91" s="450"/>
      <c r="L91" s="450"/>
      <c r="M91" s="450"/>
      <c r="N91" s="450"/>
    </row>
    <row r="92" spans="1:14" s="10" customFormat="1" ht="52.8">
      <c r="A92" s="1574">
        <f>$A$4</f>
        <v>13</v>
      </c>
      <c r="B92" s="1271">
        <v>6.4</v>
      </c>
      <c r="C92" s="1575" t="s">
        <v>1718</v>
      </c>
      <c r="D92" s="1778" t="s">
        <v>1719</v>
      </c>
      <c r="E92" s="882" t="s">
        <v>273</v>
      </c>
      <c r="F92" s="1577">
        <v>1</v>
      </c>
      <c r="G92" s="1578"/>
      <c r="H92" s="1501">
        <f t="shared" si="1"/>
        <v>0</v>
      </c>
      <c r="I92" s="829"/>
      <c r="K92" s="450"/>
      <c r="L92" s="450"/>
      <c r="M92" s="450"/>
      <c r="N92" s="450"/>
    </row>
    <row r="93" spans="1:14" s="10" customFormat="1">
      <c r="A93" s="1574"/>
      <c r="B93" s="1271"/>
      <c r="C93" s="1575"/>
      <c r="D93" s="1580"/>
      <c r="E93" s="882"/>
      <c r="F93" s="1577"/>
      <c r="G93" s="1578"/>
      <c r="H93" s="1501" t="str">
        <f t="shared" si="1"/>
        <v/>
      </c>
      <c r="I93" s="829"/>
      <c r="K93" s="450"/>
      <c r="L93" s="450"/>
      <c r="M93" s="450"/>
      <c r="N93" s="450"/>
    </row>
    <row r="94" spans="1:14" s="10" customFormat="1" ht="26.4">
      <c r="A94" s="1574">
        <f>$A$4</f>
        <v>13</v>
      </c>
      <c r="B94" s="1888">
        <v>7</v>
      </c>
      <c r="C94" s="1792" t="s">
        <v>1717</v>
      </c>
      <c r="D94" s="2241" t="s">
        <v>1720</v>
      </c>
      <c r="E94" s="882"/>
      <c r="F94" s="1577"/>
      <c r="G94" s="1578"/>
      <c r="H94" s="1501" t="str">
        <f t="shared" si="1"/>
        <v/>
      </c>
      <c r="I94" s="829"/>
      <c r="K94" s="450"/>
      <c r="L94" s="450"/>
      <c r="M94" s="450"/>
      <c r="N94" s="450"/>
    </row>
    <row r="95" spans="1:14" s="10" customFormat="1">
      <c r="A95" s="1574"/>
      <c r="B95" s="1271"/>
      <c r="C95" s="1575"/>
      <c r="D95" s="2241"/>
      <c r="E95" s="882"/>
      <c r="F95" s="1577"/>
      <c r="G95" s="1578"/>
      <c r="H95" s="1501" t="str">
        <f t="shared" si="1"/>
        <v/>
      </c>
      <c r="I95" s="829"/>
      <c r="K95" s="450"/>
      <c r="L95" s="450"/>
      <c r="M95" s="450"/>
      <c r="N95" s="450"/>
    </row>
    <row r="96" spans="1:14" s="10" customFormat="1" ht="39.6">
      <c r="A96" s="1574">
        <f>$A$4</f>
        <v>13</v>
      </c>
      <c r="B96" s="1271">
        <v>7.1</v>
      </c>
      <c r="C96" s="1575"/>
      <c r="D96" s="1584" t="s">
        <v>1721</v>
      </c>
      <c r="E96" s="882" t="s">
        <v>691</v>
      </c>
      <c r="F96" s="1577">
        <v>1</v>
      </c>
      <c r="G96" s="1578"/>
      <c r="H96" s="1501">
        <f t="shared" si="1"/>
        <v>0</v>
      </c>
      <c r="I96" s="829"/>
      <c r="K96" s="450"/>
      <c r="L96" s="450"/>
      <c r="M96" s="450"/>
      <c r="N96" s="450"/>
    </row>
    <row r="97" spans="1:14" s="10" customFormat="1">
      <c r="A97" s="1574"/>
      <c r="B97" s="1271"/>
      <c r="C97" s="1575"/>
      <c r="D97" s="1580"/>
      <c r="E97" s="882"/>
      <c r="F97" s="1577"/>
      <c r="G97" s="1578"/>
      <c r="H97" s="1501" t="str">
        <f t="shared" si="1"/>
        <v/>
      </c>
      <c r="I97" s="829"/>
      <c r="K97" s="450"/>
      <c r="L97" s="450"/>
      <c r="M97" s="450"/>
      <c r="N97" s="450"/>
    </row>
    <row r="98" spans="1:14" s="10" customFormat="1" ht="39.6">
      <c r="A98" s="1574">
        <f>$A$4</f>
        <v>13</v>
      </c>
      <c r="B98" s="1271">
        <v>7.2</v>
      </c>
      <c r="C98" s="1575"/>
      <c r="D98" s="1584" t="s">
        <v>1722</v>
      </c>
      <c r="E98" s="882" t="s">
        <v>691</v>
      </c>
      <c r="F98" s="1577">
        <v>2</v>
      </c>
      <c r="G98" s="1578"/>
      <c r="H98" s="1501">
        <f t="shared" si="1"/>
        <v>0</v>
      </c>
      <c r="I98" s="829"/>
      <c r="K98" s="450"/>
      <c r="L98" s="450"/>
      <c r="M98" s="450"/>
      <c r="N98" s="450"/>
    </row>
    <row r="99" spans="1:14" s="10" customFormat="1">
      <c r="A99" s="1574"/>
      <c r="B99" s="1271"/>
      <c r="C99" s="1575"/>
      <c r="D99" s="1580"/>
      <c r="E99" s="882"/>
      <c r="F99" s="1577"/>
      <c r="G99" s="1578"/>
      <c r="H99" s="1501" t="str">
        <f t="shared" si="1"/>
        <v/>
      </c>
      <c r="I99" s="829"/>
      <c r="K99" s="450"/>
      <c r="L99" s="450"/>
      <c r="M99" s="450"/>
      <c r="N99" s="450"/>
    </row>
    <row r="100" spans="1:14" s="10" customFormat="1" ht="26.4">
      <c r="A100" s="1574">
        <f>$A$4</f>
        <v>13</v>
      </c>
      <c r="B100" s="1271">
        <v>7.3</v>
      </c>
      <c r="C100" s="1575"/>
      <c r="D100" s="1580" t="s">
        <v>1723</v>
      </c>
      <c r="E100" s="882" t="s">
        <v>954</v>
      </c>
      <c r="F100" s="1577">
        <v>2</v>
      </c>
      <c r="G100" s="1578"/>
      <c r="H100" s="1501">
        <f t="shared" si="1"/>
        <v>0</v>
      </c>
      <c r="I100" s="829"/>
      <c r="K100" s="450"/>
      <c r="L100" s="450"/>
      <c r="M100" s="450"/>
      <c r="N100" s="450"/>
    </row>
    <row r="101" spans="1:14" s="10" customFormat="1">
      <c r="A101" s="1574"/>
      <c r="B101" s="1271"/>
      <c r="C101" s="1575"/>
      <c r="D101" s="1580"/>
      <c r="E101" s="882"/>
      <c r="F101" s="1577"/>
      <c r="G101" s="1578"/>
      <c r="H101" s="1501" t="str">
        <f t="shared" si="1"/>
        <v/>
      </c>
      <c r="I101" s="829"/>
      <c r="K101" s="450"/>
      <c r="L101" s="450"/>
      <c r="M101" s="450"/>
      <c r="N101" s="450"/>
    </row>
    <row r="102" spans="1:14" s="10" customFormat="1" ht="26.4">
      <c r="A102" s="1574">
        <f>$A$4</f>
        <v>13</v>
      </c>
      <c r="B102" s="1271">
        <v>7.4</v>
      </c>
      <c r="C102" s="1575"/>
      <c r="D102" s="1580" t="s">
        <v>1724</v>
      </c>
      <c r="E102" s="882" t="s">
        <v>954</v>
      </c>
      <c r="F102" s="1577">
        <v>2</v>
      </c>
      <c r="G102" s="1578"/>
      <c r="H102" s="1501">
        <f t="shared" si="1"/>
        <v>0</v>
      </c>
      <c r="I102" s="829"/>
      <c r="K102" s="450"/>
      <c r="L102" s="450"/>
      <c r="M102" s="450"/>
      <c r="N102" s="450"/>
    </row>
    <row r="103" spans="1:14" s="10" customFormat="1">
      <c r="A103" s="1574"/>
      <c r="B103" s="1271"/>
      <c r="C103" s="1575"/>
      <c r="D103" s="1580"/>
      <c r="E103" s="882"/>
      <c r="F103" s="1577"/>
      <c r="G103" s="1578"/>
      <c r="H103" s="1501" t="str">
        <f t="shared" si="1"/>
        <v/>
      </c>
      <c r="I103" s="829"/>
      <c r="K103" s="450"/>
      <c r="L103" s="450"/>
      <c r="M103" s="450"/>
      <c r="N103" s="450"/>
    </row>
    <row r="104" spans="1:14" s="10" customFormat="1" ht="26.4">
      <c r="A104" s="1574">
        <f>$A$4</f>
        <v>13</v>
      </c>
      <c r="B104" s="1271">
        <v>7.5</v>
      </c>
      <c r="C104" s="1575"/>
      <c r="D104" s="1580" t="s">
        <v>1725</v>
      </c>
      <c r="E104" s="882" t="s">
        <v>273</v>
      </c>
      <c r="F104" s="1577">
        <v>2</v>
      </c>
      <c r="G104" s="1578"/>
      <c r="H104" s="1501">
        <f t="shared" si="1"/>
        <v>0</v>
      </c>
      <c r="I104" s="829"/>
      <c r="K104" s="450"/>
      <c r="L104" s="450"/>
      <c r="M104" s="450"/>
      <c r="N104" s="450"/>
    </row>
    <row r="105" spans="1:14" s="10" customFormat="1">
      <c r="A105" s="1574"/>
      <c r="B105" s="1271"/>
      <c r="C105" s="1575"/>
      <c r="D105" s="1580"/>
      <c r="E105" s="882"/>
      <c r="F105" s="1577"/>
      <c r="G105" s="1578"/>
      <c r="H105" s="1501" t="str">
        <f t="shared" si="1"/>
        <v/>
      </c>
      <c r="I105" s="829"/>
      <c r="K105" s="450"/>
      <c r="L105" s="450"/>
      <c r="M105" s="450"/>
      <c r="N105" s="450"/>
    </row>
    <row r="106" spans="1:14" s="10" customFormat="1" ht="39.6">
      <c r="A106" s="1574">
        <f>$A$4</f>
        <v>13</v>
      </c>
      <c r="B106" s="1271">
        <v>7.6</v>
      </c>
      <c r="C106" s="1575"/>
      <c r="D106" s="1580" t="s">
        <v>1726</v>
      </c>
      <c r="E106" s="882" t="s">
        <v>954</v>
      </c>
      <c r="F106" s="1577">
        <v>1</v>
      </c>
      <c r="G106" s="1578"/>
      <c r="H106" s="1501">
        <f t="shared" si="1"/>
        <v>0</v>
      </c>
      <c r="I106" s="829"/>
      <c r="K106" s="450"/>
      <c r="L106" s="450"/>
      <c r="M106" s="450"/>
      <c r="N106" s="450"/>
    </row>
    <row r="107" spans="1:14" s="10" customFormat="1">
      <c r="A107" s="1574"/>
      <c r="B107" s="1271"/>
      <c r="C107" s="1575"/>
      <c r="D107" s="1580"/>
      <c r="E107" s="882"/>
      <c r="F107" s="1577"/>
      <c r="G107" s="1578"/>
      <c r="H107" s="1501" t="str">
        <f t="shared" si="1"/>
        <v/>
      </c>
      <c r="I107" s="829"/>
      <c r="K107" s="450"/>
      <c r="L107" s="450"/>
      <c r="M107" s="450"/>
      <c r="N107" s="450"/>
    </row>
    <row r="108" spans="1:14" s="10" customFormat="1" ht="39.6">
      <c r="A108" s="1574">
        <f>$A$4</f>
        <v>13</v>
      </c>
      <c r="B108" s="1271">
        <v>7.7</v>
      </c>
      <c r="C108" s="1575"/>
      <c r="D108" s="1580" t="s">
        <v>1727</v>
      </c>
      <c r="E108" s="882" t="s">
        <v>954</v>
      </c>
      <c r="F108" s="1577">
        <v>1</v>
      </c>
      <c r="G108" s="1578"/>
      <c r="H108" s="1501">
        <f t="shared" si="1"/>
        <v>0</v>
      </c>
      <c r="I108" s="829"/>
      <c r="K108" s="450"/>
      <c r="L108" s="450"/>
      <c r="M108" s="450"/>
      <c r="N108" s="450"/>
    </row>
    <row r="109" spans="1:14" s="10" customFormat="1">
      <c r="A109" s="1574"/>
      <c r="B109" s="1271"/>
      <c r="C109" s="1575"/>
      <c r="D109" s="1580"/>
      <c r="E109" s="882"/>
      <c r="F109" s="1577"/>
      <c r="G109" s="1578"/>
      <c r="H109" s="1501" t="str">
        <f t="shared" si="1"/>
        <v/>
      </c>
      <c r="I109" s="829"/>
      <c r="K109" s="450"/>
      <c r="L109" s="450"/>
      <c r="M109" s="450"/>
      <c r="N109" s="450"/>
    </row>
    <row r="110" spans="1:14" s="10" customFormat="1" ht="39.6">
      <c r="A110" s="1574">
        <f>$A$4</f>
        <v>13</v>
      </c>
      <c r="B110" s="1271">
        <v>7.8</v>
      </c>
      <c r="C110" s="1575"/>
      <c r="D110" s="1580" t="s">
        <v>1728</v>
      </c>
      <c r="E110" s="882" t="s">
        <v>954</v>
      </c>
      <c r="F110" s="1577">
        <v>1</v>
      </c>
      <c r="G110" s="1578"/>
      <c r="H110" s="1501">
        <f t="shared" si="1"/>
        <v>0</v>
      </c>
      <c r="I110" s="829"/>
      <c r="K110" s="450"/>
      <c r="L110" s="450"/>
      <c r="M110" s="450"/>
      <c r="N110" s="450"/>
    </row>
    <row r="111" spans="1:14" s="10" customFormat="1">
      <c r="A111" s="1574"/>
      <c r="B111" s="1271"/>
      <c r="C111" s="1575"/>
      <c r="D111" s="1580"/>
      <c r="E111" s="882"/>
      <c r="F111" s="1577"/>
      <c r="G111" s="1578"/>
      <c r="H111" s="1501" t="str">
        <f t="shared" si="1"/>
        <v/>
      </c>
      <c r="I111" s="829"/>
      <c r="K111" s="450"/>
      <c r="L111" s="450"/>
      <c r="M111" s="450"/>
      <c r="N111" s="450"/>
    </row>
    <row r="112" spans="1:14" s="10" customFormat="1" ht="39.6">
      <c r="A112" s="1574">
        <f>$A$4</f>
        <v>13</v>
      </c>
      <c r="B112" s="1271">
        <v>7.9</v>
      </c>
      <c r="C112" s="1575"/>
      <c r="D112" s="1584" t="s">
        <v>1729</v>
      </c>
      <c r="E112" s="882" t="s">
        <v>230</v>
      </c>
      <c r="F112" s="1577">
        <v>1</v>
      </c>
      <c r="G112" s="1578"/>
      <c r="H112" s="1501">
        <f t="shared" si="1"/>
        <v>0</v>
      </c>
      <c r="I112" s="829"/>
      <c r="K112" s="450"/>
      <c r="L112" s="450"/>
      <c r="M112" s="450"/>
      <c r="N112" s="450"/>
    </row>
    <row r="113" spans="1:14" s="10" customFormat="1">
      <c r="A113" s="1574"/>
      <c r="B113" s="1271"/>
      <c r="C113" s="1575"/>
      <c r="D113" s="1580"/>
      <c r="E113" s="882"/>
      <c r="F113" s="1577"/>
      <c r="G113" s="1578"/>
      <c r="H113" s="1501" t="str">
        <f t="shared" si="1"/>
        <v/>
      </c>
      <c r="I113" s="829"/>
      <c r="K113" s="450"/>
      <c r="L113" s="450"/>
      <c r="M113" s="450"/>
      <c r="N113" s="450"/>
    </row>
    <row r="114" spans="1:14" s="10" customFormat="1" ht="26.4">
      <c r="A114" s="1574">
        <f>$A$4</f>
        <v>13</v>
      </c>
      <c r="B114" s="1582">
        <v>7.1</v>
      </c>
      <c r="C114" s="1575"/>
      <c r="D114" s="1584" t="s">
        <v>1730</v>
      </c>
      <c r="E114" s="882" t="s">
        <v>230</v>
      </c>
      <c r="F114" s="1577">
        <v>1</v>
      </c>
      <c r="G114" s="1578"/>
      <c r="H114" s="1501">
        <f t="shared" si="1"/>
        <v>0</v>
      </c>
      <c r="I114" s="829"/>
      <c r="K114" s="450"/>
      <c r="L114" s="450"/>
      <c r="M114" s="450"/>
      <c r="N114" s="450"/>
    </row>
    <row r="115" spans="1:14" s="10" customFormat="1">
      <c r="A115" s="1574"/>
      <c r="B115" s="1271"/>
      <c r="C115" s="1575"/>
      <c r="D115" s="1580"/>
      <c r="E115" s="882"/>
      <c r="F115" s="1577"/>
      <c r="G115" s="1578"/>
      <c r="H115" s="1501" t="str">
        <f t="shared" si="1"/>
        <v/>
      </c>
      <c r="I115" s="829"/>
      <c r="K115" s="450"/>
      <c r="L115" s="450"/>
      <c r="M115" s="450"/>
      <c r="N115" s="450"/>
    </row>
    <row r="116" spans="1:14" s="10" customFormat="1" ht="39.6">
      <c r="A116" s="1574">
        <f>$A$4</f>
        <v>13</v>
      </c>
      <c r="B116" s="1271">
        <v>7.11</v>
      </c>
      <c r="C116" s="1575"/>
      <c r="D116" s="1584" t="s">
        <v>1731</v>
      </c>
      <c r="E116" s="882" t="s">
        <v>230</v>
      </c>
      <c r="F116" s="1577">
        <v>1</v>
      </c>
      <c r="G116" s="1578"/>
      <c r="H116" s="1501">
        <f t="shared" si="1"/>
        <v>0</v>
      </c>
      <c r="I116" s="829"/>
      <c r="K116" s="450"/>
      <c r="L116" s="450"/>
      <c r="M116" s="450"/>
      <c r="N116" s="450"/>
    </row>
    <row r="117" spans="1:14" s="10" customFormat="1">
      <c r="A117" s="1574"/>
      <c r="B117" s="1271"/>
      <c r="C117" s="1575"/>
      <c r="D117" s="1584"/>
      <c r="E117" s="882"/>
      <c r="F117" s="1577"/>
      <c r="G117" s="1578"/>
      <c r="H117" s="1501" t="str">
        <f t="shared" si="1"/>
        <v/>
      </c>
      <c r="I117" s="829"/>
      <c r="K117" s="450"/>
      <c r="L117" s="450"/>
      <c r="M117" s="450"/>
      <c r="N117" s="450"/>
    </row>
    <row r="118" spans="1:14" s="10" customFormat="1" ht="26.4">
      <c r="A118" s="1574">
        <f>$A$4</f>
        <v>13</v>
      </c>
      <c r="B118" s="1888">
        <v>8</v>
      </c>
      <c r="C118" s="1792" t="s">
        <v>1732</v>
      </c>
      <c r="D118" s="2241" t="s">
        <v>1733</v>
      </c>
      <c r="E118" s="882"/>
      <c r="F118" s="1577"/>
      <c r="G118" s="1578"/>
      <c r="H118" s="1501" t="str">
        <f t="shared" si="1"/>
        <v/>
      </c>
      <c r="I118" s="829"/>
      <c r="K118" s="450"/>
      <c r="L118" s="450"/>
      <c r="M118" s="450"/>
      <c r="N118" s="450"/>
    </row>
    <row r="119" spans="1:14" s="10" customFormat="1">
      <c r="A119" s="1574"/>
      <c r="B119" s="1271"/>
      <c r="C119" s="1575"/>
      <c r="D119" s="1580"/>
      <c r="E119" s="882"/>
      <c r="F119" s="1577"/>
      <c r="G119" s="1578"/>
      <c r="H119" s="1501" t="str">
        <f t="shared" si="1"/>
        <v/>
      </c>
      <c r="I119" s="829"/>
      <c r="K119" s="450"/>
      <c r="L119" s="450"/>
      <c r="M119" s="450"/>
      <c r="N119" s="450"/>
    </row>
    <row r="120" spans="1:14" s="10" customFormat="1" ht="52.8">
      <c r="A120" s="1574">
        <f>$A$4</f>
        <v>13</v>
      </c>
      <c r="B120" s="1271">
        <v>8.1</v>
      </c>
      <c r="C120" s="1575"/>
      <c r="D120" s="1580" t="s">
        <v>1734</v>
      </c>
      <c r="E120" s="882" t="s">
        <v>1735</v>
      </c>
      <c r="F120" s="1577">
        <v>1</v>
      </c>
      <c r="G120" s="1578"/>
      <c r="H120" s="1501">
        <f t="shared" si="1"/>
        <v>0</v>
      </c>
      <c r="I120" s="829"/>
      <c r="K120" s="450"/>
      <c r="L120" s="450"/>
      <c r="M120" s="450"/>
      <c r="N120" s="450"/>
    </row>
    <row r="121" spans="1:14" s="10" customFormat="1">
      <c r="A121" s="1574"/>
      <c r="B121" s="1271"/>
      <c r="C121" s="1575"/>
      <c r="D121" s="1584"/>
      <c r="E121" s="882"/>
      <c r="F121" s="1577"/>
      <c r="G121" s="1578"/>
      <c r="H121" s="1501" t="str">
        <f t="shared" si="1"/>
        <v/>
      </c>
      <c r="I121" s="829"/>
      <c r="K121" s="450"/>
      <c r="L121" s="450"/>
      <c r="M121" s="450"/>
      <c r="N121" s="450"/>
    </row>
    <row r="122" spans="1:14" s="10" customFormat="1" ht="52.8">
      <c r="A122" s="1574">
        <f>$A$4</f>
        <v>13</v>
      </c>
      <c r="B122" s="1271">
        <v>8.1999999999999993</v>
      </c>
      <c r="C122" s="1575"/>
      <c r="D122" s="1580" t="s">
        <v>1736</v>
      </c>
      <c r="E122" s="882" t="s">
        <v>1735</v>
      </c>
      <c r="F122" s="1577">
        <v>1</v>
      </c>
      <c r="G122" s="1578"/>
      <c r="H122" s="1501">
        <f t="shared" si="1"/>
        <v>0</v>
      </c>
      <c r="I122" s="829"/>
      <c r="K122" s="450"/>
      <c r="L122" s="450"/>
      <c r="M122" s="450"/>
      <c r="N122" s="450"/>
    </row>
    <row r="123" spans="1:14" s="10" customFormat="1">
      <c r="A123" s="1574"/>
      <c r="B123" s="1271"/>
      <c r="C123" s="1575"/>
      <c r="D123" s="1580"/>
      <c r="E123" s="882"/>
      <c r="F123" s="1577"/>
      <c r="G123" s="1578"/>
      <c r="H123" s="1579"/>
      <c r="I123" s="829"/>
      <c r="K123" s="450"/>
      <c r="L123" s="450"/>
      <c r="M123" s="450"/>
      <c r="N123" s="450"/>
    </row>
    <row r="124" spans="1:14" s="10" customFormat="1">
      <c r="A124" s="1574"/>
      <c r="B124" s="1271"/>
      <c r="C124" s="1575"/>
      <c r="D124" s="1580"/>
      <c r="E124" s="882"/>
      <c r="F124" s="1577"/>
      <c r="G124" s="1578"/>
      <c r="H124" s="1579"/>
      <c r="I124" s="829"/>
      <c r="K124" s="450"/>
      <c r="L124" s="450"/>
      <c r="M124" s="450"/>
      <c r="N124" s="450"/>
    </row>
    <row r="125" spans="1:14" s="10" customFormat="1">
      <c r="A125" s="1574"/>
      <c r="B125" s="1271"/>
      <c r="C125" s="1575"/>
      <c r="D125" s="1576"/>
      <c r="E125" s="882"/>
      <c r="F125" s="1577"/>
      <c r="G125" s="1578"/>
      <c r="H125" s="1579"/>
      <c r="I125" s="829"/>
      <c r="K125" s="450"/>
      <c r="L125" s="450"/>
      <c r="M125" s="450"/>
      <c r="N125" s="450"/>
    </row>
    <row r="126" spans="1:14" s="10" customFormat="1">
      <c r="A126" s="1786"/>
      <c r="B126" s="787"/>
      <c r="C126" s="872"/>
      <c r="D126" s="872"/>
      <c r="E126" s="801"/>
      <c r="F126" s="873"/>
      <c r="G126" s="2587"/>
      <c r="H126" s="2588"/>
      <c r="I126" s="827"/>
      <c r="K126" s="450"/>
      <c r="L126" s="450"/>
      <c r="M126" s="450"/>
      <c r="N126" s="450"/>
    </row>
    <row r="127" spans="1:14" s="10" customFormat="1">
      <c r="A127" s="2566"/>
      <c r="B127" s="566"/>
      <c r="C127" s="423"/>
      <c r="D127" s="413" t="s">
        <v>289</v>
      </c>
      <c r="E127" s="426"/>
      <c r="F127" s="24"/>
      <c r="G127" s="2589"/>
      <c r="H127" s="2590">
        <f>SUM(H78:H125)</f>
        <v>1600000</v>
      </c>
      <c r="I127" s="828"/>
      <c r="K127" s="450"/>
      <c r="L127" s="450"/>
      <c r="M127" s="450"/>
      <c r="N127" s="450"/>
    </row>
    <row r="128" spans="1:14" s="10" customFormat="1">
      <c r="A128" s="1574"/>
      <c r="B128" s="1271"/>
      <c r="C128" s="1575"/>
      <c r="D128" s="1552" t="s">
        <v>290</v>
      </c>
      <c r="E128" s="882"/>
      <c r="F128" s="1577"/>
      <c r="G128" s="1578"/>
      <c r="H128" s="945">
        <f>H127</f>
        <v>1600000</v>
      </c>
      <c r="I128" s="829"/>
      <c r="K128" s="450"/>
      <c r="L128" s="450"/>
      <c r="M128" s="450"/>
      <c r="N128" s="450"/>
    </row>
    <row r="129" spans="1:15" s="10" customFormat="1">
      <c r="A129" s="1574"/>
      <c r="B129" s="1271"/>
      <c r="C129" s="1575"/>
      <c r="D129" s="1580"/>
      <c r="E129" s="882"/>
      <c r="F129" s="1577"/>
      <c r="G129" s="1581"/>
      <c r="H129" s="2591"/>
      <c r="I129" s="831"/>
      <c r="K129" s="450"/>
      <c r="L129" s="450"/>
      <c r="M129" s="450"/>
      <c r="N129" s="450"/>
    </row>
    <row r="130" spans="1:15" s="10" customFormat="1" ht="26.4">
      <c r="A130" s="1574">
        <f>$A$4</f>
        <v>13</v>
      </c>
      <c r="B130" s="1271">
        <v>8.3000000000000007</v>
      </c>
      <c r="C130" s="1575"/>
      <c r="D130" s="1580" t="s">
        <v>1737</v>
      </c>
      <c r="E130" s="882" t="s">
        <v>230</v>
      </c>
      <c r="F130" s="1577">
        <v>1</v>
      </c>
      <c r="G130" s="1578"/>
      <c r="H130" s="1501">
        <f t="shared" ref="H130:H186" si="2">IF(E130="","",ROUND(F130*G130,2))</f>
        <v>0</v>
      </c>
      <c r="I130" s="829"/>
      <c r="K130" s="450"/>
      <c r="L130" s="450"/>
      <c r="M130" s="450"/>
      <c r="N130" s="450"/>
    </row>
    <row r="131" spans="1:15" s="10" customFormat="1">
      <c r="A131" s="1574"/>
      <c r="B131" s="1271"/>
      <c r="C131" s="1575"/>
      <c r="D131" s="1580"/>
      <c r="E131" s="882"/>
      <c r="F131" s="1577"/>
      <c r="G131" s="1578"/>
      <c r="H131" s="1501" t="str">
        <f t="shared" si="2"/>
        <v/>
      </c>
      <c r="I131" s="829"/>
      <c r="K131" s="450"/>
      <c r="L131" s="450"/>
      <c r="M131" s="450"/>
      <c r="N131" s="450"/>
    </row>
    <row r="132" spans="1:15" s="10" customFormat="1" ht="52.8">
      <c r="A132" s="1574">
        <f>$A$4</f>
        <v>13</v>
      </c>
      <c r="B132" s="1271">
        <v>8.4</v>
      </c>
      <c r="C132" s="1575"/>
      <c r="D132" s="1584" t="s">
        <v>1738</v>
      </c>
      <c r="E132" s="1575" t="s">
        <v>1735</v>
      </c>
      <c r="F132" s="1577">
        <v>1</v>
      </c>
      <c r="G132" s="1581"/>
      <c r="H132" s="1501">
        <f t="shared" si="2"/>
        <v>0</v>
      </c>
      <c r="I132" s="831"/>
      <c r="K132" s="450"/>
      <c r="L132" s="450"/>
      <c r="M132" s="450"/>
      <c r="N132" s="450"/>
    </row>
    <row r="133" spans="1:15" s="10" customFormat="1">
      <c r="A133" s="1574"/>
      <c r="B133" s="1271"/>
      <c r="C133" s="1575"/>
      <c r="D133" s="1584"/>
      <c r="E133" s="1575"/>
      <c r="F133" s="1577"/>
      <c r="G133" s="1581"/>
      <c r="H133" s="1501" t="str">
        <f t="shared" si="2"/>
        <v/>
      </c>
      <c r="I133" s="831"/>
      <c r="K133" s="450"/>
      <c r="L133" s="450"/>
      <c r="M133" s="450"/>
      <c r="N133" s="450"/>
    </row>
    <row r="134" spans="1:15" s="10" customFormat="1" ht="39.6">
      <c r="A134" s="1574">
        <f>$A$4</f>
        <v>13</v>
      </c>
      <c r="B134" s="1271">
        <v>8.5</v>
      </c>
      <c r="C134" s="1575"/>
      <c r="D134" s="1778" t="s">
        <v>1739</v>
      </c>
      <c r="E134" s="1575" t="s">
        <v>1735</v>
      </c>
      <c r="F134" s="1577">
        <v>1</v>
      </c>
      <c r="G134" s="1581"/>
      <c r="H134" s="1501">
        <f t="shared" si="2"/>
        <v>0</v>
      </c>
      <c r="I134" s="831"/>
      <c r="K134" s="450"/>
      <c r="L134" s="450"/>
      <c r="M134" s="450"/>
      <c r="N134" s="450"/>
    </row>
    <row r="135" spans="1:15" s="10" customFormat="1">
      <c r="A135" s="1574"/>
      <c r="B135" s="1271"/>
      <c r="C135" s="1575"/>
      <c r="D135" s="1584"/>
      <c r="E135" s="1575"/>
      <c r="F135" s="1577"/>
      <c r="G135" s="1581"/>
      <c r="H135" s="1501" t="str">
        <f t="shared" si="2"/>
        <v/>
      </c>
      <c r="I135" s="831"/>
      <c r="K135" s="450"/>
      <c r="L135" s="450"/>
      <c r="M135" s="450"/>
      <c r="N135" s="450"/>
    </row>
    <row r="136" spans="1:15" s="10" customFormat="1" ht="39.6">
      <c r="A136" s="1574">
        <f>$A$4</f>
        <v>13</v>
      </c>
      <c r="B136" s="1271">
        <v>8.6</v>
      </c>
      <c r="C136" s="1575"/>
      <c r="D136" s="1778" t="s">
        <v>1740</v>
      </c>
      <c r="E136" s="1575" t="s">
        <v>1735</v>
      </c>
      <c r="F136" s="1577">
        <v>1</v>
      </c>
      <c r="G136" s="1581"/>
      <c r="H136" s="1501">
        <f t="shared" si="2"/>
        <v>0</v>
      </c>
      <c r="I136" s="831"/>
      <c r="K136" s="450"/>
      <c r="L136" s="450"/>
      <c r="M136" s="450"/>
      <c r="N136" s="450"/>
    </row>
    <row r="137" spans="1:15" s="10" customFormat="1">
      <c r="A137" s="1574"/>
      <c r="B137" s="1271"/>
      <c r="C137" s="1575"/>
      <c r="D137" s="1552"/>
      <c r="E137" s="882"/>
      <c r="F137" s="1577"/>
      <c r="G137" s="1578"/>
      <c r="H137" s="1501" t="str">
        <f t="shared" si="2"/>
        <v/>
      </c>
      <c r="I137" s="829"/>
      <c r="J137" s="471"/>
      <c r="K137" s="472"/>
      <c r="L137" s="472"/>
      <c r="M137" s="472"/>
      <c r="N137" s="472"/>
      <c r="O137" s="471"/>
    </row>
    <row r="138" spans="1:15" s="10" customFormat="1" ht="26.4">
      <c r="A138" s="1574">
        <f>$A$4</f>
        <v>13</v>
      </c>
      <c r="B138" s="1271">
        <v>8.6999999999999993</v>
      </c>
      <c r="C138" s="1575"/>
      <c r="D138" s="1584" t="s">
        <v>1741</v>
      </c>
      <c r="E138" s="882" t="s">
        <v>273</v>
      </c>
      <c r="F138" s="1577">
        <v>1</v>
      </c>
      <c r="G138" s="1581"/>
      <c r="H138" s="1501">
        <f t="shared" si="2"/>
        <v>0</v>
      </c>
      <c r="I138" s="831"/>
      <c r="J138" s="471"/>
      <c r="K138" s="472"/>
      <c r="L138" s="472"/>
      <c r="M138" s="472"/>
      <c r="N138" s="472"/>
      <c r="O138" s="471"/>
    </row>
    <row r="139" spans="1:15" s="10" customFormat="1">
      <c r="A139" s="1574"/>
      <c r="B139" s="1271"/>
      <c r="C139" s="1575"/>
      <c r="D139" s="1584"/>
      <c r="E139" s="882"/>
      <c r="F139" s="1577"/>
      <c r="G139" s="1581"/>
      <c r="H139" s="1501" t="str">
        <f t="shared" si="2"/>
        <v/>
      </c>
      <c r="I139" s="831"/>
      <c r="J139" s="471"/>
      <c r="K139" s="472"/>
      <c r="L139" s="472"/>
      <c r="M139" s="472"/>
      <c r="N139" s="472"/>
      <c r="O139" s="471"/>
    </row>
    <row r="140" spans="1:15" s="10" customFormat="1" ht="26.4">
      <c r="A140" s="1574">
        <f>$A$4</f>
        <v>13</v>
      </c>
      <c r="B140" s="1271">
        <v>8.8000000000000007</v>
      </c>
      <c r="C140" s="1575"/>
      <c r="D140" s="1584" t="s">
        <v>1742</v>
      </c>
      <c r="E140" s="882" t="s">
        <v>273</v>
      </c>
      <c r="F140" s="1577">
        <v>1</v>
      </c>
      <c r="G140" s="1581"/>
      <c r="H140" s="1501">
        <f t="shared" si="2"/>
        <v>0</v>
      </c>
      <c r="I140" s="831"/>
      <c r="K140" s="450"/>
      <c r="L140" s="450"/>
      <c r="M140" s="450"/>
      <c r="N140" s="450"/>
    </row>
    <row r="141" spans="1:15" s="10" customFormat="1">
      <c r="A141" s="1574"/>
      <c r="B141" s="1271"/>
      <c r="C141" s="1575"/>
      <c r="D141" s="1584"/>
      <c r="E141" s="882"/>
      <c r="F141" s="1577"/>
      <c r="G141" s="1581"/>
      <c r="H141" s="1501" t="str">
        <f t="shared" si="2"/>
        <v/>
      </c>
      <c r="I141" s="831"/>
      <c r="K141" s="450"/>
      <c r="L141" s="450"/>
      <c r="M141" s="450"/>
      <c r="N141" s="450"/>
    </row>
    <row r="142" spans="1:15" s="10" customFormat="1" ht="39.6">
      <c r="A142" s="1574">
        <f>$A$4</f>
        <v>13</v>
      </c>
      <c r="B142" s="1271">
        <v>8.9</v>
      </c>
      <c r="C142" s="1575"/>
      <c r="D142" s="1580" t="s">
        <v>1743</v>
      </c>
      <c r="E142" s="882" t="s">
        <v>1735</v>
      </c>
      <c r="F142" s="1577">
        <v>1</v>
      </c>
      <c r="G142" s="1581"/>
      <c r="H142" s="1501">
        <f t="shared" si="2"/>
        <v>0</v>
      </c>
      <c r="I142" s="831"/>
      <c r="K142" s="450"/>
      <c r="L142" s="450"/>
      <c r="M142" s="450"/>
      <c r="N142" s="450"/>
    </row>
    <row r="143" spans="1:15" s="10" customFormat="1">
      <c r="A143" s="1574"/>
      <c r="B143" s="1271"/>
      <c r="C143" s="1575"/>
      <c r="D143" s="1580"/>
      <c r="E143" s="882"/>
      <c r="F143" s="1577"/>
      <c r="G143" s="1581"/>
      <c r="H143" s="1501" t="str">
        <f t="shared" si="2"/>
        <v/>
      </c>
      <c r="I143" s="831"/>
      <c r="K143" s="450"/>
      <c r="L143" s="450"/>
      <c r="M143" s="450"/>
      <c r="N143" s="450"/>
    </row>
    <row r="144" spans="1:15" s="10" customFormat="1" ht="39.6">
      <c r="A144" s="1574">
        <f>$A$4</f>
        <v>13</v>
      </c>
      <c r="B144" s="1582">
        <v>8.1</v>
      </c>
      <c r="C144" s="1575"/>
      <c r="D144" s="1580" t="s">
        <v>1744</v>
      </c>
      <c r="E144" s="882" t="s">
        <v>1735</v>
      </c>
      <c r="F144" s="1577">
        <v>1</v>
      </c>
      <c r="G144" s="1581"/>
      <c r="H144" s="1501">
        <f t="shared" si="2"/>
        <v>0</v>
      </c>
      <c r="I144" s="831"/>
      <c r="K144" s="450"/>
      <c r="L144" s="450"/>
      <c r="M144" s="450"/>
      <c r="N144" s="450"/>
    </row>
    <row r="145" spans="1:14" s="10" customFormat="1">
      <c r="A145" s="1574"/>
      <c r="B145" s="1900"/>
      <c r="C145" s="2592"/>
      <c r="D145" s="1580"/>
      <c r="E145" s="892"/>
      <c r="F145" s="1585"/>
      <c r="G145" s="1581"/>
      <c r="H145" s="1501" t="str">
        <f t="shared" si="2"/>
        <v/>
      </c>
      <c r="I145" s="831"/>
      <c r="K145" s="450"/>
      <c r="L145" s="450"/>
      <c r="M145" s="450"/>
      <c r="N145" s="450"/>
    </row>
    <row r="146" spans="1:14" s="10" customFormat="1" ht="26.4">
      <c r="A146" s="1574">
        <f>$A$4</f>
        <v>13</v>
      </c>
      <c r="B146" s="1900">
        <v>8.11</v>
      </c>
      <c r="C146" s="2592"/>
      <c r="D146" s="1580" t="s">
        <v>1745</v>
      </c>
      <c r="E146" s="892" t="s">
        <v>1735</v>
      </c>
      <c r="F146" s="1585">
        <v>1</v>
      </c>
      <c r="G146" s="1581"/>
      <c r="H146" s="1501">
        <f t="shared" si="2"/>
        <v>0</v>
      </c>
      <c r="I146" s="831"/>
      <c r="K146" s="450"/>
      <c r="L146" s="450"/>
      <c r="M146" s="450"/>
      <c r="N146" s="450"/>
    </row>
    <row r="147" spans="1:14" s="10" customFormat="1">
      <c r="A147" s="1574"/>
      <c r="B147" s="1900"/>
      <c r="C147" s="2592"/>
      <c r="D147" s="1580"/>
      <c r="E147" s="892"/>
      <c r="F147" s="1585"/>
      <c r="G147" s="1581"/>
      <c r="H147" s="1501" t="str">
        <f t="shared" si="2"/>
        <v/>
      </c>
      <c r="I147" s="831"/>
      <c r="K147" s="450"/>
      <c r="L147" s="450"/>
      <c r="M147" s="450"/>
      <c r="N147" s="450"/>
    </row>
    <row r="148" spans="1:14" s="10" customFormat="1" ht="26.4">
      <c r="A148" s="1574">
        <f>$A$4</f>
        <v>13</v>
      </c>
      <c r="B148" s="1900">
        <v>8.1199999999999992</v>
      </c>
      <c r="C148" s="2592"/>
      <c r="D148" s="1580" t="s">
        <v>1746</v>
      </c>
      <c r="E148" s="892" t="s">
        <v>1735</v>
      </c>
      <c r="F148" s="1585">
        <v>1</v>
      </c>
      <c r="G148" s="1581"/>
      <c r="H148" s="1501">
        <f t="shared" si="2"/>
        <v>0</v>
      </c>
      <c r="I148" s="831"/>
      <c r="K148" s="450"/>
      <c r="L148" s="450"/>
      <c r="M148" s="450"/>
      <c r="N148" s="450"/>
    </row>
    <row r="149" spans="1:14" s="10" customFormat="1">
      <c r="A149" s="1574"/>
      <c r="B149" s="1271"/>
      <c r="C149" s="1575"/>
      <c r="D149" s="1580"/>
      <c r="E149" s="882"/>
      <c r="F149" s="1577"/>
      <c r="G149" s="1581"/>
      <c r="H149" s="1501" t="str">
        <f t="shared" si="2"/>
        <v/>
      </c>
      <c r="I149" s="831"/>
      <c r="K149" s="450"/>
      <c r="L149" s="450"/>
      <c r="M149" s="450"/>
      <c r="N149" s="450"/>
    </row>
    <row r="150" spans="1:14" s="10" customFormat="1">
      <c r="A150" s="1574">
        <f>$A$4</f>
        <v>13</v>
      </c>
      <c r="B150" s="1888">
        <v>9</v>
      </c>
      <c r="C150" s="1792" t="s">
        <v>1747</v>
      </c>
      <c r="D150" s="2241" t="s">
        <v>1748</v>
      </c>
      <c r="E150" s="882"/>
      <c r="F150" s="1577"/>
      <c r="G150" s="1581"/>
      <c r="H150" s="1501" t="str">
        <f t="shared" si="2"/>
        <v/>
      </c>
      <c r="I150" s="831"/>
      <c r="K150" s="450"/>
      <c r="L150" s="450"/>
      <c r="M150" s="450"/>
      <c r="N150" s="450"/>
    </row>
    <row r="151" spans="1:14" s="10" customFormat="1">
      <c r="A151" s="1574"/>
      <c r="B151" s="1271"/>
      <c r="C151" s="1575"/>
      <c r="D151" s="1580"/>
      <c r="E151" s="882"/>
      <c r="F151" s="1577"/>
      <c r="G151" s="1581"/>
      <c r="H151" s="1501" t="str">
        <f t="shared" si="2"/>
        <v/>
      </c>
      <c r="I151" s="831"/>
      <c r="K151" s="450"/>
      <c r="L151" s="450"/>
      <c r="M151" s="450"/>
      <c r="N151" s="450"/>
    </row>
    <row r="152" spans="1:14" s="10" customFormat="1">
      <c r="A152" s="1574">
        <f>$A$4</f>
        <v>13</v>
      </c>
      <c r="B152" s="1271">
        <v>9.1</v>
      </c>
      <c r="C152" s="1575"/>
      <c r="D152" s="1576" t="s">
        <v>1749</v>
      </c>
      <c r="E152" s="882" t="s">
        <v>273</v>
      </c>
      <c r="F152" s="1577">
        <v>2</v>
      </c>
      <c r="G152" s="1581"/>
      <c r="H152" s="1501">
        <f t="shared" si="2"/>
        <v>0</v>
      </c>
      <c r="I152" s="831"/>
      <c r="K152" s="450"/>
      <c r="L152" s="450"/>
      <c r="M152" s="450"/>
      <c r="N152" s="450"/>
    </row>
    <row r="153" spans="1:14" s="10" customFormat="1">
      <c r="A153" s="1574"/>
      <c r="B153" s="1271"/>
      <c r="C153" s="1575"/>
      <c r="D153" s="1580"/>
      <c r="E153" s="882"/>
      <c r="F153" s="1577"/>
      <c r="G153" s="1581"/>
      <c r="H153" s="1501" t="str">
        <f t="shared" si="2"/>
        <v/>
      </c>
      <c r="I153" s="831"/>
      <c r="K153" s="450"/>
      <c r="L153" s="450"/>
      <c r="M153" s="450"/>
      <c r="N153" s="450"/>
    </row>
    <row r="154" spans="1:14" s="10" customFormat="1" ht="26.4">
      <c r="A154" s="1574">
        <f>$A$4</f>
        <v>13</v>
      </c>
      <c r="B154" s="1271">
        <v>9.1999999999999993</v>
      </c>
      <c r="C154" s="1575"/>
      <c r="D154" s="1576" t="s">
        <v>1750</v>
      </c>
      <c r="E154" s="882" t="s">
        <v>1735</v>
      </c>
      <c r="F154" s="1585">
        <v>1</v>
      </c>
      <c r="G154" s="1581"/>
      <c r="H154" s="1501">
        <f t="shared" si="2"/>
        <v>0</v>
      </c>
      <c r="I154" s="831"/>
      <c r="K154" s="450"/>
      <c r="L154" s="450"/>
      <c r="M154" s="450"/>
      <c r="N154" s="450"/>
    </row>
    <row r="155" spans="1:14" s="10" customFormat="1">
      <c r="A155" s="1574"/>
      <c r="B155" s="1271"/>
      <c r="C155" s="1575"/>
      <c r="D155" s="1580"/>
      <c r="E155" s="882"/>
      <c r="F155" s="1577"/>
      <c r="G155" s="1581"/>
      <c r="H155" s="1501" t="str">
        <f t="shared" si="2"/>
        <v/>
      </c>
      <c r="I155" s="831"/>
      <c r="K155" s="450"/>
      <c r="L155" s="450"/>
      <c r="M155" s="450"/>
      <c r="N155" s="450"/>
    </row>
    <row r="156" spans="1:14" s="10" customFormat="1" ht="26.4">
      <c r="A156" s="1574">
        <f>$A$4</f>
        <v>13</v>
      </c>
      <c r="B156" s="1271">
        <v>9.3000000000000007</v>
      </c>
      <c r="C156" s="1575"/>
      <c r="D156" s="1576" t="s">
        <v>1751</v>
      </c>
      <c r="E156" s="882" t="s">
        <v>1735</v>
      </c>
      <c r="F156" s="1585">
        <v>1</v>
      </c>
      <c r="G156" s="1581"/>
      <c r="H156" s="1501">
        <f t="shared" si="2"/>
        <v>0</v>
      </c>
      <c r="I156" s="831"/>
      <c r="K156" s="450"/>
      <c r="L156" s="450"/>
      <c r="M156" s="450"/>
      <c r="N156" s="450"/>
    </row>
    <row r="157" spans="1:14" s="10" customFormat="1">
      <c r="A157" s="1574"/>
      <c r="B157" s="1271"/>
      <c r="C157" s="1575"/>
      <c r="D157" s="1576"/>
      <c r="E157" s="882"/>
      <c r="F157" s="1577"/>
      <c r="G157" s="1581"/>
      <c r="H157" s="1501" t="str">
        <f t="shared" si="2"/>
        <v/>
      </c>
      <c r="I157" s="831"/>
      <c r="K157" s="450"/>
      <c r="L157" s="450"/>
      <c r="M157" s="450"/>
      <c r="N157" s="450"/>
    </row>
    <row r="158" spans="1:14" s="10" customFormat="1" ht="52.8">
      <c r="A158" s="1574">
        <f>$A$4</f>
        <v>13</v>
      </c>
      <c r="B158" s="1888">
        <v>10</v>
      </c>
      <c r="C158" s="1575"/>
      <c r="D158" s="2241" t="s">
        <v>1752</v>
      </c>
      <c r="E158" s="882"/>
      <c r="F158" s="1577"/>
      <c r="G158" s="1581"/>
      <c r="H158" s="1501" t="str">
        <f t="shared" si="2"/>
        <v/>
      </c>
      <c r="I158" s="831"/>
      <c r="K158" s="450"/>
      <c r="L158" s="450"/>
      <c r="M158" s="450"/>
      <c r="N158" s="450"/>
    </row>
    <row r="159" spans="1:14" s="10" customFormat="1">
      <c r="A159" s="1574"/>
      <c r="B159" s="1271"/>
      <c r="C159" s="1575"/>
      <c r="D159" s="1580"/>
      <c r="E159" s="882"/>
      <c r="F159" s="1577"/>
      <c r="G159" s="1581"/>
      <c r="H159" s="1501" t="str">
        <f t="shared" si="2"/>
        <v/>
      </c>
      <c r="I159" s="831"/>
      <c r="K159" s="450"/>
      <c r="L159" s="450"/>
      <c r="M159" s="450"/>
      <c r="N159" s="450"/>
    </row>
    <row r="160" spans="1:14" s="10" customFormat="1">
      <c r="A160" s="1574">
        <f>$A$4</f>
        <v>13</v>
      </c>
      <c r="B160" s="1271">
        <v>10.1</v>
      </c>
      <c r="C160" s="1575"/>
      <c r="D160" s="1580" t="s">
        <v>1753</v>
      </c>
      <c r="E160" s="882" t="s">
        <v>954</v>
      </c>
      <c r="F160" s="1585">
        <v>2</v>
      </c>
      <c r="G160" s="1581"/>
      <c r="H160" s="1501">
        <f t="shared" si="2"/>
        <v>0</v>
      </c>
      <c r="I160" s="831"/>
      <c r="K160" s="450"/>
      <c r="L160" s="450"/>
      <c r="M160" s="450"/>
      <c r="N160" s="450"/>
    </row>
    <row r="161" spans="1:14" s="10" customFormat="1">
      <c r="A161" s="1574"/>
      <c r="B161" s="1271"/>
      <c r="C161" s="1575"/>
      <c r="D161" s="1580"/>
      <c r="E161" s="882"/>
      <c r="F161" s="1577"/>
      <c r="G161" s="1581"/>
      <c r="H161" s="1501" t="str">
        <f t="shared" si="2"/>
        <v/>
      </c>
      <c r="I161" s="831"/>
      <c r="K161" s="450"/>
      <c r="L161" s="450"/>
      <c r="M161" s="450"/>
      <c r="N161" s="450"/>
    </row>
    <row r="162" spans="1:14" s="10" customFormat="1">
      <c r="A162" s="1574">
        <f>$A$4</f>
        <v>13</v>
      </c>
      <c r="B162" s="1271">
        <v>10.199999999999999</v>
      </c>
      <c r="C162" s="1575"/>
      <c r="D162" s="1580" t="s">
        <v>1754</v>
      </c>
      <c r="E162" s="882" t="s">
        <v>954</v>
      </c>
      <c r="F162" s="1585">
        <v>4</v>
      </c>
      <c r="G162" s="1581"/>
      <c r="H162" s="1501">
        <f t="shared" si="2"/>
        <v>0</v>
      </c>
      <c r="I162" s="831"/>
      <c r="K162" s="450"/>
      <c r="L162" s="450"/>
      <c r="M162" s="450"/>
      <c r="N162" s="450"/>
    </row>
    <row r="163" spans="1:14" s="10" customFormat="1">
      <c r="A163" s="1574"/>
      <c r="B163" s="1271"/>
      <c r="C163" s="1575"/>
      <c r="D163" s="1580"/>
      <c r="E163" s="882"/>
      <c r="F163" s="1577"/>
      <c r="G163" s="1581"/>
      <c r="H163" s="1501" t="str">
        <f t="shared" si="2"/>
        <v/>
      </c>
      <c r="I163" s="831"/>
      <c r="K163" s="450"/>
      <c r="L163" s="450"/>
      <c r="M163" s="450"/>
      <c r="N163" s="450"/>
    </row>
    <row r="164" spans="1:14" s="10" customFormat="1">
      <c r="A164" s="1574">
        <f>$A$4</f>
        <v>13</v>
      </c>
      <c r="B164" s="1271">
        <v>10.3</v>
      </c>
      <c r="C164" s="1575"/>
      <c r="D164" s="1580" t="s">
        <v>1755</v>
      </c>
      <c r="E164" s="882" t="s">
        <v>954</v>
      </c>
      <c r="F164" s="1585">
        <v>4</v>
      </c>
      <c r="G164" s="1581"/>
      <c r="H164" s="1501">
        <f t="shared" si="2"/>
        <v>0</v>
      </c>
      <c r="I164" s="831"/>
      <c r="K164" s="450"/>
      <c r="L164" s="450"/>
      <c r="M164" s="450"/>
      <c r="N164" s="450"/>
    </row>
    <row r="165" spans="1:14" s="10" customFormat="1">
      <c r="A165" s="1574"/>
      <c r="B165" s="1271"/>
      <c r="C165" s="1575"/>
      <c r="D165" s="1580"/>
      <c r="E165" s="882"/>
      <c r="F165" s="1577"/>
      <c r="G165" s="1581"/>
      <c r="H165" s="1501" t="str">
        <f t="shared" si="2"/>
        <v/>
      </c>
      <c r="I165" s="831"/>
      <c r="K165" s="450"/>
      <c r="L165" s="450"/>
      <c r="M165" s="450"/>
      <c r="N165" s="450"/>
    </row>
    <row r="166" spans="1:14" s="10" customFormat="1">
      <c r="A166" s="1574">
        <f>$A$4</f>
        <v>13</v>
      </c>
      <c r="B166" s="1271">
        <v>10.4</v>
      </c>
      <c r="C166" s="1575"/>
      <c r="D166" s="1580" t="s">
        <v>1756</v>
      </c>
      <c r="E166" s="882" t="s">
        <v>230</v>
      </c>
      <c r="F166" s="1577">
        <v>1</v>
      </c>
      <c r="G166" s="1581"/>
      <c r="H166" s="1501">
        <f t="shared" si="2"/>
        <v>0</v>
      </c>
      <c r="I166" s="831"/>
      <c r="K166" s="450"/>
      <c r="L166" s="450"/>
      <c r="M166" s="450"/>
      <c r="N166" s="450"/>
    </row>
    <row r="167" spans="1:14" s="10" customFormat="1">
      <c r="A167" s="1574"/>
      <c r="B167" s="1271"/>
      <c r="C167" s="1575"/>
      <c r="D167" s="1580"/>
      <c r="E167" s="882"/>
      <c r="F167" s="1577"/>
      <c r="G167" s="1581"/>
      <c r="H167" s="1501" t="str">
        <f t="shared" si="2"/>
        <v/>
      </c>
      <c r="I167" s="831"/>
      <c r="K167" s="450"/>
      <c r="L167" s="450"/>
      <c r="M167" s="450"/>
      <c r="N167" s="450"/>
    </row>
    <row r="168" spans="1:14" s="10" customFormat="1">
      <c r="A168" s="1574">
        <f>$A$4</f>
        <v>13</v>
      </c>
      <c r="B168" s="1271">
        <v>10.5</v>
      </c>
      <c r="C168" s="1575"/>
      <c r="D168" s="1580" t="s">
        <v>1757</v>
      </c>
      <c r="E168" s="882" t="s">
        <v>1735</v>
      </c>
      <c r="F168" s="1577">
        <v>1</v>
      </c>
      <c r="G168" s="1581"/>
      <c r="H168" s="1501">
        <f t="shared" si="2"/>
        <v>0</v>
      </c>
      <c r="I168" s="831"/>
      <c r="K168" s="450"/>
      <c r="L168" s="450"/>
      <c r="M168" s="450"/>
      <c r="N168" s="450"/>
    </row>
    <row r="169" spans="1:14" s="10" customFormat="1">
      <c r="A169" s="1574"/>
      <c r="B169" s="1271"/>
      <c r="C169" s="1575"/>
      <c r="D169" s="1580"/>
      <c r="E169" s="882"/>
      <c r="F169" s="1577"/>
      <c r="G169" s="1581"/>
      <c r="H169" s="1501" t="str">
        <f t="shared" si="2"/>
        <v/>
      </c>
      <c r="I169" s="831"/>
      <c r="K169" s="450"/>
      <c r="L169" s="450"/>
      <c r="M169" s="450"/>
      <c r="N169" s="450"/>
    </row>
    <row r="170" spans="1:14" s="10" customFormat="1">
      <c r="A170" s="1574">
        <f>$A$4</f>
        <v>13</v>
      </c>
      <c r="B170" s="1271">
        <v>10.6</v>
      </c>
      <c r="C170" s="1575"/>
      <c r="D170" s="1580" t="s">
        <v>1758</v>
      </c>
      <c r="E170" s="882" t="s">
        <v>1735</v>
      </c>
      <c r="F170" s="1577">
        <v>1</v>
      </c>
      <c r="G170" s="1581"/>
      <c r="H170" s="1501">
        <f t="shared" si="2"/>
        <v>0</v>
      </c>
      <c r="I170" s="831"/>
      <c r="K170" s="450"/>
      <c r="L170" s="450"/>
      <c r="M170" s="450"/>
      <c r="N170" s="450"/>
    </row>
    <row r="171" spans="1:14" s="10" customFormat="1">
      <c r="A171" s="1574"/>
      <c r="B171" s="1271"/>
      <c r="C171" s="1575"/>
      <c r="D171" s="1580"/>
      <c r="E171" s="882"/>
      <c r="F171" s="1577"/>
      <c r="G171" s="1581"/>
      <c r="H171" s="1501" t="str">
        <f t="shared" si="2"/>
        <v/>
      </c>
      <c r="I171" s="831"/>
      <c r="K171" s="450"/>
      <c r="L171" s="450"/>
      <c r="M171" s="450"/>
      <c r="N171" s="450"/>
    </row>
    <row r="172" spans="1:14" s="10" customFormat="1">
      <c r="A172" s="1574">
        <f>$A$4</f>
        <v>13</v>
      </c>
      <c r="B172" s="1271">
        <v>10.7</v>
      </c>
      <c r="C172" s="1575"/>
      <c r="D172" s="1580" t="s">
        <v>1759</v>
      </c>
      <c r="E172" s="882" t="s">
        <v>1735</v>
      </c>
      <c r="F172" s="1577">
        <v>1</v>
      </c>
      <c r="G172" s="1581"/>
      <c r="H172" s="1501">
        <f t="shared" si="2"/>
        <v>0</v>
      </c>
      <c r="I172" s="831"/>
      <c r="K172" s="450"/>
      <c r="L172" s="450"/>
      <c r="M172" s="450"/>
      <c r="N172" s="450"/>
    </row>
    <row r="173" spans="1:14" s="10" customFormat="1">
      <c r="A173" s="1574"/>
      <c r="B173" s="1271"/>
      <c r="C173" s="1575"/>
      <c r="D173" s="1580"/>
      <c r="E173" s="882"/>
      <c r="F173" s="1577"/>
      <c r="G173" s="1581"/>
      <c r="H173" s="1501" t="str">
        <f t="shared" si="2"/>
        <v/>
      </c>
      <c r="I173" s="831"/>
      <c r="K173" s="450"/>
      <c r="L173" s="450"/>
      <c r="M173" s="450"/>
      <c r="N173" s="450"/>
    </row>
    <row r="174" spans="1:14" s="10" customFormat="1">
      <c r="A174" s="1574">
        <f>$A$4</f>
        <v>13</v>
      </c>
      <c r="B174" s="1271">
        <v>10.8</v>
      </c>
      <c r="C174" s="1575"/>
      <c r="D174" s="1580" t="s">
        <v>1760</v>
      </c>
      <c r="E174" s="882" t="s">
        <v>1735</v>
      </c>
      <c r="F174" s="1577">
        <v>1</v>
      </c>
      <c r="G174" s="1581"/>
      <c r="H174" s="1501">
        <f t="shared" si="2"/>
        <v>0</v>
      </c>
      <c r="I174" s="831"/>
      <c r="K174" s="450"/>
      <c r="L174" s="450"/>
      <c r="M174" s="450"/>
      <c r="N174" s="450"/>
    </row>
    <row r="175" spans="1:14" s="10" customFormat="1">
      <c r="A175" s="1574"/>
      <c r="B175" s="1271"/>
      <c r="C175" s="1575"/>
      <c r="D175" s="1580"/>
      <c r="E175" s="882"/>
      <c r="F175" s="1577"/>
      <c r="G175" s="1581"/>
      <c r="H175" s="1501" t="str">
        <f t="shared" si="2"/>
        <v/>
      </c>
      <c r="I175" s="831"/>
      <c r="K175" s="450"/>
      <c r="L175" s="450"/>
      <c r="M175" s="450"/>
      <c r="N175" s="450"/>
    </row>
    <row r="176" spans="1:14" s="10" customFormat="1">
      <c r="A176" s="1574">
        <f>$A$4</f>
        <v>13</v>
      </c>
      <c r="B176" s="1271">
        <v>10.9</v>
      </c>
      <c r="C176" s="1575"/>
      <c r="D176" s="1580" t="s">
        <v>1761</v>
      </c>
      <c r="E176" s="882" t="s">
        <v>1735</v>
      </c>
      <c r="F176" s="1577">
        <v>1</v>
      </c>
      <c r="G176" s="1581"/>
      <c r="H176" s="1501">
        <f t="shared" si="2"/>
        <v>0</v>
      </c>
      <c r="I176" s="831"/>
      <c r="K176" s="450"/>
      <c r="L176" s="450"/>
      <c r="M176" s="450"/>
      <c r="N176" s="450"/>
    </row>
    <row r="177" spans="1:14" s="10" customFormat="1">
      <c r="A177" s="1574"/>
      <c r="B177" s="1271"/>
      <c r="C177" s="1575"/>
      <c r="D177" s="1580"/>
      <c r="E177" s="882"/>
      <c r="F177" s="1577"/>
      <c r="G177" s="1581"/>
      <c r="H177" s="1501" t="str">
        <f t="shared" si="2"/>
        <v/>
      </c>
      <c r="I177" s="831"/>
      <c r="K177" s="450"/>
      <c r="L177" s="450"/>
      <c r="M177" s="450"/>
      <c r="N177" s="450"/>
    </row>
    <row r="178" spans="1:14" s="10" customFormat="1">
      <c r="A178" s="1574">
        <f>$A$4</f>
        <v>13</v>
      </c>
      <c r="B178" s="1582">
        <v>10.1</v>
      </c>
      <c r="C178" s="1575"/>
      <c r="D178" s="1580" t="s">
        <v>1762</v>
      </c>
      <c r="E178" s="882" t="s">
        <v>1735</v>
      </c>
      <c r="F178" s="1577">
        <v>1</v>
      </c>
      <c r="G178" s="1581"/>
      <c r="H178" s="1501">
        <f t="shared" si="2"/>
        <v>0</v>
      </c>
      <c r="I178" s="831"/>
      <c r="K178" s="450"/>
      <c r="L178" s="450"/>
      <c r="M178" s="450"/>
      <c r="N178" s="450"/>
    </row>
    <row r="179" spans="1:14" s="10" customFormat="1">
      <c r="A179" s="1574"/>
      <c r="B179" s="1271"/>
      <c r="C179" s="1575"/>
      <c r="D179" s="1580"/>
      <c r="E179" s="882"/>
      <c r="F179" s="1577"/>
      <c r="G179" s="1581"/>
      <c r="H179" s="1501" t="str">
        <f t="shared" si="2"/>
        <v/>
      </c>
      <c r="I179" s="831"/>
      <c r="K179" s="450"/>
      <c r="L179" s="450"/>
      <c r="M179" s="450"/>
      <c r="N179" s="450"/>
    </row>
    <row r="180" spans="1:14" s="10" customFormat="1">
      <c r="A180" s="1574">
        <f>$A$4</f>
        <v>13</v>
      </c>
      <c r="B180" s="1271">
        <v>10.11</v>
      </c>
      <c r="C180" s="1575"/>
      <c r="D180" s="1580" t="s">
        <v>1763</v>
      </c>
      <c r="E180" s="882" t="s">
        <v>1735</v>
      </c>
      <c r="F180" s="1577">
        <v>1</v>
      </c>
      <c r="G180" s="1581"/>
      <c r="H180" s="1501">
        <f t="shared" si="2"/>
        <v>0</v>
      </c>
      <c r="I180" s="831"/>
      <c r="K180" s="450"/>
      <c r="L180" s="450"/>
      <c r="M180" s="450"/>
      <c r="N180" s="450"/>
    </row>
    <row r="181" spans="1:14" s="10" customFormat="1">
      <c r="A181" s="1574"/>
      <c r="B181" s="1271"/>
      <c r="C181" s="1575"/>
      <c r="D181" s="1580"/>
      <c r="E181" s="882"/>
      <c r="F181" s="1577"/>
      <c r="G181" s="1581"/>
      <c r="H181" s="1501" t="str">
        <f t="shared" si="2"/>
        <v/>
      </c>
      <c r="I181" s="831"/>
      <c r="K181" s="450"/>
      <c r="L181" s="450"/>
      <c r="M181" s="450"/>
      <c r="N181" s="450"/>
    </row>
    <row r="182" spans="1:14" s="10" customFormat="1">
      <c r="A182" s="1574">
        <f>$A$4</f>
        <v>13</v>
      </c>
      <c r="B182" s="1271">
        <v>10.119999999999999</v>
      </c>
      <c r="C182" s="1575"/>
      <c r="D182" s="1580" t="s">
        <v>1764</v>
      </c>
      <c r="E182" s="882" t="s">
        <v>1735</v>
      </c>
      <c r="F182" s="1577">
        <v>1</v>
      </c>
      <c r="G182" s="1581"/>
      <c r="H182" s="1501">
        <f t="shared" si="2"/>
        <v>0</v>
      </c>
      <c r="I182" s="831"/>
      <c r="K182" s="450"/>
      <c r="L182" s="450"/>
      <c r="M182" s="450"/>
      <c r="N182" s="450"/>
    </row>
    <row r="183" spans="1:14" s="10" customFormat="1">
      <c r="A183" s="1574"/>
      <c r="B183" s="1271"/>
      <c r="C183" s="1575"/>
      <c r="D183" s="1580"/>
      <c r="E183" s="882"/>
      <c r="F183" s="1577"/>
      <c r="G183" s="1581"/>
      <c r="H183" s="1501" t="str">
        <f t="shared" si="2"/>
        <v/>
      </c>
      <c r="I183" s="831"/>
      <c r="K183" s="450"/>
      <c r="L183" s="450"/>
      <c r="M183" s="450"/>
      <c r="N183" s="450"/>
    </row>
    <row r="184" spans="1:14" s="10" customFormat="1">
      <c r="A184" s="1574">
        <f>$A$4</f>
        <v>13</v>
      </c>
      <c r="B184" s="1271">
        <v>10.130000000000001</v>
      </c>
      <c r="C184" s="1575"/>
      <c r="D184" s="1580" t="s">
        <v>1765</v>
      </c>
      <c r="E184" s="882" t="s">
        <v>1735</v>
      </c>
      <c r="F184" s="1577">
        <v>1</v>
      </c>
      <c r="G184" s="1581"/>
      <c r="H184" s="1501">
        <f t="shared" si="2"/>
        <v>0</v>
      </c>
      <c r="I184" s="831"/>
      <c r="K184" s="450"/>
      <c r="L184" s="450"/>
      <c r="M184" s="450"/>
      <c r="N184" s="450"/>
    </row>
    <row r="185" spans="1:14" s="10" customFormat="1">
      <c r="A185" s="1574"/>
      <c r="B185" s="946"/>
      <c r="C185" s="1575"/>
      <c r="D185" s="1580"/>
      <c r="E185" s="882"/>
      <c r="F185" s="1577"/>
      <c r="G185" s="1581"/>
      <c r="H185" s="1501" t="str">
        <f t="shared" si="2"/>
        <v/>
      </c>
      <c r="I185" s="831"/>
      <c r="K185" s="450"/>
      <c r="L185" s="450"/>
      <c r="M185" s="450"/>
      <c r="N185" s="450"/>
    </row>
    <row r="186" spans="1:14" s="10" customFormat="1">
      <c r="A186" s="1575">
        <f>$A$4</f>
        <v>13</v>
      </c>
      <c r="B186" s="946">
        <v>10.14</v>
      </c>
      <c r="C186" s="1575"/>
      <c r="D186" s="1580" t="s">
        <v>1766</v>
      </c>
      <c r="E186" s="882" t="s">
        <v>1735</v>
      </c>
      <c r="F186" s="1577">
        <v>1</v>
      </c>
      <c r="G186" s="1581"/>
      <c r="H186" s="1501">
        <f t="shared" si="2"/>
        <v>0</v>
      </c>
      <c r="I186" s="831"/>
      <c r="K186" s="450"/>
      <c r="L186" s="450"/>
      <c r="M186" s="450"/>
      <c r="N186" s="450"/>
    </row>
    <row r="187" spans="1:14" s="10" customFormat="1">
      <c r="A187" s="1575"/>
      <c r="B187" s="946"/>
      <c r="C187" s="1575"/>
      <c r="D187" s="1580"/>
      <c r="E187" s="882"/>
      <c r="F187" s="1577"/>
      <c r="G187" s="1581"/>
      <c r="H187" s="1579"/>
      <c r="I187" s="831"/>
      <c r="K187" s="450"/>
      <c r="L187" s="450"/>
      <c r="M187" s="450"/>
      <c r="N187" s="450"/>
    </row>
    <row r="188" spans="1:14" s="10" customFormat="1">
      <c r="A188" s="1575"/>
      <c r="B188" s="946"/>
      <c r="C188" s="1575"/>
      <c r="D188" s="1580"/>
      <c r="E188" s="882"/>
      <c r="F188" s="1577"/>
      <c r="G188" s="1581"/>
      <c r="H188" s="1579"/>
      <c r="I188" s="831"/>
      <c r="K188" s="450"/>
      <c r="L188" s="450"/>
      <c r="M188" s="450"/>
      <c r="N188" s="450"/>
    </row>
    <row r="189" spans="1:14" s="10" customFormat="1">
      <c r="A189" s="1575"/>
      <c r="B189" s="946"/>
      <c r="C189" s="1575"/>
      <c r="D189" s="1580"/>
      <c r="E189" s="882"/>
      <c r="F189" s="1577"/>
      <c r="G189" s="1581"/>
      <c r="H189" s="2591"/>
      <c r="I189" s="831"/>
      <c r="K189" s="450"/>
      <c r="L189" s="450"/>
      <c r="M189" s="450"/>
      <c r="N189" s="450"/>
    </row>
    <row r="190" spans="1:14" s="10" customFormat="1">
      <c r="A190" s="1574"/>
      <c r="B190" s="1271"/>
      <c r="C190" s="1575"/>
      <c r="D190" s="1576"/>
      <c r="E190" s="882"/>
      <c r="F190" s="1577"/>
      <c r="G190" s="1578"/>
      <c r="H190" s="1579"/>
      <c r="I190" s="829"/>
      <c r="K190" s="450"/>
      <c r="L190" s="450"/>
      <c r="M190" s="450"/>
      <c r="N190" s="450"/>
    </row>
    <row r="191" spans="1:14" s="10" customFormat="1">
      <c r="A191" s="1786"/>
      <c r="B191" s="787"/>
      <c r="C191" s="872"/>
      <c r="D191" s="872"/>
      <c r="E191" s="801"/>
      <c r="F191" s="873"/>
      <c r="G191" s="2587"/>
      <c r="H191" s="2588"/>
      <c r="I191" s="827"/>
      <c r="K191" s="450"/>
      <c r="L191" s="450"/>
      <c r="M191" s="450"/>
      <c r="N191" s="450"/>
    </row>
    <row r="192" spans="1:14" s="10" customFormat="1">
      <c r="A192" s="2566"/>
      <c r="B192" s="566"/>
      <c r="C192" s="423"/>
      <c r="D192" s="413" t="s">
        <v>289</v>
      </c>
      <c r="E192" s="426"/>
      <c r="F192" s="24"/>
      <c r="G192" s="2589"/>
      <c r="H192" s="2590">
        <f>SUM(H128:H190)</f>
        <v>1600000</v>
      </c>
      <c r="I192" s="828"/>
      <c r="K192" s="450"/>
      <c r="L192" s="450"/>
      <c r="M192" s="450"/>
      <c r="N192" s="450"/>
    </row>
    <row r="193" spans="1:15" s="10" customFormat="1">
      <c r="A193" s="1574"/>
      <c r="B193" s="1271"/>
      <c r="C193" s="1575"/>
      <c r="D193" s="1552" t="s">
        <v>290</v>
      </c>
      <c r="E193" s="882"/>
      <c r="F193" s="1577"/>
      <c r="G193" s="1578"/>
      <c r="H193" s="945">
        <f>H192</f>
        <v>1600000</v>
      </c>
      <c r="I193" s="829"/>
      <c r="K193" s="450"/>
      <c r="L193" s="450"/>
      <c r="M193" s="450"/>
      <c r="N193" s="450"/>
    </row>
    <row r="194" spans="1:15" s="10" customFormat="1">
      <c r="A194" s="1575"/>
      <c r="C194" s="1575"/>
      <c r="D194" s="1580"/>
      <c r="E194" s="882"/>
      <c r="F194" s="1577"/>
      <c r="G194" s="1581"/>
      <c r="H194" s="2591"/>
      <c r="I194" s="831"/>
      <c r="K194" s="450"/>
      <c r="L194" s="450"/>
      <c r="M194" s="450"/>
      <c r="N194" s="450"/>
    </row>
    <row r="195" spans="1:15" s="10" customFormat="1">
      <c r="A195" s="1575">
        <f>$A$4</f>
        <v>13</v>
      </c>
      <c r="B195" s="946">
        <v>10.15</v>
      </c>
      <c r="C195" s="1575"/>
      <c r="D195" s="1580" t="s">
        <v>1767</v>
      </c>
      <c r="E195" s="882" t="s">
        <v>1735</v>
      </c>
      <c r="F195" s="1577">
        <v>1</v>
      </c>
      <c r="G195" s="1581"/>
      <c r="H195" s="1501">
        <f t="shared" ref="H195:H258" si="3">IF(E195="","",ROUND(F195*G195,2))</f>
        <v>0</v>
      </c>
      <c r="I195" s="831"/>
      <c r="K195" s="450"/>
      <c r="L195" s="450"/>
      <c r="M195" s="450"/>
      <c r="N195" s="450"/>
    </row>
    <row r="196" spans="1:15" s="10" customFormat="1">
      <c r="A196" s="1575"/>
      <c r="B196" s="946"/>
      <c r="C196" s="1575"/>
      <c r="D196" s="1580"/>
      <c r="E196" s="882"/>
      <c r="F196" s="1577"/>
      <c r="G196" s="1581"/>
      <c r="H196" s="1501" t="str">
        <f t="shared" si="3"/>
        <v/>
      </c>
      <c r="I196" s="831"/>
      <c r="K196" s="450"/>
      <c r="L196" s="450"/>
      <c r="M196" s="450"/>
      <c r="N196" s="450"/>
    </row>
    <row r="197" spans="1:15" s="10" customFormat="1">
      <c r="A197" s="1575">
        <f>$A$4</f>
        <v>13</v>
      </c>
      <c r="B197" s="946">
        <v>10.16</v>
      </c>
      <c r="C197" s="1575"/>
      <c r="D197" s="1580" t="s">
        <v>1768</v>
      </c>
      <c r="E197" s="882" t="s">
        <v>230</v>
      </c>
      <c r="F197" s="1577">
        <v>1</v>
      </c>
      <c r="G197" s="1581"/>
      <c r="H197" s="1501">
        <f t="shared" si="3"/>
        <v>0</v>
      </c>
      <c r="I197" s="831"/>
      <c r="K197" s="450"/>
      <c r="L197" s="450"/>
      <c r="M197" s="450"/>
      <c r="N197" s="450"/>
    </row>
    <row r="198" spans="1:15" s="10" customFormat="1">
      <c r="A198" s="1575"/>
      <c r="B198" s="946"/>
      <c r="C198" s="1575"/>
      <c r="D198" s="1580"/>
      <c r="E198" s="882"/>
      <c r="F198" s="1577"/>
      <c r="G198" s="1581"/>
      <c r="H198" s="1501" t="str">
        <f t="shared" si="3"/>
        <v/>
      </c>
      <c r="I198" s="831"/>
      <c r="K198" s="450"/>
      <c r="L198" s="450"/>
      <c r="M198" s="450"/>
      <c r="N198" s="450"/>
    </row>
    <row r="199" spans="1:15" s="10" customFormat="1">
      <c r="A199" s="1575">
        <f>$A$4</f>
        <v>13</v>
      </c>
      <c r="B199" s="946">
        <v>10.17</v>
      </c>
      <c r="C199" s="1575"/>
      <c r="D199" s="1580" t="s">
        <v>1769</v>
      </c>
      <c r="E199" s="882" t="s">
        <v>230</v>
      </c>
      <c r="F199" s="1577">
        <v>1</v>
      </c>
      <c r="G199" s="1581"/>
      <c r="H199" s="1501">
        <f t="shared" si="3"/>
        <v>0</v>
      </c>
      <c r="I199" s="831"/>
      <c r="J199" s="471"/>
      <c r="K199" s="472"/>
      <c r="L199" s="472"/>
      <c r="M199" s="472"/>
      <c r="N199" s="472"/>
      <c r="O199" s="471"/>
    </row>
    <row r="200" spans="1:15" s="10" customFormat="1">
      <c r="A200" s="1575"/>
      <c r="B200" s="946"/>
      <c r="C200" s="1575"/>
      <c r="D200" s="1580"/>
      <c r="E200" s="882"/>
      <c r="F200" s="1577"/>
      <c r="G200" s="1581"/>
      <c r="H200" s="1501" t="str">
        <f t="shared" si="3"/>
        <v/>
      </c>
      <c r="I200" s="831"/>
      <c r="J200" s="471"/>
      <c r="K200" s="472"/>
      <c r="L200" s="472"/>
      <c r="M200" s="472"/>
      <c r="N200" s="472"/>
      <c r="O200" s="471"/>
    </row>
    <row r="201" spans="1:15" s="10" customFormat="1">
      <c r="A201" s="1575">
        <f>$A$4</f>
        <v>13</v>
      </c>
      <c r="B201" s="946">
        <v>10.18</v>
      </c>
      <c r="C201" s="1575"/>
      <c r="D201" s="1580" t="s">
        <v>1770</v>
      </c>
      <c r="E201" s="882" t="s">
        <v>230</v>
      </c>
      <c r="F201" s="1577">
        <v>1</v>
      </c>
      <c r="G201" s="1581"/>
      <c r="H201" s="1501">
        <f t="shared" si="3"/>
        <v>0</v>
      </c>
      <c r="I201" s="831"/>
      <c r="J201" s="471"/>
      <c r="K201" s="472"/>
      <c r="L201" s="472"/>
      <c r="M201" s="472"/>
      <c r="N201" s="472"/>
      <c r="O201" s="471"/>
    </row>
    <row r="202" spans="1:15" s="10" customFormat="1">
      <c r="A202" s="1575"/>
      <c r="B202" s="946"/>
      <c r="C202" s="1575"/>
      <c r="D202" s="1580"/>
      <c r="E202" s="882"/>
      <c r="F202" s="1577"/>
      <c r="G202" s="1581"/>
      <c r="H202" s="1501" t="str">
        <f t="shared" si="3"/>
        <v/>
      </c>
      <c r="I202" s="831"/>
      <c r="K202" s="450"/>
      <c r="L202" s="450"/>
      <c r="M202" s="450"/>
      <c r="N202" s="450"/>
    </row>
    <row r="203" spans="1:15" s="10" customFormat="1">
      <c r="A203" s="1575">
        <f>$A$4</f>
        <v>13</v>
      </c>
      <c r="B203" s="946">
        <v>10.19</v>
      </c>
      <c r="C203" s="1575"/>
      <c r="D203" s="1580" t="s">
        <v>1771</v>
      </c>
      <c r="E203" s="882" t="s">
        <v>1735</v>
      </c>
      <c r="F203" s="1577">
        <v>1</v>
      </c>
      <c r="G203" s="1581"/>
      <c r="H203" s="1501">
        <f t="shared" si="3"/>
        <v>0</v>
      </c>
      <c r="I203" s="831"/>
      <c r="K203" s="450"/>
      <c r="L203" s="450"/>
      <c r="M203" s="450"/>
      <c r="N203" s="450"/>
    </row>
    <row r="204" spans="1:15" s="10" customFormat="1">
      <c r="A204" s="1575"/>
      <c r="B204" s="946"/>
      <c r="C204" s="1575"/>
      <c r="D204" s="1580"/>
      <c r="E204" s="882"/>
      <c r="F204" s="1577"/>
      <c r="G204" s="1578"/>
      <c r="H204" s="1501" t="str">
        <f t="shared" si="3"/>
        <v/>
      </c>
      <c r="I204" s="829"/>
      <c r="K204" s="450"/>
      <c r="L204" s="450"/>
      <c r="M204" s="450"/>
      <c r="N204" s="450"/>
    </row>
    <row r="205" spans="1:15" s="10" customFormat="1">
      <c r="A205" s="1575">
        <f>$A$4</f>
        <v>13</v>
      </c>
      <c r="B205" s="947">
        <v>10.199999999999999</v>
      </c>
      <c r="C205" s="1575"/>
      <c r="D205" s="1580" t="s">
        <v>1772</v>
      </c>
      <c r="E205" s="882" t="s">
        <v>1735</v>
      </c>
      <c r="F205" s="1577">
        <v>1</v>
      </c>
      <c r="G205" s="1581"/>
      <c r="H205" s="1501">
        <f t="shared" si="3"/>
        <v>0</v>
      </c>
      <c r="I205" s="831"/>
      <c r="K205" s="450"/>
      <c r="L205" s="450"/>
      <c r="M205" s="450"/>
      <c r="N205" s="450"/>
    </row>
    <row r="206" spans="1:15" s="10" customFormat="1">
      <c r="A206" s="1575"/>
      <c r="C206" s="1575"/>
      <c r="D206" s="1580"/>
      <c r="E206" s="882"/>
      <c r="F206" s="1577"/>
      <c r="G206" s="1581"/>
      <c r="H206" s="1501" t="str">
        <f t="shared" si="3"/>
        <v/>
      </c>
      <c r="I206" s="831"/>
      <c r="J206" s="471"/>
      <c r="K206" s="472"/>
      <c r="L206" s="472"/>
      <c r="M206" s="472"/>
      <c r="N206" s="472"/>
      <c r="O206" s="471"/>
    </row>
    <row r="207" spans="1:15" s="10" customFormat="1">
      <c r="A207" s="1575">
        <f>$A$4</f>
        <v>13</v>
      </c>
      <c r="B207" s="946">
        <v>10.210000000000001</v>
      </c>
      <c r="C207" s="1575"/>
      <c r="D207" s="1580" t="s">
        <v>1773</v>
      </c>
      <c r="E207" s="882" t="s">
        <v>1735</v>
      </c>
      <c r="F207" s="1577">
        <v>1</v>
      </c>
      <c r="G207" s="1581"/>
      <c r="H207" s="1501">
        <f t="shared" si="3"/>
        <v>0</v>
      </c>
      <c r="I207" s="831"/>
      <c r="J207" s="471"/>
      <c r="K207" s="472"/>
      <c r="L207" s="472"/>
      <c r="M207" s="472"/>
      <c r="N207" s="472"/>
      <c r="O207" s="471"/>
    </row>
    <row r="208" spans="1:15" s="10" customFormat="1">
      <c r="A208" s="1575"/>
      <c r="B208" s="948"/>
      <c r="C208" s="1575"/>
      <c r="D208" s="1580"/>
      <c r="E208" s="882"/>
      <c r="F208" s="1577"/>
      <c r="G208" s="1581"/>
      <c r="H208" s="1501" t="str">
        <f t="shared" si="3"/>
        <v/>
      </c>
      <c r="I208" s="831"/>
      <c r="J208" s="471"/>
      <c r="K208" s="472"/>
      <c r="L208" s="472"/>
      <c r="M208" s="472"/>
      <c r="N208" s="472"/>
      <c r="O208" s="471"/>
    </row>
    <row r="209" spans="1:15" s="10" customFormat="1">
      <c r="A209" s="1575">
        <f>$A$4</f>
        <v>13</v>
      </c>
      <c r="B209" s="948">
        <v>10.220000000000001</v>
      </c>
      <c r="C209" s="1575"/>
      <c r="D209" s="1580" t="s">
        <v>1774</v>
      </c>
      <c r="E209" s="882" t="s">
        <v>1735</v>
      </c>
      <c r="F209" s="1577">
        <v>1</v>
      </c>
      <c r="G209" s="1581"/>
      <c r="H209" s="1501">
        <f t="shared" si="3"/>
        <v>0</v>
      </c>
      <c r="I209" s="831"/>
      <c r="J209" s="471"/>
      <c r="K209" s="472"/>
      <c r="L209" s="472"/>
      <c r="M209" s="472"/>
      <c r="N209" s="472"/>
      <c r="O209" s="471"/>
    </row>
    <row r="210" spans="1:15" s="10" customFormat="1">
      <c r="A210" s="1575"/>
      <c r="B210" s="948"/>
      <c r="C210" s="1575"/>
      <c r="D210" s="1580"/>
      <c r="E210" s="882"/>
      <c r="F210" s="1577"/>
      <c r="G210" s="1581"/>
      <c r="H210" s="1501" t="str">
        <f t="shared" si="3"/>
        <v/>
      </c>
      <c r="I210" s="831"/>
      <c r="K210" s="450"/>
      <c r="L210" s="450"/>
      <c r="M210" s="450"/>
      <c r="N210" s="450"/>
    </row>
    <row r="211" spans="1:15" s="10" customFormat="1">
      <c r="A211" s="1575">
        <f>$A$4</f>
        <v>13</v>
      </c>
      <c r="B211" s="948">
        <v>10.23</v>
      </c>
      <c r="C211" s="1575"/>
      <c r="D211" s="1580" t="s">
        <v>1775</v>
      </c>
      <c r="E211" s="882" t="s">
        <v>1735</v>
      </c>
      <c r="F211" s="1577">
        <v>1</v>
      </c>
      <c r="G211" s="1581"/>
      <c r="H211" s="1501">
        <f t="shared" si="3"/>
        <v>0</v>
      </c>
      <c r="I211" s="831"/>
      <c r="K211" s="450"/>
      <c r="L211" s="450"/>
      <c r="M211" s="450"/>
      <c r="N211" s="450"/>
    </row>
    <row r="212" spans="1:15" s="10" customFormat="1">
      <c r="A212" s="1575"/>
      <c r="B212" s="946"/>
      <c r="C212" s="1575"/>
      <c r="D212" s="1580"/>
      <c r="E212" s="882"/>
      <c r="F212" s="1577"/>
      <c r="G212" s="1581"/>
      <c r="H212" s="1501" t="str">
        <f t="shared" si="3"/>
        <v/>
      </c>
      <c r="I212" s="831"/>
      <c r="K212" s="450"/>
      <c r="L212" s="450"/>
      <c r="M212" s="450"/>
      <c r="N212" s="450"/>
    </row>
    <row r="213" spans="1:15" s="10" customFormat="1">
      <c r="A213" s="1575">
        <f>$A$4</f>
        <v>13</v>
      </c>
      <c r="B213" s="946">
        <v>10.24</v>
      </c>
      <c r="C213" s="2592"/>
      <c r="D213" s="1580" t="s">
        <v>1776</v>
      </c>
      <c r="E213" s="892" t="s">
        <v>1735</v>
      </c>
      <c r="F213" s="1585">
        <v>1</v>
      </c>
      <c r="G213" s="1581"/>
      <c r="H213" s="1501">
        <f t="shared" si="3"/>
        <v>0</v>
      </c>
      <c r="I213" s="831"/>
      <c r="K213" s="450"/>
      <c r="L213" s="450"/>
      <c r="M213" s="450"/>
      <c r="N213" s="450"/>
    </row>
    <row r="214" spans="1:15" s="10" customFormat="1">
      <c r="A214" s="1575"/>
      <c r="B214" s="946"/>
      <c r="C214" s="147"/>
      <c r="D214" s="1580"/>
      <c r="E214" s="882"/>
      <c r="F214" s="1577"/>
      <c r="G214" s="1581"/>
      <c r="H214" s="1501" t="str">
        <f t="shared" si="3"/>
        <v/>
      </c>
      <c r="I214" s="831"/>
      <c r="K214" s="450"/>
      <c r="L214" s="450"/>
      <c r="M214" s="450"/>
      <c r="N214" s="450"/>
    </row>
    <row r="215" spans="1:15" s="10" customFormat="1">
      <c r="A215" s="1575">
        <f>$A$4</f>
        <v>13</v>
      </c>
      <c r="B215" s="946">
        <v>10.25</v>
      </c>
      <c r="C215" s="1575"/>
      <c r="D215" s="1580" t="s">
        <v>1777</v>
      </c>
      <c r="E215" s="882" t="s">
        <v>1735</v>
      </c>
      <c r="F215" s="1577">
        <v>1</v>
      </c>
      <c r="G215" s="1581"/>
      <c r="H215" s="1501">
        <f t="shared" si="3"/>
        <v>0</v>
      </c>
      <c r="I215" s="831"/>
      <c r="K215" s="450"/>
      <c r="L215" s="450"/>
      <c r="M215" s="450"/>
      <c r="N215" s="450"/>
    </row>
    <row r="216" spans="1:15" s="10" customFormat="1">
      <c r="A216" s="1575"/>
      <c r="B216" s="946"/>
      <c r="C216" s="2592"/>
      <c r="D216" s="1580"/>
      <c r="E216" s="892"/>
      <c r="F216" s="1585"/>
      <c r="G216" s="1581"/>
      <c r="H216" s="1501" t="str">
        <f t="shared" si="3"/>
        <v/>
      </c>
      <c r="I216" s="831"/>
      <c r="K216" s="450"/>
      <c r="L216" s="450"/>
      <c r="M216" s="450"/>
      <c r="N216" s="450"/>
    </row>
    <row r="217" spans="1:15" s="10" customFormat="1">
      <c r="A217" s="1575">
        <f>$A$4</f>
        <v>13</v>
      </c>
      <c r="B217" s="946">
        <v>10.26</v>
      </c>
      <c r="C217" s="2592"/>
      <c r="D217" s="1580" t="s">
        <v>1778</v>
      </c>
      <c r="E217" s="892" t="s">
        <v>1735</v>
      </c>
      <c r="F217" s="1585">
        <v>1</v>
      </c>
      <c r="G217" s="1581"/>
      <c r="H217" s="1501">
        <f t="shared" si="3"/>
        <v>0</v>
      </c>
      <c r="I217" s="831"/>
      <c r="K217" s="450"/>
      <c r="L217" s="450"/>
      <c r="M217" s="450"/>
      <c r="N217" s="450"/>
    </row>
    <row r="218" spans="1:15" s="10" customFormat="1" ht="12.75" customHeight="1">
      <c r="A218" s="1575"/>
      <c r="B218" s="946"/>
      <c r="C218" s="2592"/>
      <c r="D218" s="1580"/>
      <c r="E218" s="892"/>
      <c r="F218" s="1585"/>
      <c r="G218" s="1581"/>
      <c r="H218" s="1501" t="str">
        <f t="shared" si="3"/>
        <v/>
      </c>
      <c r="I218" s="831"/>
      <c r="K218" s="450"/>
      <c r="L218" s="450"/>
      <c r="M218" s="450"/>
      <c r="N218" s="450"/>
    </row>
    <row r="219" spans="1:15" s="10" customFormat="1">
      <c r="A219" s="1575">
        <f>$A$4</f>
        <v>13</v>
      </c>
      <c r="B219" s="946">
        <v>10.27</v>
      </c>
      <c r="C219" s="2592"/>
      <c r="D219" s="1580" t="s">
        <v>1779</v>
      </c>
      <c r="E219" s="892" t="s">
        <v>1735</v>
      </c>
      <c r="F219" s="1585">
        <v>1</v>
      </c>
      <c r="G219" s="1581"/>
      <c r="H219" s="1501">
        <f t="shared" si="3"/>
        <v>0</v>
      </c>
      <c r="I219" s="831"/>
      <c r="K219" s="450"/>
      <c r="L219" s="450"/>
      <c r="M219" s="450"/>
      <c r="N219" s="450"/>
    </row>
    <row r="220" spans="1:15" s="10" customFormat="1" ht="12.75" customHeight="1">
      <c r="A220" s="1575"/>
      <c r="C220" s="1575"/>
      <c r="D220" s="1580"/>
      <c r="E220" s="882"/>
      <c r="F220" s="1577"/>
      <c r="G220" s="1581"/>
      <c r="H220" s="1501" t="str">
        <f t="shared" si="3"/>
        <v/>
      </c>
      <c r="I220" s="831"/>
      <c r="K220" s="450"/>
      <c r="L220" s="450"/>
      <c r="M220" s="450"/>
      <c r="N220" s="450"/>
    </row>
    <row r="221" spans="1:15" s="10" customFormat="1">
      <c r="A221" s="1575">
        <f>$A$4</f>
        <v>13</v>
      </c>
      <c r="B221" s="946">
        <v>10.28</v>
      </c>
      <c r="C221" s="1575"/>
      <c r="D221" s="1580" t="s">
        <v>1780</v>
      </c>
      <c r="E221" s="882" t="s">
        <v>1735</v>
      </c>
      <c r="F221" s="1577">
        <v>1</v>
      </c>
      <c r="G221" s="1581"/>
      <c r="H221" s="1501">
        <f t="shared" si="3"/>
        <v>0</v>
      </c>
      <c r="I221" s="831"/>
      <c r="K221" s="450"/>
      <c r="L221" s="450"/>
      <c r="M221" s="450"/>
      <c r="N221" s="450"/>
    </row>
    <row r="222" spans="1:15" s="10" customFormat="1">
      <c r="A222" s="1575"/>
      <c r="B222" s="946"/>
      <c r="C222" s="1575"/>
      <c r="D222" s="1580"/>
      <c r="E222" s="882"/>
      <c r="F222" s="1577"/>
      <c r="G222" s="1581"/>
      <c r="H222" s="1501" t="str">
        <f t="shared" si="3"/>
        <v/>
      </c>
      <c r="I222" s="831"/>
      <c r="K222" s="450"/>
      <c r="L222" s="450"/>
      <c r="M222" s="450"/>
      <c r="N222" s="450"/>
    </row>
    <row r="223" spans="1:15" s="10" customFormat="1">
      <c r="A223" s="1575">
        <f>$A$4</f>
        <v>13</v>
      </c>
      <c r="B223" s="946">
        <v>10.29</v>
      </c>
      <c r="C223" s="1575"/>
      <c r="D223" s="1580" t="s">
        <v>1781</v>
      </c>
      <c r="E223" s="882" t="s">
        <v>691</v>
      </c>
      <c r="F223" s="1577">
        <v>2</v>
      </c>
      <c r="G223" s="1581"/>
      <c r="H223" s="1501">
        <f t="shared" si="3"/>
        <v>0</v>
      </c>
      <c r="I223" s="831"/>
      <c r="K223" s="450"/>
      <c r="L223" s="450"/>
      <c r="M223" s="450"/>
      <c r="N223" s="450"/>
    </row>
    <row r="224" spans="1:15" s="10" customFormat="1">
      <c r="A224" s="1575"/>
      <c r="B224" s="946"/>
      <c r="C224" s="1575"/>
      <c r="D224" s="1580"/>
      <c r="E224" s="882"/>
      <c r="F224" s="1577"/>
      <c r="G224" s="1581"/>
      <c r="H224" s="1501" t="str">
        <f t="shared" si="3"/>
        <v/>
      </c>
      <c r="I224" s="831"/>
      <c r="K224" s="450"/>
      <c r="L224" s="450"/>
      <c r="M224" s="450"/>
      <c r="N224" s="450"/>
    </row>
    <row r="225" spans="1:14" s="10" customFormat="1">
      <c r="A225" s="1575">
        <f>$A$4</f>
        <v>13</v>
      </c>
      <c r="B225" s="949">
        <v>10.3</v>
      </c>
      <c r="C225" s="1575"/>
      <c r="D225" s="1580" t="s">
        <v>1782</v>
      </c>
      <c r="E225" s="882" t="s">
        <v>691</v>
      </c>
      <c r="F225" s="1577">
        <v>4</v>
      </c>
      <c r="G225" s="1581"/>
      <c r="H225" s="1501">
        <f t="shared" si="3"/>
        <v>0</v>
      </c>
      <c r="I225" s="831"/>
      <c r="K225" s="450"/>
      <c r="L225" s="450"/>
      <c r="M225" s="450"/>
      <c r="N225" s="450"/>
    </row>
    <row r="226" spans="1:14" s="10" customFormat="1">
      <c r="A226" s="1575"/>
      <c r="B226" s="946"/>
      <c r="C226" s="1575"/>
      <c r="D226" s="1580"/>
      <c r="E226" s="882"/>
      <c r="F226" s="1577"/>
      <c r="G226" s="1581"/>
      <c r="H226" s="1501" t="str">
        <f t="shared" si="3"/>
        <v/>
      </c>
      <c r="I226" s="831"/>
      <c r="K226" s="450"/>
      <c r="L226" s="450"/>
      <c r="M226" s="450"/>
      <c r="N226" s="450"/>
    </row>
    <row r="227" spans="1:14" s="10" customFormat="1">
      <c r="A227" s="1575">
        <f>$A$4</f>
        <v>13</v>
      </c>
      <c r="B227" s="946">
        <v>10.31</v>
      </c>
      <c r="C227" s="1575"/>
      <c r="D227" s="1580" t="s">
        <v>1783</v>
      </c>
      <c r="E227" s="882" t="s">
        <v>691</v>
      </c>
      <c r="F227" s="1577">
        <v>21</v>
      </c>
      <c r="G227" s="1581"/>
      <c r="H227" s="1501">
        <f t="shared" si="3"/>
        <v>0</v>
      </c>
      <c r="I227" s="831"/>
      <c r="K227" s="450"/>
      <c r="L227" s="450"/>
      <c r="M227" s="450"/>
      <c r="N227" s="450"/>
    </row>
    <row r="228" spans="1:14" s="10" customFormat="1">
      <c r="A228" s="1575"/>
      <c r="B228" s="946"/>
      <c r="C228" s="1575"/>
      <c r="D228" s="1580"/>
      <c r="E228" s="882"/>
      <c r="F228" s="1577"/>
      <c r="G228" s="1581"/>
      <c r="H228" s="1501" t="str">
        <f t="shared" si="3"/>
        <v/>
      </c>
      <c r="I228" s="831"/>
      <c r="K228" s="450"/>
      <c r="L228" s="450"/>
      <c r="M228" s="450"/>
      <c r="N228" s="450"/>
    </row>
    <row r="229" spans="1:14" s="10" customFormat="1" ht="52.8">
      <c r="A229" s="1575">
        <f>$A$4</f>
        <v>13</v>
      </c>
      <c r="B229" s="950">
        <v>11</v>
      </c>
      <c r="C229" s="1575"/>
      <c r="D229" s="2241" t="s">
        <v>1784</v>
      </c>
      <c r="E229" s="882"/>
      <c r="F229" s="1577"/>
      <c r="G229" s="1581"/>
      <c r="H229" s="1501" t="str">
        <f t="shared" si="3"/>
        <v/>
      </c>
      <c r="I229" s="831"/>
      <c r="K229" s="450"/>
      <c r="L229" s="450"/>
      <c r="M229" s="450"/>
      <c r="N229" s="450"/>
    </row>
    <row r="230" spans="1:14" s="10" customFormat="1">
      <c r="A230" s="1574"/>
      <c r="B230" s="1712"/>
      <c r="C230" s="1575"/>
      <c r="D230" s="1580"/>
      <c r="E230" s="882"/>
      <c r="F230" s="1577"/>
      <c r="G230" s="1581"/>
      <c r="H230" s="1501" t="str">
        <f t="shared" si="3"/>
        <v/>
      </c>
      <c r="I230" s="831"/>
      <c r="K230" s="450"/>
      <c r="L230" s="450"/>
      <c r="M230" s="450"/>
      <c r="N230" s="450"/>
    </row>
    <row r="231" spans="1:14" s="10" customFormat="1">
      <c r="A231" s="1575">
        <f>$A$4</f>
        <v>13</v>
      </c>
      <c r="B231" s="1271">
        <v>11.1</v>
      </c>
      <c r="C231" s="1575"/>
      <c r="D231" s="1580" t="s">
        <v>1785</v>
      </c>
      <c r="E231" s="882" t="s">
        <v>230</v>
      </c>
      <c r="F231" s="1577">
        <v>1</v>
      </c>
      <c r="G231" s="1581"/>
      <c r="H231" s="1501">
        <f t="shared" si="3"/>
        <v>0</v>
      </c>
      <c r="I231" s="831"/>
      <c r="K231" s="450"/>
      <c r="L231" s="450"/>
      <c r="M231" s="450"/>
      <c r="N231" s="450"/>
    </row>
    <row r="232" spans="1:14" s="10" customFormat="1">
      <c r="A232" s="1574"/>
      <c r="B232" s="1712"/>
      <c r="C232" s="1575"/>
      <c r="D232" s="1580"/>
      <c r="E232" s="882"/>
      <c r="F232" s="1577"/>
      <c r="G232" s="1581"/>
      <c r="H232" s="1501" t="str">
        <f t="shared" si="3"/>
        <v/>
      </c>
      <c r="I232" s="831"/>
      <c r="K232" s="450"/>
      <c r="L232" s="450"/>
      <c r="M232" s="450"/>
      <c r="N232" s="450"/>
    </row>
    <row r="233" spans="1:14" s="10" customFormat="1">
      <c r="A233" s="1575">
        <f>$A$4</f>
        <v>13</v>
      </c>
      <c r="B233" s="1271">
        <v>11.2</v>
      </c>
      <c r="C233" s="147"/>
      <c r="D233" s="1580" t="s">
        <v>1786</v>
      </c>
      <c r="E233" s="882" t="s">
        <v>230</v>
      </c>
      <c r="F233" s="1577">
        <v>1</v>
      </c>
      <c r="G233" s="1581"/>
      <c r="H233" s="1501">
        <f t="shared" si="3"/>
        <v>0</v>
      </c>
      <c r="I233" s="831"/>
      <c r="K233" s="450"/>
      <c r="L233" s="450"/>
      <c r="M233" s="450"/>
      <c r="N233" s="450"/>
    </row>
    <row r="234" spans="1:14" s="10" customFormat="1">
      <c r="A234" s="1574"/>
      <c r="B234" s="1712"/>
      <c r="C234" s="147"/>
      <c r="D234" s="1580"/>
      <c r="E234" s="882"/>
      <c r="F234" s="1577"/>
      <c r="G234" s="1581"/>
      <c r="H234" s="1501" t="str">
        <f t="shared" si="3"/>
        <v/>
      </c>
      <c r="I234" s="831"/>
      <c r="K234" s="450"/>
      <c r="L234" s="450"/>
      <c r="M234" s="450"/>
      <c r="N234" s="450"/>
    </row>
    <row r="235" spans="1:14" s="10" customFormat="1">
      <c r="A235" s="1575">
        <f>$A$4</f>
        <v>13</v>
      </c>
      <c r="B235" s="1271">
        <v>11.3</v>
      </c>
      <c r="C235" s="147"/>
      <c r="D235" s="1580" t="s">
        <v>1787</v>
      </c>
      <c r="E235" s="882" t="s">
        <v>230</v>
      </c>
      <c r="F235" s="1577">
        <v>1</v>
      </c>
      <c r="G235" s="1581"/>
      <c r="H235" s="1501">
        <f t="shared" si="3"/>
        <v>0</v>
      </c>
      <c r="I235" s="831"/>
      <c r="K235" s="450"/>
      <c r="L235" s="450"/>
      <c r="M235" s="450"/>
      <c r="N235" s="450"/>
    </row>
    <row r="236" spans="1:14" s="10" customFormat="1">
      <c r="A236" s="1574"/>
      <c r="B236" s="1712"/>
      <c r="C236" s="1575"/>
      <c r="D236" s="1580"/>
      <c r="E236" s="882"/>
      <c r="F236" s="1577"/>
      <c r="G236" s="1581"/>
      <c r="H236" s="1501" t="str">
        <f t="shared" si="3"/>
        <v/>
      </c>
      <c r="I236" s="831"/>
      <c r="K236" s="450"/>
      <c r="L236" s="450"/>
      <c r="M236" s="450"/>
      <c r="N236" s="450"/>
    </row>
    <row r="237" spans="1:14" s="10" customFormat="1">
      <c r="A237" s="1575">
        <f>$A$4</f>
        <v>13</v>
      </c>
      <c r="B237" s="1271">
        <v>11.4</v>
      </c>
      <c r="C237" s="147"/>
      <c r="D237" s="1580" t="s">
        <v>1788</v>
      </c>
      <c r="E237" s="882" t="s">
        <v>1735</v>
      </c>
      <c r="F237" s="1577">
        <v>1</v>
      </c>
      <c r="G237" s="1581"/>
      <c r="H237" s="1501">
        <f t="shared" si="3"/>
        <v>0</v>
      </c>
      <c r="I237" s="831"/>
      <c r="K237" s="450"/>
      <c r="L237" s="450"/>
      <c r="M237" s="450"/>
      <c r="N237" s="450"/>
    </row>
    <row r="238" spans="1:14" s="10" customFormat="1">
      <c r="A238" s="1574"/>
      <c r="B238" s="1712"/>
      <c r="C238" s="147"/>
      <c r="D238" s="1580"/>
      <c r="E238" s="882"/>
      <c r="F238" s="1577"/>
      <c r="G238" s="1581"/>
      <c r="H238" s="1501" t="str">
        <f t="shared" si="3"/>
        <v/>
      </c>
      <c r="I238" s="831"/>
      <c r="K238" s="450"/>
      <c r="L238" s="450"/>
      <c r="M238" s="450"/>
      <c r="N238" s="450"/>
    </row>
    <row r="239" spans="1:14" s="10" customFormat="1">
      <c r="A239" s="1575">
        <f>$A$4</f>
        <v>13</v>
      </c>
      <c r="B239" s="1271">
        <v>11.5</v>
      </c>
      <c r="C239" s="147"/>
      <c r="D239" s="1580" t="s">
        <v>1789</v>
      </c>
      <c r="E239" s="882" t="s">
        <v>1735</v>
      </c>
      <c r="F239" s="1577">
        <v>1</v>
      </c>
      <c r="G239" s="1581"/>
      <c r="H239" s="1501">
        <f t="shared" si="3"/>
        <v>0</v>
      </c>
      <c r="I239" s="831"/>
      <c r="K239" s="450"/>
      <c r="L239" s="450"/>
      <c r="M239" s="450"/>
      <c r="N239" s="450"/>
    </row>
    <row r="240" spans="1:14" s="10" customFormat="1">
      <c r="A240" s="1574"/>
      <c r="B240" s="1712"/>
      <c r="C240" s="147"/>
      <c r="D240" s="1580"/>
      <c r="E240" s="882"/>
      <c r="F240" s="1577"/>
      <c r="G240" s="1581"/>
      <c r="H240" s="1501" t="str">
        <f t="shared" si="3"/>
        <v/>
      </c>
      <c r="I240" s="831"/>
      <c r="K240" s="450"/>
      <c r="L240" s="450"/>
      <c r="M240" s="450"/>
      <c r="N240" s="450"/>
    </row>
    <row r="241" spans="1:15" s="10" customFormat="1">
      <c r="A241" s="1575">
        <f>$A$4</f>
        <v>13</v>
      </c>
      <c r="B241" s="1271">
        <v>11.6</v>
      </c>
      <c r="C241" s="147"/>
      <c r="D241" s="1580" t="s">
        <v>1790</v>
      </c>
      <c r="E241" s="882" t="s">
        <v>1735</v>
      </c>
      <c r="F241" s="1577">
        <v>1</v>
      </c>
      <c r="G241" s="1581"/>
      <c r="H241" s="1501">
        <f t="shared" si="3"/>
        <v>0</v>
      </c>
      <c r="I241" s="831"/>
      <c r="K241" s="450"/>
      <c r="L241" s="450"/>
      <c r="M241" s="450"/>
      <c r="N241" s="450"/>
    </row>
    <row r="242" spans="1:15" s="10" customFormat="1">
      <c r="A242" s="1574"/>
      <c r="B242" s="1712"/>
      <c r="C242" s="147"/>
      <c r="D242" s="1580"/>
      <c r="E242" s="882"/>
      <c r="F242" s="1577"/>
      <c r="G242" s="1581"/>
      <c r="H242" s="1501" t="str">
        <f t="shared" si="3"/>
        <v/>
      </c>
      <c r="I242" s="831"/>
      <c r="K242" s="450"/>
      <c r="L242" s="450"/>
      <c r="M242" s="450"/>
      <c r="N242" s="450"/>
    </row>
    <row r="243" spans="1:15" s="10" customFormat="1">
      <c r="A243" s="1575">
        <f>$A$4</f>
        <v>13</v>
      </c>
      <c r="B243" s="1271">
        <v>11.7</v>
      </c>
      <c r="C243" s="147"/>
      <c r="D243" s="1580" t="s">
        <v>1791</v>
      </c>
      <c r="E243" s="882" t="s">
        <v>1735</v>
      </c>
      <c r="F243" s="1577">
        <v>1</v>
      </c>
      <c r="G243" s="1581"/>
      <c r="H243" s="1501">
        <f t="shared" si="3"/>
        <v>0</v>
      </c>
      <c r="I243" s="831"/>
      <c r="K243" s="450"/>
      <c r="L243" s="450"/>
      <c r="M243" s="450"/>
      <c r="N243" s="450"/>
    </row>
    <row r="244" spans="1:15" s="10" customFormat="1">
      <c r="A244" s="1574"/>
      <c r="B244" s="1712"/>
      <c r="C244" s="147"/>
      <c r="D244" s="1580"/>
      <c r="E244" s="882"/>
      <c r="F244" s="1577"/>
      <c r="G244" s="1581"/>
      <c r="H244" s="1501" t="str">
        <f t="shared" si="3"/>
        <v/>
      </c>
      <c r="I244" s="831"/>
      <c r="K244" s="450"/>
      <c r="L244" s="450"/>
      <c r="M244" s="450"/>
      <c r="N244" s="450"/>
    </row>
    <row r="245" spans="1:15" s="10" customFormat="1">
      <c r="A245" s="1575">
        <f>$A$4</f>
        <v>13</v>
      </c>
      <c r="B245" s="1271">
        <v>11.8</v>
      </c>
      <c r="C245" s="147"/>
      <c r="D245" s="1580" t="s">
        <v>1792</v>
      </c>
      <c r="E245" s="882" t="s">
        <v>1735</v>
      </c>
      <c r="F245" s="1577">
        <v>1</v>
      </c>
      <c r="G245" s="1581"/>
      <c r="H245" s="1501">
        <f t="shared" si="3"/>
        <v>0</v>
      </c>
      <c r="I245" s="831"/>
      <c r="K245" s="450"/>
      <c r="L245" s="450"/>
      <c r="M245" s="450"/>
      <c r="N245" s="450"/>
    </row>
    <row r="246" spans="1:15" s="10" customFormat="1">
      <c r="A246" s="1574"/>
      <c r="B246" s="1712"/>
      <c r="C246" s="147"/>
      <c r="D246" s="1580"/>
      <c r="E246" s="882"/>
      <c r="F246" s="1577"/>
      <c r="G246" s="1581"/>
      <c r="H246" s="1501" t="str">
        <f t="shared" si="3"/>
        <v/>
      </c>
      <c r="I246" s="831"/>
      <c r="K246" s="450"/>
      <c r="L246" s="450"/>
      <c r="M246" s="450"/>
      <c r="N246" s="450"/>
    </row>
    <row r="247" spans="1:15" s="10" customFormat="1">
      <c r="A247" s="1575">
        <f>$A$4</f>
        <v>13</v>
      </c>
      <c r="B247" s="1271">
        <v>11.9</v>
      </c>
      <c r="C247" s="147"/>
      <c r="D247" s="1580" t="s">
        <v>1793</v>
      </c>
      <c r="E247" s="882" t="s">
        <v>1735</v>
      </c>
      <c r="F247" s="1577">
        <v>1</v>
      </c>
      <c r="G247" s="1581"/>
      <c r="H247" s="1501">
        <f t="shared" si="3"/>
        <v>0</v>
      </c>
      <c r="I247" s="831"/>
      <c r="K247" s="450"/>
      <c r="L247" s="450"/>
      <c r="M247" s="450"/>
      <c r="N247" s="450"/>
    </row>
    <row r="248" spans="1:15" s="10" customFormat="1">
      <c r="A248" s="1574"/>
      <c r="B248" s="1712"/>
      <c r="C248" s="147"/>
      <c r="D248" s="1580"/>
      <c r="E248" s="882"/>
      <c r="F248" s="1577"/>
      <c r="G248" s="1581"/>
      <c r="H248" s="1501" t="str">
        <f t="shared" si="3"/>
        <v/>
      </c>
      <c r="I248" s="831"/>
      <c r="K248" s="450"/>
      <c r="L248" s="450"/>
      <c r="M248" s="450"/>
      <c r="N248" s="450"/>
    </row>
    <row r="249" spans="1:15" s="10" customFormat="1">
      <c r="A249" s="1575">
        <f>$A$4</f>
        <v>13</v>
      </c>
      <c r="B249" s="1582">
        <v>11.1</v>
      </c>
      <c r="C249" s="147"/>
      <c r="D249" s="1580" t="s">
        <v>1794</v>
      </c>
      <c r="E249" s="882" t="s">
        <v>1735</v>
      </c>
      <c r="F249" s="1577">
        <v>1</v>
      </c>
      <c r="G249" s="1581"/>
      <c r="H249" s="1501">
        <f t="shared" si="3"/>
        <v>0</v>
      </c>
      <c r="I249" s="831"/>
      <c r="K249" s="450"/>
      <c r="L249" s="450"/>
      <c r="M249" s="450"/>
      <c r="N249" s="450"/>
    </row>
    <row r="250" spans="1:15" s="10" customFormat="1">
      <c r="A250" s="1574"/>
      <c r="B250" s="1712"/>
      <c r="C250" s="147"/>
      <c r="D250" s="1580"/>
      <c r="E250" s="882"/>
      <c r="F250" s="1577"/>
      <c r="G250" s="1581"/>
      <c r="H250" s="1501" t="str">
        <f t="shared" si="3"/>
        <v/>
      </c>
      <c r="I250" s="831"/>
      <c r="K250" s="450"/>
      <c r="L250" s="450"/>
      <c r="M250" s="450"/>
      <c r="N250" s="450"/>
    </row>
    <row r="251" spans="1:15" s="10" customFormat="1">
      <c r="A251" s="1575">
        <f>$A$4</f>
        <v>13</v>
      </c>
      <c r="B251" s="1271">
        <v>11.11</v>
      </c>
      <c r="C251" s="147"/>
      <c r="D251" s="1580" t="s">
        <v>1795</v>
      </c>
      <c r="E251" s="882" t="s">
        <v>1735</v>
      </c>
      <c r="F251" s="1577">
        <v>1</v>
      </c>
      <c r="G251" s="1581"/>
      <c r="H251" s="1501">
        <f t="shared" si="3"/>
        <v>0</v>
      </c>
      <c r="I251" s="831"/>
      <c r="K251" s="450"/>
      <c r="L251" s="450"/>
      <c r="M251" s="450"/>
      <c r="N251" s="450"/>
    </row>
    <row r="252" spans="1:15" s="10" customFormat="1">
      <c r="A252" s="1574"/>
      <c r="B252" s="1712"/>
      <c r="C252" s="147"/>
      <c r="D252" s="1580"/>
      <c r="E252" s="882"/>
      <c r="F252" s="1577"/>
      <c r="G252" s="1581"/>
      <c r="H252" s="1501" t="str">
        <f t="shared" si="3"/>
        <v/>
      </c>
      <c r="I252" s="831"/>
      <c r="K252" s="450"/>
      <c r="L252" s="450"/>
      <c r="M252" s="450"/>
      <c r="N252" s="450"/>
    </row>
    <row r="253" spans="1:15" s="10" customFormat="1">
      <c r="A253" s="1575">
        <f>$A$4</f>
        <v>13</v>
      </c>
      <c r="B253" s="1271">
        <v>11.12</v>
      </c>
      <c r="C253" s="147"/>
      <c r="D253" s="1580" t="s">
        <v>1796</v>
      </c>
      <c r="E253" s="882" t="s">
        <v>230</v>
      </c>
      <c r="F253" s="1577">
        <v>1</v>
      </c>
      <c r="G253" s="1581"/>
      <c r="H253" s="1501">
        <f t="shared" si="3"/>
        <v>0</v>
      </c>
      <c r="I253" s="831"/>
      <c r="K253" s="450"/>
      <c r="L253" s="450"/>
      <c r="M253" s="450"/>
      <c r="N253" s="450"/>
    </row>
    <row r="254" spans="1:15" s="10" customFormat="1">
      <c r="A254" s="1574"/>
      <c r="B254" s="1712"/>
      <c r="C254" s="147"/>
      <c r="D254" s="1580"/>
      <c r="E254" s="882"/>
      <c r="F254" s="1577"/>
      <c r="G254" s="1581"/>
      <c r="H254" s="1501" t="str">
        <f t="shared" si="3"/>
        <v/>
      </c>
      <c r="I254" s="831"/>
      <c r="K254" s="450"/>
      <c r="L254" s="450"/>
      <c r="M254" s="450"/>
      <c r="N254" s="450"/>
    </row>
    <row r="255" spans="1:15" s="10" customFormat="1">
      <c r="A255" s="1575">
        <f>$A$4</f>
        <v>13</v>
      </c>
      <c r="B255" s="1271">
        <v>11.13</v>
      </c>
      <c r="C255" s="147"/>
      <c r="D255" s="1580" t="s">
        <v>1797</v>
      </c>
      <c r="E255" s="882" t="s">
        <v>230</v>
      </c>
      <c r="F255" s="1577">
        <v>1</v>
      </c>
      <c r="G255" s="1581"/>
      <c r="H255" s="1501">
        <f t="shared" si="3"/>
        <v>0</v>
      </c>
      <c r="I255" s="831"/>
      <c r="K255" s="450"/>
      <c r="L255" s="450"/>
      <c r="M255" s="450"/>
      <c r="N255" s="450"/>
    </row>
    <row r="256" spans="1:15" s="10" customFormat="1">
      <c r="A256" s="1574"/>
      <c r="B256" s="1712"/>
      <c r="C256" s="147"/>
      <c r="D256" s="1580"/>
      <c r="E256" s="882"/>
      <c r="F256" s="1577"/>
      <c r="G256" s="1581"/>
      <c r="H256" s="1501" t="str">
        <f t="shared" si="3"/>
        <v/>
      </c>
      <c r="I256" s="831"/>
      <c r="J256" s="471"/>
      <c r="K256" s="472"/>
      <c r="L256" s="472"/>
      <c r="M256" s="472"/>
      <c r="N256" s="472"/>
      <c r="O256" s="471"/>
    </row>
    <row r="257" spans="1:15" s="10" customFormat="1">
      <c r="A257" s="1575">
        <f>$A$4</f>
        <v>13</v>
      </c>
      <c r="B257" s="1271">
        <v>11.14</v>
      </c>
      <c r="C257" s="147"/>
      <c r="D257" s="1580" t="s">
        <v>1798</v>
      </c>
      <c r="E257" s="882" t="s">
        <v>230</v>
      </c>
      <c r="F257" s="1577">
        <v>1</v>
      </c>
      <c r="G257" s="1581"/>
      <c r="H257" s="1501">
        <f t="shared" si="3"/>
        <v>0</v>
      </c>
      <c r="I257" s="831"/>
      <c r="K257" s="450"/>
      <c r="L257" s="450"/>
      <c r="M257" s="450"/>
      <c r="N257" s="450"/>
    </row>
    <row r="258" spans="1:15" s="10" customFormat="1">
      <c r="A258" s="1574"/>
      <c r="B258" s="1712"/>
      <c r="C258" s="147"/>
      <c r="D258" s="1580"/>
      <c r="E258" s="882"/>
      <c r="F258" s="1577"/>
      <c r="G258" s="1581"/>
      <c r="H258" s="1501" t="str">
        <f t="shared" si="3"/>
        <v/>
      </c>
      <c r="I258" s="831"/>
      <c r="K258" s="450"/>
      <c r="L258" s="450"/>
      <c r="M258" s="450"/>
      <c r="N258" s="450"/>
    </row>
    <row r="259" spans="1:15" s="10" customFormat="1">
      <c r="A259" s="1575">
        <f>$A$4</f>
        <v>13</v>
      </c>
      <c r="B259" s="1271">
        <v>11.15</v>
      </c>
      <c r="C259" s="147"/>
      <c r="D259" s="1580" t="s">
        <v>1799</v>
      </c>
      <c r="E259" s="882" t="s">
        <v>1735</v>
      </c>
      <c r="F259" s="1577">
        <v>1</v>
      </c>
      <c r="G259" s="1581"/>
      <c r="H259" s="1501">
        <f t="shared" ref="H259:H270" si="4">IF(E259="","",ROUND(F259*G259,2))</f>
        <v>0</v>
      </c>
      <c r="I259" s="831"/>
      <c r="K259" s="450"/>
      <c r="L259" s="450"/>
      <c r="M259" s="450"/>
      <c r="N259" s="450"/>
    </row>
    <row r="260" spans="1:15" s="10" customFormat="1">
      <c r="A260" s="1574"/>
      <c r="B260" s="1712"/>
      <c r="C260" s="147"/>
      <c r="D260" s="1580"/>
      <c r="E260" s="882"/>
      <c r="F260" s="1577"/>
      <c r="G260" s="1581"/>
      <c r="H260" s="1501" t="str">
        <f t="shared" si="4"/>
        <v/>
      </c>
      <c r="I260" s="831"/>
      <c r="K260" s="450"/>
      <c r="L260" s="450"/>
      <c r="M260" s="450"/>
      <c r="N260" s="450"/>
    </row>
    <row r="261" spans="1:15" s="10" customFormat="1">
      <c r="A261" s="1575">
        <f>$A$4</f>
        <v>13</v>
      </c>
      <c r="B261" s="1271">
        <v>11.16</v>
      </c>
      <c r="C261" s="147"/>
      <c r="D261" s="1580" t="s">
        <v>1800</v>
      </c>
      <c r="E261" s="882" t="s">
        <v>1735</v>
      </c>
      <c r="F261" s="1577">
        <v>1</v>
      </c>
      <c r="G261" s="1581"/>
      <c r="H261" s="1501">
        <f t="shared" si="4"/>
        <v>0</v>
      </c>
      <c r="I261" s="831"/>
      <c r="K261" s="450"/>
      <c r="L261" s="450"/>
      <c r="M261" s="450"/>
      <c r="N261" s="450"/>
    </row>
    <row r="262" spans="1:15" s="10" customFormat="1">
      <c r="A262" s="1574"/>
      <c r="B262" s="1712"/>
      <c r="C262" s="147"/>
      <c r="D262" s="1580"/>
      <c r="E262" s="882"/>
      <c r="F262" s="1577"/>
      <c r="G262" s="1581"/>
      <c r="H262" s="1501" t="str">
        <f t="shared" si="4"/>
        <v/>
      </c>
      <c r="I262" s="831"/>
      <c r="K262" s="450"/>
      <c r="L262" s="450"/>
      <c r="M262" s="450"/>
      <c r="N262" s="450"/>
    </row>
    <row r="263" spans="1:15" s="10" customFormat="1">
      <c r="A263" s="1575">
        <f>$A$4</f>
        <v>13</v>
      </c>
      <c r="B263" s="1271">
        <v>11.17</v>
      </c>
      <c r="C263" s="147"/>
      <c r="D263" s="1580" t="s">
        <v>1801</v>
      </c>
      <c r="E263" s="882" t="s">
        <v>1735</v>
      </c>
      <c r="F263" s="1577">
        <v>1</v>
      </c>
      <c r="G263" s="1581"/>
      <c r="H263" s="1501">
        <f t="shared" si="4"/>
        <v>0</v>
      </c>
      <c r="I263" s="831"/>
      <c r="K263" s="450"/>
      <c r="L263" s="450"/>
      <c r="M263" s="450"/>
      <c r="N263" s="450"/>
    </row>
    <row r="264" spans="1:15" s="10" customFormat="1">
      <c r="A264" s="1574"/>
      <c r="B264" s="1712"/>
      <c r="C264" s="147"/>
      <c r="D264" s="1580"/>
      <c r="E264" s="882"/>
      <c r="F264" s="1577"/>
      <c r="G264" s="1581"/>
      <c r="H264" s="1501" t="str">
        <f t="shared" si="4"/>
        <v/>
      </c>
      <c r="I264" s="831"/>
      <c r="K264" s="450"/>
      <c r="L264" s="450"/>
      <c r="M264" s="450"/>
      <c r="N264" s="450"/>
    </row>
    <row r="265" spans="1:15" s="10" customFormat="1">
      <c r="A265" s="1575">
        <f>$A$4</f>
        <v>13</v>
      </c>
      <c r="B265" s="1271">
        <v>11.18</v>
      </c>
      <c r="C265" s="147"/>
      <c r="D265" s="1580" t="s">
        <v>1802</v>
      </c>
      <c r="E265" s="882" t="s">
        <v>1735</v>
      </c>
      <c r="F265" s="1577">
        <v>1</v>
      </c>
      <c r="G265" s="1581"/>
      <c r="H265" s="1501">
        <f t="shared" si="4"/>
        <v>0</v>
      </c>
      <c r="I265" s="831"/>
      <c r="K265" s="450"/>
      <c r="L265" s="450"/>
      <c r="M265" s="450"/>
      <c r="N265" s="450"/>
    </row>
    <row r="266" spans="1:15" s="10" customFormat="1">
      <c r="A266" s="1574"/>
      <c r="B266" s="1712"/>
      <c r="C266" s="147"/>
      <c r="D266" s="1580"/>
      <c r="E266" s="882"/>
      <c r="F266" s="1577"/>
      <c r="G266" s="1581"/>
      <c r="H266" s="1501" t="str">
        <f t="shared" si="4"/>
        <v/>
      </c>
      <c r="I266" s="831"/>
      <c r="J266" s="471"/>
      <c r="K266" s="472"/>
      <c r="L266" s="472"/>
      <c r="M266" s="472"/>
      <c r="N266" s="472"/>
      <c r="O266" s="471"/>
    </row>
    <row r="267" spans="1:15" s="10" customFormat="1">
      <c r="A267" s="1575">
        <f>$A$4</f>
        <v>13</v>
      </c>
      <c r="B267" s="1271">
        <v>11.19</v>
      </c>
      <c r="C267" s="147"/>
      <c r="D267" s="1580" t="s">
        <v>1803</v>
      </c>
      <c r="E267" s="882" t="s">
        <v>1735</v>
      </c>
      <c r="F267" s="1577">
        <v>1</v>
      </c>
      <c r="G267" s="1581"/>
      <c r="H267" s="1501">
        <f t="shared" si="4"/>
        <v>0</v>
      </c>
      <c r="I267" s="831"/>
      <c r="J267" s="471"/>
      <c r="K267" s="472"/>
      <c r="L267" s="472"/>
      <c r="M267" s="472"/>
      <c r="N267" s="472"/>
      <c r="O267" s="471"/>
    </row>
    <row r="268" spans="1:15" s="10" customFormat="1">
      <c r="A268" s="1574"/>
      <c r="B268" s="1271"/>
      <c r="C268" s="147"/>
      <c r="D268" s="1580"/>
      <c r="E268" s="882"/>
      <c r="F268" s="1577"/>
      <c r="G268" s="1581"/>
      <c r="H268" s="1501" t="str">
        <f t="shared" si="4"/>
        <v/>
      </c>
      <c r="I268" s="831"/>
      <c r="J268" s="471"/>
      <c r="K268" s="472"/>
      <c r="L268" s="472"/>
      <c r="M268" s="472"/>
      <c r="N268" s="472"/>
      <c r="O268" s="471"/>
    </row>
    <row r="269" spans="1:15" s="10" customFormat="1">
      <c r="A269" s="1575">
        <f>$A$4</f>
        <v>13</v>
      </c>
      <c r="B269" s="1582">
        <v>11.2</v>
      </c>
      <c r="C269" s="147"/>
      <c r="D269" s="1580" t="s">
        <v>1804</v>
      </c>
      <c r="E269" s="882" t="s">
        <v>1735</v>
      </c>
      <c r="F269" s="1577">
        <v>1</v>
      </c>
      <c r="G269" s="1581"/>
      <c r="H269" s="1501">
        <f t="shared" si="4"/>
        <v>0</v>
      </c>
      <c r="I269" s="831"/>
      <c r="J269" s="471"/>
      <c r="K269" s="472"/>
      <c r="L269" s="472"/>
      <c r="M269" s="472"/>
      <c r="N269" s="472"/>
      <c r="O269" s="471"/>
    </row>
    <row r="270" spans="1:15" s="10" customFormat="1">
      <c r="A270" s="1574"/>
      <c r="B270" s="1582"/>
      <c r="C270" s="147"/>
      <c r="D270" s="1580"/>
      <c r="E270" s="882"/>
      <c r="F270" s="1577"/>
      <c r="G270" s="1581"/>
      <c r="H270" s="1501" t="str">
        <f t="shared" si="4"/>
        <v/>
      </c>
      <c r="I270" s="831"/>
      <c r="J270" s="471"/>
      <c r="K270" s="472"/>
      <c r="L270" s="472"/>
      <c r="M270" s="472"/>
      <c r="N270" s="472"/>
      <c r="O270" s="471"/>
    </row>
    <row r="271" spans="1:15" s="10" customFormat="1">
      <c r="A271" s="1574"/>
      <c r="B271" s="1582"/>
      <c r="C271" s="147"/>
      <c r="D271" s="1580"/>
      <c r="E271" s="882"/>
      <c r="F271" s="1577"/>
      <c r="G271" s="1581"/>
      <c r="H271" s="1579"/>
      <c r="I271" s="831"/>
      <c r="J271" s="471"/>
      <c r="K271" s="472"/>
      <c r="L271" s="472"/>
      <c r="M271" s="472"/>
      <c r="N271" s="472"/>
      <c r="O271" s="471"/>
    </row>
    <row r="272" spans="1:15" s="10" customFormat="1">
      <c r="A272" s="1574"/>
      <c r="B272" s="1582"/>
      <c r="C272" s="147"/>
      <c r="D272" s="1580"/>
      <c r="E272" s="882"/>
      <c r="F272" s="1577"/>
      <c r="G272" s="1581"/>
      <c r="H272" s="1579"/>
      <c r="I272" s="831"/>
      <c r="J272" s="471"/>
      <c r="K272" s="472"/>
      <c r="L272" s="472"/>
      <c r="M272" s="472"/>
      <c r="N272" s="472"/>
      <c r="O272" s="471"/>
    </row>
    <row r="273" spans="1:14" s="10" customFormat="1">
      <c r="A273" s="1574"/>
      <c r="B273" s="1271"/>
      <c r="C273" s="1575"/>
      <c r="D273" s="1576"/>
      <c r="E273" s="882"/>
      <c r="F273" s="1577"/>
      <c r="G273" s="1578"/>
      <c r="H273" s="1579"/>
      <c r="I273" s="829"/>
      <c r="K273" s="450"/>
      <c r="L273" s="450"/>
      <c r="M273" s="450"/>
      <c r="N273" s="450"/>
    </row>
    <row r="274" spans="1:14" s="10" customFormat="1">
      <c r="A274" s="1786"/>
      <c r="B274" s="787"/>
      <c r="C274" s="872"/>
      <c r="D274" s="872"/>
      <c r="E274" s="801"/>
      <c r="F274" s="873"/>
      <c r="G274" s="2587"/>
      <c r="H274" s="2588"/>
      <c r="I274" s="827"/>
      <c r="K274" s="450"/>
      <c r="L274" s="450"/>
      <c r="M274" s="450"/>
      <c r="N274" s="450"/>
    </row>
    <row r="275" spans="1:14" s="10" customFormat="1">
      <c r="A275" s="2566"/>
      <c r="B275" s="566"/>
      <c r="C275" s="423"/>
      <c r="D275" s="413" t="s">
        <v>289</v>
      </c>
      <c r="E275" s="426"/>
      <c r="F275" s="24"/>
      <c r="G275" s="2589"/>
      <c r="H275" s="2590">
        <f>SUM(H193:H273)</f>
        <v>1600000</v>
      </c>
      <c r="I275" s="828"/>
      <c r="K275" s="450"/>
      <c r="L275" s="450"/>
      <c r="M275" s="450"/>
      <c r="N275" s="450"/>
    </row>
    <row r="276" spans="1:14" s="10" customFormat="1">
      <c r="A276" s="1574"/>
      <c r="B276" s="1271"/>
      <c r="C276" s="1575"/>
      <c r="D276" s="1552" t="s">
        <v>290</v>
      </c>
      <c r="E276" s="882"/>
      <c r="F276" s="1577"/>
      <c r="G276" s="1578"/>
      <c r="H276" s="945">
        <f>H275</f>
        <v>1600000</v>
      </c>
      <c r="I276" s="829"/>
      <c r="K276" s="450"/>
      <c r="L276" s="450"/>
      <c r="M276" s="450"/>
      <c r="N276" s="450"/>
    </row>
    <row r="277" spans="1:14" s="2" customFormat="1">
      <c r="A277" s="2019"/>
      <c r="B277" s="1900"/>
      <c r="C277" s="2592"/>
      <c r="D277" s="1580"/>
      <c r="E277" s="892"/>
      <c r="F277" s="1585"/>
      <c r="G277" s="1581"/>
      <c r="H277" s="2591"/>
      <c r="I277" s="831"/>
      <c r="K277" s="8"/>
      <c r="L277" s="8"/>
      <c r="M277" s="8"/>
      <c r="N277" s="8"/>
    </row>
    <row r="278" spans="1:14" s="2" customFormat="1">
      <c r="A278" s="1575">
        <f>$A$4</f>
        <v>13</v>
      </c>
      <c r="B278" s="1271">
        <v>11.21</v>
      </c>
      <c r="C278" s="147"/>
      <c r="D278" s="1580" t="s">
        <v>1805</v>
      </c>
      <c r="E278" s="882" t="s">
        <v>1735</v>
      </c>
      <c r="F278" s="1577">
        <v>1</v>
      </c>
      <c r="G278" s="1581"/>
      <c r="H278" s="1501">
        <f t="shared" ref="H278:H293" si="5">IF(E278="","",ROUND(F278*G278,2))</f>
        <v>0</v>
      </c>
      <c r="I278" s="831"/>
      <c r="K278" s="8"/>
      <c r="L278" s="8"/>
      <c r="M278" s="8"/>
      <c r="N278" s="8"/>
    </row>
    <row r="279" spans="1:14">
      <c r="A279" s="2383"/>
      <c r="B279" s="1712"/>
      <c r="C279" s="147"/>
      <c r="D279" s="1580"/>
      <c r="E279" s="882"/>
      <c r="F279" s="1577"/>
      <c r="G279" s="1581"/>
      <c r="H279" s="1501" t="str">
        <f t="shared" si="5"/>
        <v/>
      </c>
      <c r="I279" s="831"/>
    </row>
    <row r="280" spans="1:14">
      <c r="A280" s="1575">
        <f>$A$4</f>
        <v>13</v>
      </c>
      <c r="B280" s="1900">
        <v>11.22</v>
      </c>
      <c r="C280" s="147"/>
      <c r="D280" s="1580" t="s">
        <v>1806</v>
      </c>
      <c r="E280" s="882" t="s">
        <v>1735</v>
      </c>
      <c r="F280" s="1577">
        <v>1</v>
      </c>
      <c r="G280" s="1581"/>
      <c r="H280" s="1501">
        <f t="shared" si="5"/>
        <v>0</v>
      </c>
      <c r="I280" s="831"/>
    </row>
    <row r="281" spans="1:14">
      <c r="A281" s="2383"/>
      <c r="B281" s="1899"/>
      <c r="C281" s="1575"/>
      <c r="D281" s="1580"/>
      <c r="E281" s="1575"/>
      <c r="F281" s="1585"/>
      <c r="G281" s="1581"/>
      <c r="H281" s="1501" t="str">
        <f t="shared" si="5"/>
        <v/>
      </c>
      <c r="I281" s="831"/>
    </row>
    <row r="282" spans="1:14">
      <c r="A282" s="1575">
        <f>$A$4</f>
        <v>13</v>
      </c>
      <c r="B282" s="1271">
        <v>11.23</v>
      </c>
      <c r="C282" s="1575"/>
      <c r="D282" s="1580" t="s">
        <v>1807</v>
      </c>
      <c r="E282" s="2592" t="s">
        <v>1735</v>
      </c>
      <c r="F282" s="1585">
        <v>1</v>
      </c>
      <c r="G282" s="1581"/>
      <c r="H282" s="1501">
        <f t="shared" si="5"/>
        <v>0</v>
      </c>
      <c r="I282" s="831"/>
    </row>
    <row r="283" spans="1:14">
      <c r="A283" s="2383"/>
      <c r="B283" s="1712"/>
      <c r="C283" s="1575"/>
      <c r="D283" s="1580"/>
      <c r="E283" s="1575"/>
      <c r="F283" s="1577"/>
      <c r="G283" s="1581"/>
      <c r="H283" s="1501" t="str">
        <f t="shared" si="5"/>
        <v/>
      </c>
      <c r="I283" s="831"/>
    </row>
    <row r="284" spans="1:14">
      <c r="A284" s="1575">
        <f>$A$4</f>
        <v>13</v>
      </c>
      <c r="B284" s="1271">
        <v>11.24</v>
      </c>
      <c r="C284" s="1575"/>
      <c r="D284" s="1580" t="s">
        <v>1808</v>
      </c>
      <c r="E284" s="2592" t="s">
        <v>1735</v>
      </c>
      <c r="F284" s="1585">
        <v>1</v>
      </c>
      <c r="G284" s="1581"/>
      <c r="H284" s="1501">
        <f t="shared" si="5"/>
        <v>0</v>
      </c>
      <c r="I284" s="831"/>
    </row>
    <row r="285" spans="1:14">
      <c r="A285" s="2383"/>
      <c r="B285" s="1899"/>
      <c r="C285" s="1575"/>
      <c r="D285" s="1580"/>
      <c r="E285" s="2592"/>
      <c r="F285" s="1585"/>
      <c r="G285" s="1581"/>
      <c r="H285" s="1501" t="str">
        <f t="shared" si="5"/>
        <v/>
      </c>
      <c r="I285" s="831"/>
    </row>
    <row r="286" spans="1:14">
      <c r="A286" s="1575">
        <f>$A$4</f>
        <v>13</v>
      </c>
      <c r="B286" s="1271">
        <v>11.25</v>
      </c>
      <c r="C286" s="1575"/>
      <c r="D286" s="1580" t="s">
        <v>1809</v>
      </c>
      <c r="E286" s="2592" t="s">
        <v>1735</v>
      </c>
      <c r="F286" s="1585">
        <v>1</v>
      </c>
      <c r="G286" s="1581"/>
      <c r="H286" s="1501">
        <f t="shared" si="5"/>
        <v>0</v>
      </c>
      <c r="I286" s="831"/>
    </row>
    <row r="287" spans="1:14">
      <c r="A287" s="2383"/>
      <c r="B287" s="1899"/>
      <c r="C287" s="2592"/>
      <c r="D287" s="1580"/>
      <c r="E287" s="2592"/>
      <c r="F287" s="1585"/>
      <c r="G287" s="1581"/>
      <c r="H287" s="1501" t="str">
        <f t="shared" si="5"/>
        <v/>
      </c>
      <c r="I287" s="831"/>
    </row>
    <row r="288" spans="1:14">
      <c r="A288" s="1575">
        <f>$A$4</f>
        <v>13</v>
      </c>
      <c r="B288" s="1900">
        <v>11.26</v>
      </c>
      <c r="C288" s="2592"/>
      <c r="D288" s="1580" t="s">
        <v>1810</v>
      </c>
      <c r="E288" s="2592" t="s">
        <v>1735</v>
      </c>
      <c r="F288" s="1585">
        <v>1</v>
      </c>
      <c r="G288" s="1581"/>
      <c r="H288" s="1501">
        <f t="shared" si="5"/>
        <v>0</v>
      </c>
      <c r="I288" s="831"/>
    </row>
    <row r="289" spans="1:9">
      <c r="A289" s="2383"/>
      <c r="B289" s="1899"/>
      <c r="C289" s="2592"/>
      <c r="D289" s="1580"/>
      <c r="E289" s="2592"/>
      <c r="F289" s="1585"/>
      <c r="G289" s="1581"/>
      <c r="H289" s="1501" t="str">
        <f t="shared" si="5"/>
        <v/>
      </c>
      <c r="I289" s="831"/>
    </row>
    <row r="290" spans="1:9">
      <c r="A290" s="1575">
        <f>$A$4</f>
        <v>13</v>
      </c>
      <c r="B290" s="1900">
        <v>11.27</v>
      </c>
      <c r="C290" s="2592"/>
      <c r="D290" s="1580" t="s">
        <v>1811</v>
      </c>
      <c r="E290" s="2592" t="s">
        <v>1735</v>
      </c>
      <c r="F290" s="1585">
        <v>1</v>
      </c>
      <c r="G290" s="1581"/>
      <c r="H290" s="1501">
        <f t="shared" si="5"/>
        <v>0</v>
      </c>
      <c r="I290" s="831"/>
    </row>
    <row r="291" spans="1:9">
      <c r="A291" s="2383"/>
      <c r="B291" s="1899"/>
      <c r="C291" s="2592"/>
      <c r="D291" s="1580"/>
      <c r="E291" s="2592"/>
      <c r="F291" s="1585"/>
      <c r="G291" s="1581"/>
      <c r="H291" s="1501" t="str">
        <f t="shared" si="5"/>
        <v/>
      </c>
      <c r="I291" s="831"/>
    </row>
    <row r="292" spans="1:9" ht="13.35" customHeight="1">
      <c r="A292" s="1575">
        <f>$A$4</f>
        <v>13</v>
      </c>
      <c r="B292" s="1900">
        <v>11.28</v>
      </c>
      <c r="C292" s="2592"/>
      <c r="D292" s="1584" t="s">
        <v>1812</v>
      </c>
      <c r="E292" s="1575" t="s">
        <v>529</v>
      </c>
      <c r="F292" s="1585">
        <v>1</v>
      </c>
      <c r="G292" s="2593">
        <v>788502.00000039453</v>
      </c>
      <c r="H292" s="1501">
        <f t="shared" si="5"/>
        <v>788502</v>
      </c>
      <c r="I292" s="831"/>
    </row>
    <row r="293" spans="1:9">
      <c r="A293" s="2383"/>
      <c r="B293" s="1900"/>
      <c r="C293" s="2592"/>
      <c r="D293" s="1580"/>
      <c r="E293" s="2592"/>
      <c r="F293" s="1585"/>
      <c r="G293" s="1581"/>
      <c r="H293" s="1501" t="str">
        <f t="shared" si="5"/>
        <v/>
      </c>
      <c r="I293" s="831"/>
    </row>
    <row r="294" spans="1:9">
      <c r="A294" s="2383"/>
      <c r="B294" s="1900"/>
      <c r="C294" s="2592"/>
      <c r="D294" s="1580"/>
      <c r="E294" s="2592"/>
      <c r="F294" s="1585"/>
      <c r="G294" s="1581"/>
      <c r="H294" s="2591"/>
      <c r="I294" s="831"/>
    </row>
    <row r="295" spans="1:9">
      <c r="A295" s="2383"/>
      <c r="B295" s="1900"/>
      <c r="C295" s="2592"/>
      <c r="D295" s="1580"/>
      <c r="E295" s="2592"/>
      <c r="F295" s="1585"/>
      <c r="G295" s="1581"/>
      <c r="H295" s="2591"/>
      <c r="I295" s="831"/>
    </row>
    <row r="296" spans="1:9">
      <c r="A296" s="2383"/>
      <c r="B296" s="1900"/>
      <c r="C296" s="2592"/>
      <c r="D296" s="1580"/>
      <c r="E296" s="2592"/>
      <c r="F296" s="1585"/>
      <c r="G296" s="1581"/>
      <c r="H296" s="2591"/>
      <c r="I296" s="831"/>
    </row>
    <row r="297" spans="1:9">
      <c r="A297" s="2383"/>
      <c r="B297" s="1900"/>
      <c r="C297" s="2592"/>
      <c r="D297" s="1580"/>
      <c r="E297" s="2592"/>
      <c r="F297" s="1585"/>
      <c r="G297" s="1581"/>
      <c r="H297" s="2591"/>
      <c r="I297" s="831"/>
    </row>
    <row r="298" spans="1:9">
      <c r="A298" s="2383"/>
      <c r="B298" s="1900"/>
      <c r="C298" s="2592"/>
      <c r="D298" s="1580"/>
      <c r="E298" s="2592"/>
      <c r="F298" s="1585"/>
      <c r="G298" s="1581"/>
      <c r="H298" s="2591"/>
      <c r="I298" s="831"/>
    </row>
    <row r="299" spans="1:9">
      <c r="A299" s="2383"/>
      <c r="B299" s="1900"/>
      <c r="C299" s="2592"/>
      <c r="D299" s="1580"/>
      <c r="E299" s="2592"/>
      <c r="F299" s="1585"/>
      <c r="G299" s="1581"/>
      <c r="H299" s="2591"/>
      <c r="I299" s="831"/>
    </row>
    <row r="300" spans="1:9">
      <c r="A300" s="2383"/>
      <c r="B300" s="1900"/>
      <c r="C300" s="2592"/>
      <c r="D300" s="1580"/>
      <c r="E300" s="2592"/>
      <c r="F300" s="1585"/>
      <c r="G300" s="1581"/>
      <c r="H300" s="2591"/>
      <c r="I300" s="831"/>
    </row>
    <row r="301" spans="1:9">
      <c r="A301" s="2383"/>
      <c r="B301" s="1900"/>
      <c r="C301" s="2592"/>
      <c r="D301" s="1580"/>
      <c r="E301" s="2592"/>
      <c r="F301" s="1585"/>
      <c r="G301" s="1581"/>
      <c r="H301" s="2591"/>
      <c r="I301" s="831"/>
    </row>
    <row r="302" spans="1:9">
      <c r="A302" s="2383"/>
      <c r="B302" s="1900"/>
      <c r="C302" s="2592"/>
      <c r="D302" s="1580"/>
      <c r="E302" s="2592"/>
      <c r="F302" s="1585"/>
      <c r="G302" s="1581"/>
      <c r="H302" s="2591"/>
      <c r="I302" s="831"/>
    </row>
    <row r="303" spans="1:9">
      <c r="A303" s="2383"/>
      <c r="B303" s="1900"/>
      <c r="C303" s="2592"/>
      <c r="D303" s="1580"/>
      <c r="E303" s="2592"/>
      <c r="F303" s="1585"/>
      <c r="G303" s="1581"/>
      <c r="H303" s="2591"/>
      <c r="I303" s="831"/>
    </row>
    <row r="304" spans="1:9">
      <c r="A304" s="2383"/>
      <c r="B304" s="1900"/>
      <c r="C304" s="2592"/>
      <c r="D304" s="1580"/>
      <c r="E304" s="2592"/>
      <c r="F304" s="1585"/>
      <c r="G304" s="1581"/>
      <c r="H304" s="2591"/>
      <c r="I304" s="831"/>
    </row>
    <row r="305" spans="1:9">
      <c r="A305" s="2383"/>
      <c r="B305" s="1900"/>
      <c r="C305" s="2592"/>
      <c r="D305" s="1580"/>
      <c r="E305" s="2592"/>
      <c r="F305" s="1585"/>
      <c r="G305" s="1581"/>
      <c r="H305" s="2591"/>
      <c r="I305" s="831"/>
    </row>
    <row r="306" spans="1:9">
      <c r="A306" s="2383"/>
      <c r="B306" s="1900"/>
      <c r="C306" s="2592"/>
      <c r="D306" s="1580"/>
      <c r="E306" s="2592"/>
      <c r="F306" s="1585"/>
      <c r="G306" s="1581"/>
      <c r="H306" s="2591"/>
      <c r="I306" s="831"/>
    </row>
    <row r="307" spans="1:9">
      <c r="A307" s="2383"/>
      <c r="B307" s="1900"/>
      <c r="C307" s="2592"/>
      <c r="D307" s="1580"/>
      <c r="E307" s="2592"/>
      <c r="F307" s="1585"/>
      <c r="G307" s="1581"/>
      <c r="H307" s="2591"/>
      <c r="I307" s="831"/>
    </row>
    <row r="308" spans="1:9">
      <c r="A308" s="2383"/>
      <c r="B308" s="1900"/>
      <c r="C308" s="2592"/>
      <c r="D308" s="1580"/>
      <c r="E308" s="2592"/>
      <c r="F308" s="1585"/>
      <c r="G308" s="1581"/>
      <c r="H308" s="2591"/>
      <c r="I308" s="831"/>
    </row>
    <row r="309" spans="1:9">
      <c r="A309" s="2383"/>
      <c r="B309" s="1900"/>
      <c r="C309" s="2592"/>
      <c r="D309" s="1580"/>
      <c r="E309" s="2592"/>
      <c r="F309" s="1585"/>
      <c r="G309" s="1581"/>
      <c r="H309" s="2591"/>
      <c r="I309" s="831"/>
    </row>
    <row r="310" spans="1:9">
      <c r="A310" s="2383"/>
      <c r="B310" s="1900"/>
      <c r="C310" s="2592"/>
      <c r="D310" s="1580"/>
      <c r="E310" s="2592"/>
      <c r="F310" s="1585"/>
      <c r="G310" s="1581"/>
      <c r="H310" s="2591"/>
      <c r="I310" s="831"/>
    </row>
    <row r="311" spans="1:9">
      <c r="A311" s="2383"/>
      <c r="B311" s="1900"/>
      <c r="C311" s="2592"/>
      <c r="D311" s="1580"/>
      <c r="E311" s="2592"/>
      <c r="F311" s="1585"/>
      <c r="G311" s="1581"/>
      <c r="H311" s="2591"/>
      <c r="I311" s="831"/>
    </row>
    <row r="312" spans="1:9">
      <c r="A312" s="2383"/>
      <c r="B312" s="1900"/>
      <c r="C312" s="2592"/>
      <c r="D312" s="1580"/>
      <c r="E312" s="2592"/>
      <c r="F312" s="1585"/>
      <c r="G312" s="1581"/>
      <c r="H312" s="2591"/>
      <c r="I312" s="831"/>
    </row>
    <row r="313" spans="1:9">
      <c r="A313" s="2383"/>
      <c r="B313" s="1900"/>
      <c r="C313" s="2592"/>
      <c r="D313" s="1580"/>
      <c r="E313" s="2592"/>
      <c r="F313" s="1585"/>
      <c r="G313" s="1581"/>
      <c r="H313" s="2591"/>
      <c r="I313" s="831"/>
    </row>
    <row r="314" spans="1:9">
      <c r="A314" s="2383"/>
      <c r="B314" s="1900"/>
      <c r="C314" s="2592"/>
      <c r="D314" s="1580"/>
      <c r="E314" s="2592"/>
      <c r="F314" s="1585"/>
      <c r="G314" s="1581"/>
      <c r="H314" s="2591"/>
      <c r="I314" s="831"/>
    </row>
    <row r="315" spans="1:9">
      <c r="A315" s="2383"/>
      <c r="B315" s="1900"/>
      <c r="C315" s="2592"/>
      <c r="D315" s="1580"/>
      <c r="E315" s="2592"/>
      <c r="F315" s="1585"/>
      <c r="G315" s="1581"/>
      <c r="H315" s="2591"/>
      <c r="I315" s="831"/>
    </row>
    <row r="316" spans="1:9">
      <c r="A316" s="2383"/>
      <c r="B316" s="1900"/>
      <c r="C316" s="2592"/>
      <c r="D316" s="1580"/>
      <c r="E316" s="2592"/>
      <c r="F316" s="1585"/>
      <c r="G316" s="1581"/>
      <c r="H316" s="2591"/>
      <c r="I316" s="831"/>
    </row>
    <row r="317" spans="1:9">
      <c r="A317" s="2383"/>
      <c r="B317" s="1900"/>
      <c r="C317" s="2592"/>
      <c r="D317" s="1580"/>
      <c r="E317" s="2592"/>
      <c r="F317" s="1585"/>
      <c r="G317" s="1581"/>
      <c r="H317" s="2591"/>
      <c r="I317" s="831"/>
    </row>
    <row r="318" spans="1:9">
      <c r="A318" s="2383"/>
      <c r="B318" s="1900"/>
      <c r="C318" s="2592"/>
      <c r="D318" s="1580"/>
      <c r="E318" s="2592"/>
      <c r="F318" s="1585"/>
      <c r="G318" s="1581"/>
      <c r="H318" s="2591"/>
      <c r="I318" s="831"/>
    </row>
    <row r="319" spans="1:9">
      <c r="A319" s="2383"/>
      <c r="B319" s="1900"/>
      <c r="C319" s="2592"/>
      <c r="D319" s="1580"/>
      <c r="E319" s="2592"/>
      <c r="F319" s="1585"/>
      <c r="G319" s="1581"/>
      <c r="H319" s="2591"/>
      <c r="I319" s="831"/>
    </row>
    <row r="320" spans="1:9">
      <c r="A320" s="2383"/>
      <c r="B320" s="1900"/>
      <c r="C320" s="2592"/>
      <c r="D320" s="1580"/>
      <c r="E320" s="2592"/>
      <c r="F320" s="1585"/>
      <c r="G320" s="1581"/>
      <c r="H320" s="2591"/>
      <c r="I320" s="831"/>
    </row>
    <row r="321" spans="1:9">
      <c r="A321" s="2383"/>
      <c r="B321" s="1900"/>
      <c r="C321" s="2592"/>
      <c r="D321" s="1580"/>
      <c r="E321" s="2592"/>
      <c r="F321" s="1585"/>
      <c r="G321" s="1581"/>
      <c r="H321" s="2591"/>
      <c r="I321" s="831"/>
    </row>
    <row r="322" spans="1:9">
      <c r="A322" s="2383"/>
      <c r="B322" s="1900"/>
      <c r="C322" s="2592"/>
      <c r="D322" s="1580"/>
      <c r="E322" s="2592"/>
      <c r="F322" s="1585"/>
      <c r="G322" s="1581"/>
      <c r="H322" s="2591"/>
      <c r="I322" s="831"/>
    </row>
    <row r="323" spans="1:9">
      <c r="A323" s="2383"/>
      <c r="B323" s="1900"/>
      <c r="C323" s="2592"/>
      <c r="D323" s="1580"/>
      <c r="E323" s="2592"/>
      <c r="F323" s="1585"/>
      <c r="G323" s="1581"/>
      <c r="H323" s="2591"/>
      <c r="I323" s="831"/>
    </row>
    <row r="324" spans="1:9">
      <c r="A324" s="2383"/>
      <c r="B324" s="1900"/>
      <c r="C324" s="2592"/>
      <c r="D324" s="1580"/>
      <c r="E324" s="2592"/>
      <c r="F324" s="1585"/>
      <c r="G324" s="1581"/>
      <c r="H324" s="2591"/>
      <c r="I324" s="831"/>
    </row>
    <row r="325" spans="1:9">
      <c r="A325" s="2383"/>
      <c r="B325" s="1900"/>
      <c r="C325" s="2592"/>
      <c r="D325" s="1580"/>
      <c r="E325" s="2592"/>
      <c r="F325" s="1585"/>
      <c r="G325" s="1581"/>
      <c r="H325" s="2591"/>
      <c r="I325" s="831"/>
    </row>
    <row r="326" spans="1:9">
      <c r="A326" s="2383"/>
      <c r="B326" s="1900"/>
      <c r="C326" s="2592"/>
      <c r="D326" s="1580"/>
      <c r="E326" s="2592"/>
      <c r="F326" s="1585"/>
      <c r="G326" s="1581"/>
      <c r="H326" s="2591"/>
      <c r="I326" s="831"/>
    </row>
    <row r="327" spans="1:9">
      <c r="A327" s="2383"/>
      <c r="B327" s="1900"/>
      <c r="C327" s="2592"/>
      <c r="D327" s="1580"/>
      <c r="E327" s="2592"/>
      <c r="F327" s="1585"/>
      <c r="G327" s="1581"/>
      <c r="H327" s="2591"/>
      <c r="I327" s="831"/>
    </row>
    <row r="328" spans="1:9">
      <c r="A328" s="2383"/>
      <c r="B328" s="1900"/>
      <c r="C328" s="2592"/>
      <c r="D328" s="1580"/>
      <c r="E328" s="2592"/>
      <c r="F328" s="1585"/>
      <c r="G328" s="1581"/>
      <c r="H328" s="2591"/>
      <c r="I328" s="831"/>
    </row>
    <row r="329" spans="1:9">
      <c r="A329" s="2383"/>
      <c r="B329" s="1900"/>
      <c r="C329" s="2592"/>
      <c r="D329" s="1580"/>
      <c r="E329" s="2592"/>
      <c r="F329" s="1585"/>
      <c r="G329" s="1581"/>
      <c r="H329" s="2591"/>
      <c r="I329" s="831"/>
    </row>
    <row r="330" spans="1:9">
      <c r="A330" s="2383"/>
      <c r="B330" s="1900"/>
      <c r="C330" s="2592"/>
      <c r="D330" s="1580"/>
      <c r="E330" s="2592"/>
      <c r="F330" s="1585"/>
      <c r="G330" s="1581"/>
      <c r="H330" s="2591"/>
      <c r="I330" s="831"/>
    </row>
    <row r="331" spans="1:9">
      <c r="A331" s="2383"/>
      <c r="B331" s="1900"/>
      <c r="C331" s="2592"/>
      <c r="D331" s="1580"/>
      <c r="E331" s="2592"/>
      <c r="F331" s="1585"/>
      <c r="G331" s="1581"/>
      <c r="H331" s="2591"/>
      <c r="I331" s="831"/>
    </row>
    <row r="332" spans="1:9">
      <c r="A332" s="2383"/>
      <c r="B332" s="1900"/>
      <c r="C332" s="2592"/>
      <c r="D332" s="1580"/>
      <c r="E332" s="2592"/>
      <c r="F332" s="1585"/>
      <c r="G332" s="1581"/>
      <c r="H332" s="2591"/>
      <c r="I332" s="831"/>
    </row>
    <row r="333" spans="1:9">
      <c r="A333" s="2383"/>
      <c r="B333" s="1900"/>
      <c r="C333" s="2592"/>
      <c r="D333" s="1580"/>
      <c r="E333" s="2592"/>
      <c r="F333" s="1585"/>
      <c r="G333" s="1581"/>
      <c r="H333" s="2591"/>
      <c r="I333" s="831"/>
    </row>
    <row r="334" spans="1:9">
      <c r="A334" s="2383"/>
      <c r="B334" s="1900"/>
      <c r="C334" s="2592"/>
      <c r="D334" s="1580"/>
      <c r="E334" s="2592"/>
      <c r="F334" s="1585"/>
      <c r="G334" s="1581"/>
      <c r="H334" s="2591"/>
      <c r="I334" s="831"/>
    </row>
    <row r="335" spans="1:9">
      <c r="A335" s="2383"/>
      <c r="B335" s="1900"/>
      <c r="C335" s="2592"/>
      <c r="D335" s="1580"/>
      <c r="E335" s="2592"/>
      <c r="F335" s="1585"/>
      <c r="G335" s="1581"/>
      <c r="H335" s="2591"/>
      <c r="I335" s="831"/>
    </row>
    <row r="336" spans="1:9">
      <c r="A336" s="2383"/>
      <c r="B336" s="1900"/>
      <c r="C336" s="2592"/>
      <c r="D336" s="1580"/>
      <c r="E336" s="2592"/>
      <c r="F336" s="1585"/>
      <c r="G336" s="1581"/>
      <c r="H336" s="2591"/>
      <c r="I336" s="831"/>
    </row>
    <row r="337" spans="1:9">
      <c r="A337" s="2383"/>
      <c r="B337" s="1900"/>
      <c r="C337" s="2592"/>
      <c r="D337" s="1580"/>
      <c r="E337" s="2592"/>
      <c r="F337" s="1585"/>
      <c r="G337" s="1581"/>
      <c r="H337" s="2591"/>
      <c r="I337" s="831"/>
    </row>
    <row r="338" spans="1:9">
      <c r="A338" s="2383"/>
      <c r="B338" s="1900"/>
      <c r="C338" s="2592"/>
      <c r="D338" s="1580"/>
      <c r="E338" s="2592"/>
      <c r="F338" s="1585"/>
      <c r="G338" s="1581"/>
      <c r="H338" s="2591"/>
      <c r="I338" s="831"/>
    </row>
    <row r="339" spans="1:9">
      <c r="A339" s="2383"/>
      <c r="B339" s="1900"/>
      <c r="C339" s="2592"/>
      <c r="D339" s="1580"/>
      <c r="E339" s="2592"/>
      <c r="F339" s="1585"/>
      <c r="G339" s="1581"/>
      <c r="H339" s="2591"/>
      <c r="I339" s="831"/>
    </row>
    <row r="340" spans="1:9">
      <c r="A340" s="2383"/>
      <c r="B340" s="1900"/>
      <c r="C340" s="2592"/>
      <c r="D340" s="1580"/>
      <c r="E340" s="2592"/>
      <c r="F340" s="1585"/>
      <c r="G340" s="1581"/>
      <c r="H340" s="2591"/>
      <c r="I340" s="831"/>
    </row>
    <row r="341" spans="1:9">
      <c r="A341" s="2383"/>
      <c r="B341" s="1900"/>
      <c r="C341" s="2592"/>
      <c r="D341" s="1580"/>
      <c r="E341" s="2592"/>
      <c r="F341" s="1585"/>
      <c r="G341" s="1581"/>
      <c r="H341" s="2591"/>
      <c r="I341" s="831"/>
    </row>
    <row r="342" spans="1:9">
      <c r="A342" s="2383"/>
      <c r="B342" s="1900"/>
      <c r="C342" s="2592"/>
      <c r="D342" s="1580"/>
      <c r="E342" s="2592"/>
      <c r="F342" s="1585"/>
      <c r="G342" s="1581"/>
      <c r="H342" s="2591"/>
      <c r="I342" s="831"/>
    </row>
    <row r="343" spans="1:9">
      <c r="A343" s="2383"/>
      <c r="B343" s="1900"/>
      <c r="C343" s="2592"/>
      <c r="D343" s="1580"/>
      <c r="E343" s="2592"/>
      <c r="F343" s="1585"/>
      <c r="G343" s="1581"/>
      <c r="H343" s="2591"/>
      <c r="I343" s="831"/>
    </row>
    <row r="344" spans="1:9">
      <c r="A344" s="2383"/>
      <c r="B344" s="1900"/>
      <c r="C344" s="2592"/>
      <c r="D344" s="1580"/>
      <c r="E344" s="2592"/>
      <c r="F344" s="1585"/>
      <c r="G344" s="1581"/>
      <c r="H344" s="2591"/>
      <c r="I344" s="831"/>
    </row>
    <row r="345" spans="1:9">
      <c r="A345" s="2383"/>
      <c r="B345" s="1900"/>
      <c r="C345" s="2592"/>
      <c r="D345" s="1580"/>
      <c r="E345" s="2592"/>
      <c r="F345" s="1585"/>
      <c r="G345" s="1581"/>
      <c r="H345" s="2591"/>
      <c r="I345" s="831"/>
    </row>
    <row r="346" spans="1:9">
      <c r="A346" s="2383"/>
      <c r="B346" s="1900"/>
      <c r="C346" s="2592"/>
      <c r="D346" s="1580"/>
      <c r="E346" s="2592"/>
      <c r="F346" s="1585"/>
      <c r="G346" s="1581"/>
      <c r="H346" s="2591"/>
      <c r="I346" s="831"/>
    </row>
    <row r="347" spans="1:9">
      <c r="A347" s="2383"/>
      <c r="B347" s="1900"/>
      <c r="C347" s="2592"/>
      <c r="D347" s="1580"/>
      <c r="E347" s="2592"/>
      <c r="F347" s="1585"/>
      <c r="G347" s="1581"/>
      <c r="H347" s="2591"/>
      <c r="I347" s="831"/>
    </row>
    <row r="348" spans="1:9">
      <c r="A348" s="2383"/>
      <c r="B348" s="1900"/>
      <c r="C348" s="2592"/>
      <c r="D348" s="1580"/>
      <c r="E348" s="2592"/>
      <c r="F348" s="1585"/>
      <c r="G348" s="1581"/>
      <c r="H348" s="2591"/>
      <c r="I348" s="831"/>
    </row>
    <row r="349" spans="1:9">
      <c r="A349" s="2383"/>
      <c r="B349" s="1900"/>
      <c r="C349" s="2592"/>
      <c r="D349" s="1580"/>
      <c r="E349" s="2592"/>
      <c r="F349" s="1585"/>
      <c r="G349" s="1581"/>
      <c r="H349" s="2591"/>
      <c r="I349" s="831"/>
    </row>
    <row r="350" spans="1:9">
      <c r="A350" s="2383"/>
      <c r="B350" s="1900"/>
      <c r="C350" s="2592"/>
      <c r="D350" s="1580"/>
      <c r="E350" s="2592"/>
      <c r="F350" s="1585"/>
      <c r="G350" s="1581"/>
      <c r="H350" s="2591"/>
      <c r="I350" s="831"/>
    </row>
    <row r="351" spans="1:9">
      <c r="A351" s="2383"/>
      <c r="B351" s="1900"/>
      <c r="C351" s="2592"/>
      <c r="D351" s="1580"/>
      <c r="E351" s="2592"/>
      <c r="F351" s="1585"/>
      <c r="G351" s="1581"/>
      <c r="H351" s="2591"/>
      <c r="I351" s="831"/>
    </row>
    <row r="352" spans="1:9">
      <c r="A352" s="2383"/>
      <c r="B352" s="1900"/>
      <c r="C352" s="2592"/>
      <c r="D352" s="1580"/>
      <c r="E352" s="2592"/>
      <c r="F352" s="1585"/>
      <c r="G352" s="1581"/>
      <c r="H352" s="2591"/>
      <c r="I352" s="831"/>
    </row>
    <row r="353" spans="1:9">
      <c r="A353" s="2383"/>
      <c r="B353" s="1900"/>
      <c r="C353" s="2592"/>
      <c r="D353" s="1580"/>
      <c r="E353" s="2592"/>
      <c r="F353" s="1585"/>
      <c r="G353" s="1581"/>
      <c r="H353" s="2591"/>
      <c r="I353" s="831"/>
    </row>
    <row r="354" spans="1:9">
      <c r="A354" s="2383"/>
      <c r="B354" s="1900"/>
      <c r="C354" s="2592"/>
      <c r="D354" s="1580"/>
      <c r="E354" s="2592"/>
      <c r="F354" s="1585"/>
      <c r="G354" s="1581"/>
      <c r="H354" s="2591"/>
      <c r="I354" s="831"/>
    </row>
    <row r="355" spans="1:9">
      <c r="A355" s="2383"/>
      <c r="B355" s="1900"/>
      <c r="C355" s="2592"/>
      <c r="D355" s="1580"/>
      <c r="E355" s="2592"/>
      <c r="F355" s="1585"/>
      <c r="G355" s="1581"/>
      <c r="H355" s="2591"/>
      <c r="I355" s="831"/>
    </row>
    <row r="356" spans="1:9">
      <c r="A356" s="2383"/>
      <c r="B356" s="1900"/>
      <c r="C356" s="2592"/>
      <c r="D356" s="1580"/>
      <c r="E356" s="2592"/>
      <c r="F356" s="1585"/>
      <c r="G356" s="1581"/>
      <c r="H356" s="2591"/>
      <c r="I356" s="831"/>
    </row>
    <row r="357" spans="1:9">
      <c r="A357" s="2383"/>
      <c r="B357" s="1900"/>
      <c r="C357" s="2592"/>
      <c r="D357" s="1580"/>
      <c r="E357" s="2592"/>
      <c r="F357" s="1585"/>
      <c r="G357" s="1581"/>
      <c r="H357" s="2591"/>
      <c r="I357" s="831"/>
    </row>
    <row r="358" spans="1:9">
      <c r="A358" s="1754"/>
      <c r="B358" s="428"/>
      <c r="C358" s="428"/>
      <c r="D358" s="429"/>
      <c r="E358" s="428"/>
      <c r="F358" s="432"/>
      <c r="G358" s="2086"/>
      <c r="H358" s="2086"/>
      <c r="I358" s="486"/>
    </row>
    <row r="359" spans="1:9">
      <c r="A359" s="2380"/>
      <c r="B359" s="316"/>
      <c r="C359" s="951"/>
      <c r="D359" s="952" t="s">
        <v>1813</v>
      </c>
      <c r="E359" s="316"/>
      <c r="F359" s="492"/>
      <c r="G359" s="2500"/>
      <c r="H359" s="2500">
        <f>SUM(H276:H357)</f>
        <v>2388502</v>
      </c>
      <c r="I359" s="832"/>
    </row>
    <row r="363" spans="1:9">
      <c r="G363" s="526"/>
      <c r="H363" s="833"/>
      <c r="I363" s="526"/>
    </row>
  </sheetData>
  <sheetProtection algorithmName="SHA-512" hashValue="ykGRMt8k60DHEv/fK3n9YS5V9rAKrAt7ksLlIlf2V1QfdZD76otnBShHPG2LFw3zLsbK4uYp8LUvJ54lnI3pdw==" saltValue="U2idqGCVqliQTLIwUdlxMg==" spinCount="100000" sheet="1" objects="1" scenarios="1"/>
  <mergeCells count="6">
    <mergeCell ref="A1:H1"/>
    <mergeCell ref="K2:K15"/>
    <mergeCell ref="O15:O28"/>
    <mergeCell ref="L2:L15"/>
    <mergeCell ref="M2:M15"/>
    <mergeCell ref="N2:N15"/>
  </mergeCells>
  <phoneticPr fontId="33" type="noConversion"/>
  <pageMargins left="0.59055118110236227" right="0.59055118110236227" top="1.1023622047244095" bottom="0.78740157480314965" header="0.27559055118110237" footer="0.27559055118110237"/>
  <pageSetup paperSize="9" scale="64" firstPageNumber="92" fitToHeight="0" orientation="portrait" useFirstPageNumber="1" r:id="rId1"/>
  <headerFooter alignWithMargins="0">
    <oddHeader>&amp;L&amp;G&amp;CContract JW 14425
Bushkoppie Wastewater Treatment Works:
Infrastructure Renewal Plan
Volume 1 
C 2.2 Bill of Quantities&amp;R&amp;G</oddHeader>
    <oddFooter>&amp;C&amp;12
&amp;G
C.&amp;P</oddFooter>
  </headerFooter>
  <rowBreaks count="4" manualBreakCount="4">
    <brk id="77" max="16383" man="1"/>
    <brk id="127" max="16383" man="1"/>
    <brk id="192" max="16383" man="1"/>
    <brk id="275" max="16383" man="1"/>
  </rowBreaks>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A5ADB-BB98-4FCD-96C7-8D395D102267}">
  <sheetPr>
    <pageSetUpPr fitToPage="1"/>
  </sheetPr>
  <dimension ref="A1:H152"/>
  <sheetViews>
    <sheetView tabSelected="1" view="pageBreakPreview" topLeftCell="A135" zoomScaleNormal="100" zoomScaleSheetLayoutView="100" workbookViewId="0">
      <selection activeCell="G5" sqref="G5"/>
    </sheetView>
  </sheetViews>
  <sheetFormatPr defaultColWidth="6.109375" defaultRowHeight="13.2"/>
  <cols>
    <col min="1" max="1" width="11.88671875" style="335" customWidth="1"/>
    <col min="2" max="2" width="8.88671875" style="335" customWidth="1"/>
    <col min="3" max="3" width="10.109375" style="31" customWidth="1"/>
    <col min="4" max="4" width="60.44140625" style="31" customWidth="1"/>
    <col min="5" max="5" width="8.88671875" style="32" customWidth="1"/>
    <col min="6" max="6" width="10.88671875" style="337" customWidth="1"/>
    <col min="7" max="7" width="14.88671875" style="213" customWidth="1"/>
    <col min="8" max="8" width="20.88671875" style="834" customWidth="1"/>
    <col min="9" max="11" width="6.109375" style="31" customWidth="1"/>
    <col min="12" max="12" width="8" style="31" customWidth="1"/>
    <col min="13" max="16384" width="6.109375" style="31"/>
  </cols>
  <sheetData>
    <row r="1" spans="1:8" s="329" customFormat="1" ht="15">
      <c r="A1" s="3036" t="s">
        <v>1814</v>
      </c>
      <c r="B1" s="3036"/>
      <c r="C1" s="3036"/>
      <c r="D1" s="3036"/>
      <c r="E1" s="3036"/>
      <c r="F1" s="3036"/>
      <c r="G1" s="3036"/>
      <c r="H1" s="3036"/>
    </row>
    <row r="2" spans="1:8" s="1" customFormat="1" ht="25.5" customHeight="1">
      <c r="A2" s="488" t="s">
        <v>541</v>
      </c>
      <c r="B2" s="452" t="s">
        <v>217</v>
      </c>
      <c r="C2" s="453" t="s">
        <v>218</v>
      </c>
      <c r="D2" s="417" t="s">
        <v>219</v>
      </c>
      <c r="E2" s="414" t="s">
        <v>220</v>
      </c>
      <c r="F2" s="415" t="s">
        <v>221</v>
      </c>
      <c r="G2" s="416" t="s">
        <v>222</v>
      </c>
      <c r="H2" s="525" t="s">
        <v>223</v>
      </c>
    </row>
    <row r="3" spans="1:8">
      <c r="A3" s="1791"/>
      <c r="B3" s="1667"/>
      <c r="C3" s="2029"/>
      <c r="D3" s="2030"/>
      <c r="E3" s="1669"/>
      <c r="F3" s="1816"/>
      <c r="G3" s="1813"/>
      <c r="H3" s="881"/>
    </row>
    <row r="4" spans="1:8" s="513" customFormat="1" ht="27.6">
      <c r="A4" s="2578">
        <v>14</v>
      </c>
      <c r="B4" s="2578"/>
      <c r="C4" s="2579" t="s">
        <v>1815</v>
      </c>
      <c r="D4" s="2594" t="s">
        <v>1816</v>
      </c>
      <c r="E4" s="895"/>
      <c r="F4" s="2581"/>
      <c r="G4" s="2582"/>
      <c r="H4" s="889"/>
    </row>
    <row r="5" spans="1:8" s="10" customFormat="1">
      <c r="A5" s="1574"/>
      <c r="B5" s="1271"/>
      <c r="C5" s="1575"/>
      <c r="D5" s="2240"/>
      <c r="E5" s="882"/>
      <c r="F5" s="1577"/>
      <c r="G5" s="1578"/>
      <c r="H5" s="891"/>
    </row>
    <row r="6" spans="1:8" s="10" customFormat="1" ht="26.4">
      <c r="A6" s="1574"/>
      <c r="B6" s="1271"/>
      <c r="C6" s="1575"/>
      <c r="D6" s="2241" t="s">
        <v>1697</v>
      </c>
      <c r="E6" s="882"/>
      <c r="F6" s="1577"/>
      <c r="G6" s="1578"/>
      <c r="H6" s="891"/>
    </row>
    <row r="7" spans="1:8" s="10" customFormat="1">
      <c r="A7" s="1574"/>
      <c r="B7" s="1271"/>
      <c r="C7" s="1575"/>
      <c r="D7" s="2240"/>
      <c r="E7" s="882"/>
      <c r="F7" s="1577"/>
      <c r="G7" s="1578"/>
      <c r="H7" s="891"/>
    </row>
    <row r="8" spans="1:8" s="10" customFormat="1" ht="26.4">
      <c r="A8" s="1574">
        <f>$A$4</f>
        <v>14</v>
      </c>
      <c r="B8" s="1888">
        <v>1</v>
      </c>
      <c r="C8" s="1575"/>
      <c r="D8" s="2241" t="s">
        <v>1034</v>
      </c>
      <c r="E8" s="882"/>
      <c r="F8" s="1577"/>
      <c r="G8" s="1578"/>
      <c r="H8" s="891"/>
    </row>
    <row r="9" spans="1:8" s="10" customFormat="1">
      <c r="A9" s="1574"/>
      <c r="B9" s="1271"/>
      <c r="C9" s="1575"/>
      <c r="D9" s="2240"/>
      <c r="E9" s="882"/>
      <c r="F9" s="1577"/>
      <c r="G9" s="1578"/>
      <c r="H9" s="891"/>
    </row>
    <row r="10" spans="1:8" s="10" customFormat="1" ht="26.4">
      <c r="A10" s="1574">
        <f>$A$4</f>
        <v>14</v>
      </c>
      <c r="B10" s="1271">
        <v>1.1000000000000001</v>
      </c>
      <c r="C10" s="1575" t="s">
        <v>1817</v>
      </c>
      <c r="D10" s="1580" t="s">
        <v>1818</v>
      </c>
      <c r="E10" s="882" t="s">
        <v>954</v>
      </c>
      <c r="F10" s="1577">
        <v>5</v>
      </c>
      <c r="G10" s="1578"/>
      <c r="H10" s="1501">
        <f t="shared" ref="H10:H67" si="0">IF(E10="","",ROUND(F10*G10,2))</f>
        <v>0</v>
      </c>
    </row>
    <row r="11" spans="1:8" s="10" customFormat="1">
      <c r="A11" s="1574"/>
      <c r="B11" s="1271"/>
      <c r="C11" s="1575"/>
      <c r="D11" s="2240"/>
      <c r="E11" s="882"/>
      <c r="F11" s="1577"/>
      <c r="G11" s="1578"/>
      <c r="H11" s="1501" t="str">
        <f t="shared" si="0"/>
        <v/>
      </c>
    </row>
    <row r="12" spans="1:8" s="10" customFormat="1">
      <c r="A12" s="1574">
        <f>$A$4</f>
        <v>14</v>
      </c>
      <c r="B12" s="1271">
        <v>1.2</v>
      </c>
      <c r="C12" s="1575" t="s">
        <v>1817</v>
      </c>
      <c r="D12" s="1580" t="s">
        <v>1819</v>
      </c>
      <c r="E12" s="882" t="s">
        <v>954</v>
      </c>
      <c r="F12" s="1577">
        <v>5</v>
      </c>
      <c r="G12" s="1578"/>
      <c r="H12" s="1501">
        <f t="shared" si="0"/>
        <v>0</v>
      </c>
    </row>
    <row r="13" spans="1:8" s="10" customFormat="1">
      <c r="A13" s="1574"/>
      <c r="B13" s="1271"/>
      <c r="C13" s="1575"/>
      <c r="D13" s="2240"/>
      <c r="E13" s="882"/>
      <c r="F13" s="1577"/>
      <c r="G13" s="1578"/>
      <c r="H13" s="1501" t="str">
        <f t="shared" si="0"/>
        <v/>
      </c>
    </row>
    <row r="14" spans="1:8" s="10" customFormat="1">
      <c r="A14" s="1574">
        <f>$A$4</f>
        <v>14</v>
      </c>
      <c r="B14" s="1271">
        <v>1.3</v>
      </c>
      <c r="C14" s="1575" t="s">
        <v>1817</v>
      </c>
      <c r="D14" s="1580" t="s">
        <v>1820</v>
      </c>
      <c r="E14" s="882" t="s">
        <v>954</v>
      </c>
      <c r="F14" s="1577">
        <v>10</v>
      </c>
      <c r="G14" s="1578"/>
      <c r="H14" s="1501">
        <f t="shared" si="0"/>
        <v>0</v>
      </c>
    </row>
    <row r="15" spans="1:8" s="10" customFormat="1">
      <c r="A15" s="1574"/>
      <c r="B15" s="1271"/>
      <c r="C15" s="1575"/>
      <c r="D15" s="1580"/>
      <c r="E15" s="882"/>
      <c r="F15" s="1577"/>
      <c r="G15" s="1578"/>
      <c r="H15" s="1501" t="str">
        <f t="shared" si="0"/>
        <v/>
      </c>
    </row>
    <row r="16" spans="1:8" s="10" customFormat="1" ht="26.4">
      <c r="A16" s="1574">
        <f>$A$4</f>
        <v>14</v>
      </c>
      <c r="B16" s="1888">
        <v>2</v>
      </c>
      <c r="C16" s="1575"/>
      <c r="D16" s="2241" t="s">
        <v>1703</v>
      </c>
      <c r="E16" s="882"/>
      <c r="F16" s="1577"/>
      <c r="G16" s="1578"/>
      <c r="H16" s="1501" t="str">
        <f t="shared" si="0"/>
        <v/>
      </c>
    </row>
    <row r="17" spans="1:8" s="10" customFormat="1">
      <c r="A17" s="1574"/>
      <c r="B17" s="1271"/>
      <c r="C17" s="1575"/>
      <c r="D17" s="1580"/>
      <c r="E17" s="882"/>
      <c r="F17" s="1577"/>
      <c r="G17" s="1578"/>
      <c r="H17" s="1501" t="str">
        <f t="shared" si="0"/>
        <v/>
      </c>
    </row>
    <row r="18" spans="1:8" s="10" customFormat="1">
      <c r="A18" s="1574"/>
      <c r="B18" s="1271"/>
      <c r="C18" s="1575"/>
      <c r="D18" s="1580" t="s">
        <v>1821</v>
      </c>
      <c r="E18" s="882"/>
      <c r="F18" s="1577"/>
      <c r="G18" s="1578"/>
      <c r="H18" s="1501" t="str">
        <f t="shared" si="0"/>
        <v/>
      </c>
    </row>
    <row r="19" spans="1:8" s="10" customFormat="1">
      <c r="A19" s="1574"/>
      <c r="B19" s="1271"/>
      <c r="C19" s="1575"/>
      <c r="D19" s="1580"/>
      <c r="E19" s="882"/>
      <c r="F19" s="1577"/>
      <c r="G19" s="1578"/>
      <c r="H19" s="1501" t="str">
        <f t="shared" si="0"/>
        <v/>
      </c>
    </row>
    <row r="20" spans="1:8" s="10" customFormat="1" ht="26.4">
      <c r="A20" s="1574">
        <f>$A$4</f>
        <v>14</v>
      </c>
      <c r="B20" s="1271">
        <v>2.1</v>
      </c>
      <c r="C20" s="1575"/>
      <c r="D20" s="1580" t="s">
        <v>1822</v>
      </c>
      <c r="E20" s="882" t="s">
        <v>393</v>
      </c>
      <c r="F20" s="1577">
        <v>1</v>
      </c>
      <c r="G20" s="1578"/>
      <c r="H20" s="1501">
        <f t="shared" si="0"/>
        <v>0</v>
      </c>
    </row>
    <row r="21" spans="1:8" s="10" customFormat="1">
      <c r="A21" s="1574"/>
      <c r="B21" s="1271"/>
      <c r="C21" s="1575"/>
      <c r="D21" s="1580"/>
      <c r="E21" s="882"/>
      <c r="F21" s="1577"/>
      <c r="G21" s="1578"/>
      <c r="H21" s="1501" t="str">
        <f t="shared" si="0"/>
        <v/>
      </c>
    </row>
    <row r="22" spans="1:8" s="10" customFormat="1">
      <c r="A22" s="1574">
        <f>$A$4</f>
        <v>14</v>
      </c>
      <c r="B22" s="1271">
        <v>2.2000000000000002</v>
      </c>
      <c r="C22" s="1575"/>
      <c r="D22" s="1580" t="s">
        <v>1819</v>
      </c>
      <c r="E22" s="882" t="s">
        <v>393</v>
      </c>
      <c r="F22" s="1577">
        <v>1</v>
      </c>
      <c r="G22" s="1578"/>
      <c r="H22" s="1501">
        <f t="shared" si="0"/>
        <v>0</v>
      </c>
    </row>
    <row r="23" spans="1:8" s="10" customFormat="1">
      <c r="A23" s="1574"/>
      <c r="B23" s="1271"/>
      <c r="C23" s="1575"/>
      <c r="D23" s="1580"/>
      <c r="E23" s="882"/>
      <c r="F23" s="1577"/>
      <c r="G23" s="1578"/>
      <c r="H23" s="1501" t="str">
        <f t="shared" si="0"/>
        <v/>
      </c>
    </row>
    <row r="24" spans="1:8" s="10" customFormat="1">
      <c r="A24" s="1574">
        <f>$A$4</f>
        <v>14</v>
      </c>
      <c r="B24" s="1888">
        <v>3</v>
      </c>
      <c r="C24" s="1575"/>
      <c r="D24" s="2241" t="s">
        <v>1039</v>
      </c>
      <c r="E24" s="882"/>
      <c r="F24" s="1577"/>
      <c r="G24" s="1578"/>
      <c r="H24" s="1501" t="str">
        <f t="shared" si="0"/>
        <v/>
      </c>
    </row>
    <row r="25" spans="1:8" s="10" customFormat="1">
      <c r="A25" s="1574"/>
      <c r="B25" s="1271"/>
      <c r="C25" s="1575"/>
      <c r="D25" s="1580"/>
      <c r="E25" s="882"/>
      <c r="F25" s="1577"/>
      <c r="G25" s="1578"/>
      <c r="H25" s="1501" t="str">
        <f t="shared" si="0"/>
        <v/>
      </c>
    </row>
    <row r="26" spans="1:8" s="10" customFormat="1" ht="26.4">
      <c r="A26" s="1574">
        <f>$A$4</f>
        <v>14</v>
      </c>
      <c r="B26" s="1271">
        <v>3.1</v>
      </c>
      <c r="C26" s="1575"/>
      <c r="D26" s="1580" t="s">
        <v>1823</v>
      </c>
      <c r="E26" s="882" t="s">
        <v>954</v>
      </c>
      <c r="F26" s="1577">
        <v>5</v>
      </c>
      <c r="G26" s="1578"/>
      <c r="H26" s="1501">
        <f t="shared" si="0"/>
        <v>0</v>
      </c>
    </row>
    <row r="27" spans="1:8" s="10" customFormat="1">
      <c r="A27" s="1574"/>
      <c r="B27" s="1271"/>
      <c r="C27" s="1575"/>
      <c r="D27" s="2240"/>
      <c r="E27" s="882"/>
      <c r="F27" s="1577"/>
      <c r="G27" s="1578"/>
      <c r="H27" s="1501" t="str">
        <f t="shared" si="0"/>
        <v/>
      </c>
    </row>
    <row r="28" spans="1:8" s="10" customFormat="1">
      <c r="A28" s="1574">
        <f>$A$4</f>
        <v>14</v>
      </c>
      <c r="B28" s="1271">
        <v>3.2</v>
      </c>
      <c r="C28" s="1575"/>
      <c r="D28" s="1580" t="s">
        <v>1824</v>
      </c>
      <c r="E28" s="882" t="s">
        <v>954</v>
      </c>
      <c r="F28" s="1577">
        <v>5</v>
      </c>
      <c r="G28" s="1578"/>
      <c r="H28" s="1501">
        <f t="shared" si="0"/>
        <v>0</v>
      </c>
    </row>
    <row r="29" spans="1:8" s="10" customFormat="1">
      <c r="A29" s="1574"/>
      <c r="B29" s="1271"/>
      <c r="C29" s="1575"/>
      <c r="D29" s="2240"/>
      <c r="E29" s="882"/>
      <c r="F29" s="1577"/>
      <c r="G29" s="1578"/>
      <c r="H29" s="1501" t="str">
        <f t="shared" si="0"/>
        <v/>
      </c>
    </row>
    <row r="30" spans="1:8" s="10" customFormat="1">
      <c r="A30" s="1574">
        <f>$A$4</f>
        <v>14</v>
      </c>
      <c r="B30" s="1271">
        <v>3.3</v>
      </c>
      <c r="C30" s="1575"/>
      <c r="D30" s="1580" t="s">
        <v>1819</v>
      </c>
      <c r="E30" s="882" t="s">
        <v>954</v>
      </c>
      <c r="F30" s="1577">
        <v>5</v>
      </c>
      <c r="G30" s="1578"/>
      <c r="H30" s="1501">
        <f t="shared" si="0"/>
        <v>0</v>
      </c>
    </row>
    <row r="31" spans="1:8" s="10" customFormat="1">
      <c r="A31" s="1574"/>
      <c r="B31" s="1271"/>
      <c r="C31" s="1575"/>
      <c r="D31" s="1580"/>
      <c r="E31" s="882"/>
      <c r="F31" s="1577"/>
      <c r="G31" s="1578"/>
      <c r="H31" s="1501" t="str">
        <f t="shared" si="0"/>
        <v/>
      </c>
    </row>
    <row r="32" spans="1:8" s="10" customFormat="1">
      <c r="A32" s="1574">
        <f>$A$4</f>
        <v>14</v>
      </c>
      <c r="B32" s="1271">
        <v>3.4</v>
      </c>
      <c r="C32" s="1575"/>
      <c r="D32" s="694" t="s">
        <v>1707</v>
      </c>
      <c r="E32" s="1818" t="s">
        <v>529</v>
      </c>
      <c r="F32" s="1781">
        <v>1</v>
      </c>
      <c r="G32" s="2593">
        <v>3525549.9999980498</v>
      </c>
      <c r="H32" s="1501">
        <f t="shared" si="0"/>
        <v>3525550</v>
      </c>
    </row>
    <row r="33" spans="1:8" s="10" customFormat="1">
      <c r="A33" s="1574"/>
      <c r="B33" s="1271"/>
      <c r="C33" s="1575"/>
      <c r="D33" s="1580"/>
      <c r="E33" s="882"/>
      <c r="F33" s="1577"/>
      <c r="G33" s="1578"/>
      <c r="H33" s="1501" t="str">
        <f t="shared" si="0"/>
        <v/>
      </c>
    </row>
    <row r="34" spans="1:8" s="10" customFormat="1" ht="26.4">
      <c r="A34" s="1574">
        <f>$A$4</f>
        <v>14</v>
      </c>
      <c r="B34" s="1888">
        <v>4</v>
      </c>
      <c r="C34" s="1575"/>
      <c r="D34" s="2241" t="s">
        <v>1040</v>
      </c>
      <c r="E34" s="882"/>
      <c r="F34" s="1577"/>
      <c r="G34" s="1578"/>
      <c r="H34" s="1501" t="str">
        <f t="shared" si="0"/>
        <v/>
      </c>
    </row>
    <row r="35" spans="1:8" s="10" customFormat="1">
      <c r="A35" s="1574"/>
      <c r="B35" s="1271"/>
      <c r="C35" s="1575"/>
      <c r="D35" s="2240"/>
      <c r="E35" s="882"/>
      <c r="F35" s="1577"/>
      <c r="G35" s="1578"/>
      <c r="H35" s="1501" t="str">
        <f t="shared" si="0"/>
        <v/>
      </c>
    </row>
    <row r="36" spans="1:8" s="10" customFormat="1" ht="39.6">
      <c r="A36" s="1574">
        <f>$A$4</f>
        <v>14</v>
      </c>
      <c r="B36" s="1271">
        <v>4.0999999999999996</v>
      </c>
      <c r="C36" s="1575"/>
      <c r="D36" s="1580" t="s">
        <v>1825</v>
      </c>
      <c r="E36" s="882" t="s">
        <v>954</v>
      </c>
      <c r="F36" s="1577">
        <v>5</v>
      </c>
      <c r="G36" s="1578"/>
      <c r="H36" s="1501">
        <f t="shared" si="0"/>
        <v>0</v>
      </c>
    </row>
    <row r="37" spans="1:8" s="10" customFormat="1">
      <c r="A37" s="1574"/>
      <c r="B37" s="1271"/>
      <c r="C37" s="1575"/>
      <c r="D37" s="1580"/>
      <c r="E37" s="882"/>
      <c r="F37" s="1577"/>
      <c r="G37" s="1578"/>
      <c r="H37" s="1501" t="str">
        <f t="shared" si="0"/>
        <v/>
      </c>
    </row>
    <row r="38" spans="1:8" s="10" customFormat="1" ht="26.4">
      <c r="A38" s="1574">
        <f>$A$4</f>
        <v>14</v>
      </c>
      <c r="B38" s="1888">
        <v>5</v>
      </c>
      <c r="C38" s="1575"/>
      <c r="D38" s="2241" t="s">
        <v>1708</v>
      </c>
      <c r="E38" s="882"/>
      <c r="F38" s="1577"/>
      <c r="G38" s="1578"/>
      <c r="H38" s="1501" t="str">
        <f t="shared" si="0"/>
        <v/>
      </c>
    </row>
    <row r="39" spans="1:8" s="10" customFormat="1">
      <c r="A39" s="1574"/>
      <c r="B39" s="1271"/>
      <c r="C39" s="1575"/>
      <c r="D39" s="1580"/>
      <c r="E39" s="882"/>
      <c r="F39" s="1577"/>
      <c r="G39" s="1578"/>
      <c r="H39" s="1501" t="str">
        <f t="shared" si="0"/>
        <v/>
      </c>
    </row>
    <row r="40" spans="1:8" s="10" customFormat="1">
      <c r="A40" s="1574">
        <f>$A$4</f>
        <v>14</v>
      </c>
      <c r="B40" s="1271">
        <v>5.0999999999999996</v>
      </c>
      <c r="C40" s="1575"/>
      <c r="D40" s="1580" t="s">
        <v>1826</v>
      </c>
      <c r="E40" s="882" t="s">
        <v>954</v>
      </c>
      <c r="F40" s="1577">
        <v>5</v>
      </c>
      <c r="G40" s="1578"/>
      <c r="H40" s="1501">
        <f t="shared" si="0"/>
        <v>0</v>
      </c>
    </row>
    <row r="41" spans="1:8" s="10" customFormat="1">
      <c r="A41" s="1574"/>
      <c r="B41" s="1271"/>
      <c r="C41" s="1575"/>
      <c r="D41" s="2240"/>
      <c r="E41" s="882"/>
      <c r="F41" s="1577"/>
      <c r="G41" s="1578"/>
      <c r="H41" s="1501" t="str">
        <f t="shared" si="0"/>
        <v/>
      </c>
    </row>
    <row r="42" spans="1:8" s="10" customFormat="1">
      <c r="A42" s="1574">
        <f>$A$4</f>
        <v>14</v>
      </c>
      <c r="B42" s="1271">
        <v>5.2</v>
      </c>
      <c r="C42" s="1575"/>
      <c r="D42" s="1580" t="s">
        <v>1827</v>
      </c>
      <c r="E42" s="882" t="s">
        <v>954</v>
      </c>
      <c r="F42" s="1577">
        <v>5</v>
      </c>
      <c r="G42" s="1578"/>
      <c r="H42" s="1501">
        <f t="shared" si="0"/>
        <v>0</v>
      </c>
    </row>
    <row r="43" spans="1:8" s="10" customFormat="1">
      <c r="A43" s="1574"/>
      <c r="B43" s="1271"/>
      <c r="C43" s="1575"/>
      <c r="D43" s="2240"/>
      <c r="E43" s="882"/>
      <c r="F43" s="1577"/>
      <c r="G43" s="1578"/>
      <c r="H43" s="1501" t="str">
        <f t="shared" si="0"/>
        <v/>
      </c>
    </row>
    <row r="44" spans="1:8" s="10" customFormat="1">
      <c r="A44" s="1574">
        <f>$A$4</f>
        <v>14</v>
      </c>
      <c r="B44" s="1271">
        <v>5.3</v>
      </c>
      <c r="C44" s="1575"/>
      <c r="D44" s="1580" t="s">
        <v>1828</v>
      </c>
      <c r="E44" s="882" t="s">
        <v>954</v>
      </c>
      <c r="F44" s="1577">
        <v>5</v>
      </c>
      <c r="G44" s="1578"/>
      <c r="H44" s="1501">
        <f t="shared" si="0"/>
        <v>0</v>
      </c>
    </row>
    <row r="45" spans="1:8" s="10" customFormat="1">
      <c r="A45" s="1574"/>
      <c r="B45" s="1271"/>
      <c r="C45" s="1575"/>
      <c r="D45" s="2240"/>
      <c r="E45" s="882"/>
      <c r="F45" s="1577"/>
      <c r="G45" s="1578"/>
      <c r="H45" s="1501" t="str">
        <f t="shared" si="0"/>
        <v/>
      </c>
    </row>
    <row r="46" spans="1:8" s="10" customFormat="1">
      <c r="A46" s="1574">
        <f>$A$4</f>
        <v>14</v>
      </c>
      <c r="B46" s="1271">
        <v>5.4</v>
      </c>
      <c r="C46" s="1575"/>
      <c r="D46" s="1580" t="s">
        <v>1819</v>
      </c>
      <c r="E46" s="882" t="s">
        <v>954</v>
      </c>
      <c r="F46" s="1577">
        <v>5</v>
      </c>
      <c r="G46" s="1578"/>
      <c r="H46" s="1501">
        <f t="shared" si="0"/>
        <v>0</v>
      </c>
    </row>
    <row r="47" spans="1:8" s="10" customFormat="1">
      <c r="A47" s="1574"/>
      <c r="B47" s="1271"/>
      <c r="C47" s="1575"/>
      <c r="D47" s="2240"/>
      <c r="E47" s="882"/>
      <c r="F47" s="1577"/>
      <c r="G47" s="1578"/>
      <c r="H47" s="1501" t="str">
        <f t="shared" si="0"/>
        <v/>
      </c>
    </row>
    <row r="48" spans="1:8" s="10" customFormat="1">
      <c r="A48" s="1574">
        <f>$A$4</f>
        <v>14</v>
      </c>
      <c r="B48" s="1271">
        <v>5.5</v>
      </c>
      <c r="C48" s="1575"/>
      <c r="D48" s="1580" t="s">
        <v>1820</v>
      </c>
      <c r="E48" s="882" t="s">
        <v>954</v>
      </c>
      <c r="F48" s="1577">
        <v>10</v>
      </c>
      <c r="G48" s="1578"/>
      <c r="H48" s="1501">
        <f t="shared" si="0"/>
        <v>0</v>
      </c>
    </row>
    <row r="49" spans="1:8" s="10" customFormat="1">
      <c r="A49" s="1574"/>
      <c r="B49" s="1271"/>
      <c r="C49" s="1575"/>
      <c r="D49" s="1580"/>
      <c r="E49" s="882"/>
      <c r="F49" s="1577"/>
      <c r="G49" s="1578"/>
      <c r="H49" s="1501" t="str">
        <f t="shared" si="0"/>
        <v/>
      </c>
    </row>
    <row r="50" spans="1:8" s="10" customFormat="1" ht="26.4">
      <c r="A50" s="1574"/>
      <c r="B50" s="1271"/>
      <c r="C50" s="1575"/>
      <c r="D50" s="2241" t="s">
        <v>1714</v>
      </c>
      <c r="E50" s="882"/>
      <c r="F50" s="1577"/>
      <c r="G50" s="1578"/>
      <c r="H50" s="1501" t="str">
        <f t="shared" si="0"/>
        <v/>
      </c>
    </row>
    <row r="51" spans="1:8" s="10" customFormat="1" ht="10.35" customHeight="1">
      <c r="A51" s="1574"/>
      <c r="B51" s="1271"/>
      <c r="C51" s="1575"/>
      <c r="D51" s="1580"/>
      <c r="E51" s="882"/>
      <c r="F51" s="1577"/>
      <c r="G51" s="1578"/>
      <c r="H51" s="1501" t="str">
        <f t="shared" si="0"/>
        <v/>
      </c>
    </row>
    <row r="52" spans="1:8" s="10" customFormat="1" ht="39.6">
      <c r="A52" s="1574"/>
      <c r="B52" s="1271"/>
      <c r="C52" s="1575"/>
      <c r="D52" s="2241" t="s">
        <v>1715</v>
      </c>
      <c r="E52" s="882"/>
      <c r="F52" s="1577"/>
      <c r="G52" s="1578"/>
      <c r="H52" s="1501" t="str">
        <f t="shared" si="0"/>
        <v/>
      </c>
    </row>
    <row r="53" spans="1:8" s="10" customFormat="1" ht="10.35" customHeight="1">
      <c r="A53" s="1574"/>
      <c r="B53" s="1271"/>
      <c r="C53" s="1575"/>
      <c r="D53" s="1580"/>
      <c r="E53" s="882"/>
      <c r="F53" s="1577"/>
      <c r="G53" s="1578"/>
      <c r="H53" s="1501" t="str">
        <f t="shared" si="0"/>
        <v/>
      </c>
    </row>
    <row r="54" spans="1:8" s="10" customFormat="1" ht="26.4">
      <c r="A54" s="1574">
        <f>$A$4</f>
        <v>14</v>
      </c>
      <c r="B54" s="1888">
        <v>6</v>
      </c>
      <c r="C54" s="1575"/>
      <c r="D54" s="2241" t="s">
        <v>1829</v>
      </c>
      <c r="E54" s="882"/>
      <c r="F54" s="1577"/>
      <c r="G54" s="1578"/>
      <c r="H54" s="1501" t="str">
        <f t="shared" si="0"/>
        <v/>
      </c>
    </row>
    <row r="55" spans="1:8" s="10" customFormat="1">
      <c r="A55" s="1574"/>
      <c r="B55" s="1271"/>
      <c r="C55" s="1575"/>
      <c r="D55" s="1580"/>
      <c r="E55" s="882"/>
      <c r="F55" s="1577"/>
      <c r="G55" s="1578"/>
      <c r="H55" s="1501" t="str">
        <f t="shared" si="0"/>
        <v/>
      </c>
    </row>
    <row r="56" spans="1:8" s="10" customFormat="1">
      <c r="A56" s="1574">
        <f>$A$4</f>
        <v>14</v>
      </c>
      <c r="B56" s="1271">
        <v>6.1</v>
      </c>
      <c r="C56" s="1575"/>
      <c r="D56" s="1580" t="s">
        <v>1819</v>
      </c>
      <c r="E56" s="882" t="s">
        <v>954</v>
      </c>
      <c r="F56" s="1577">
        <v>5</v>
      </c>
      <c r="G56" s="1578"/>
      <c r="H56" s="1501">
        <f t="shared" si="0"/>
        <v>0</v>
      </c>
    </row>
    <row r="57" spans="1:8" s="10" customFormat="1">
      <c r="A57" s="1574"/>
      <c r="B57" s="1271"/>
      <c r="C57" s="1575"/>
      <c r="D57" s="1580"/>
      <c r="E57" s="882"/>
      <c r="F57" s="1577"/>
      <c r="G57" s="1578"/>
      <c r="H57" s="1501" t="str">
        <f t="shared" si="0"/>
        <v/>
      </c>
    </row>
    <row r="58" spans="1:8" s="10" customFormat="1">
      <c r="A58" s="1574">
        <f>$A$4</f>
        <v>14</v>
      </c>
      <c r="B58" s="1271">
        <v>6.2</v>
      </c>
      <c r="C58" s="1575"/>
      <c r="D58" s="1580" t="s">
        <v>1830</v>
      </c>
      <c r="E58" s="882" t="s">
        <v>273</v>
      </c>
      <c r="F58" s="1577">
        <v>5</v>
      </c>
      <c r="G58" s="1578"/>
      <c r="H58" s="1501">
        <f t="shared" si="0"/>
        <v>0</v>
      </c>
    </row>
    <row r="59" spans="1:8" s="10" customFormat="1">
      <c r="A59" s="1574"/>
      <c r="B59" s="1271"/>
      <c r="C59" s="1575"/>
      <c r="D59" s="1580"/>
      <c r="E59" s="882"/>
      <c r="F59" s="1577"/>
      <c r="G59" s="1578"/>
      <c r="H59" s="1501" t="str">
        <f t="shared" si="0"/>
        <v/>
      </c>
    </row>
    <row r="60" spans="1:8" s="10" customFormat="1" ht="26.4">
      <c r="A60" s="1574">
        <f>$A$4</f>
        <v>14</v>
      </c>
      <c r="B60" s="1888">
        <v>7</v>
      </c>
      <c r="C60" s="1575"/>
      <c r="D60" s="2241" t="s">
        <v>1831</v>
      </c>
      <c r="E60" s="882"/>
      <c r="F60" s="1577"/>
      <c r="G60" s="1578"/>
      <c r="H60" s="1501" t="str">
        <f t="shared" si="0"/>
        <v/>
      </c>
    </row>
    <row r="61" spans="1:8" s="10" customFormat="1">
      <c r="A61" s="1574"/>
      <c r="B61" s="1271"/>
      <c r="C61" s="1575"/>
      <c r="D61" s="1580"/>
      <c r="E61" s="882"/>
      <c r="F61" s="1577"/>
      <c r="G61" s="1578"/>
      <c r="H61" s="1501" t="str">
        <f t="shared" si="0"/>
        <v/>
      </c>
    </row>
    <row r="62" spans="1:8" s="10" customFormat="1" ht="26.4">
      <c r="A62" s="1574">
        <f>$A$4</f>
        <v>14</v>
      </c>
      <c r="B62" s="1271">
        <v>7.1</v>
      </c>
      <c r="C62" s="1575"/>
      <c r="D62" s="1580" t="s">
        <v>1832</v>
      </c>
      <c r="E62" s="882" t="s">
        <v>954</v>
      </c>
      <c r="F62" s="1577">
        <v>5</v>
      </c>
      <c r="G62" s="1578"/>
      <c r="H62" s="1501">
        <f t="shared" si="0"/>
        <v>0</v>
      </c>
    </row>
    <row r="63" spans="1:8" s="10" customFormat="1">
      <c r="A63" s="1574"/>
      <c r="B63" s="1271"/>
      <c r="C63" s="1575"/>
      <c r="D63" s="1580"/>
      <c r="E63" s="882"/>
      <c r="F63" s="1577"/>
      <c r="G63" s="1578"/>
      <c r="H63" s="1501" t="str">
        <f t="shared" si="0"/>
        <v/>
      </c>
    </row>
    <row r="64" spans="1:8" s="10" customFormat="1">
      <c r="A64" s="1574"/>
      <c r="B64" s="1271"/>
      <c r="C64" s="1575"/>
      <c r="D64" s="1580"/>
      <c r="E64" s="882"/>
      <c r="F64" s="1577"/>
      <c r="G64" s="1578"/>
      <c r="H64" s="1501" t="str">
        <f t="shared" si="0"/>
        <v/>
      </c>
    </row>
    <row r="65" spans="1:8" s="10" customFormat="1" ht="12.75" customHeight="1">
      <c r="A65" s="1574">
        <f>$A$4</f>
        <v>14</v>
      </c>
      <c r="B65" s="1271">
        <v>7.2</v>
      </c>
      <c r="C65" s="1575"/>
      <c r="D65" s="1584" t="s">
        <v>1833</v>
      </c>
      <c r="E65" s="882" t="s">
        <v>954</v>
      </c>
      <c r="F65" s="1577">
        <v>5</v>
      </c>
      <c r="G65" s="1578"/>
      <c r="H65" s="1501">
        <f t="shared" si="0"/>
        <v>0</v>
      </c>
    </row>
    <row r="66" spans="1:8" s="10" customFormat="1">
      <c r="A66" s="1574"/>
      <c r="B66" s="1271"/>
      <c r="C66" s="1575"/>
      <c r="D66" s="1580"/>
      <c r="E66" s="882"/>
      <c r="F66" s="1577"/>
      <c r="G66" s="1578"/>
      <c r="H66" s="1501" t="str">
        <f t="shared" si="0"/>
        <v/>
      </c>
    </row>
    <row r="67" spans="1:8" s="10" customFormat="1" ht="26.4">
      <c r="A67" s="1574">
        <f>$A$4</f>
        <v>14</v>
      </c>
      <c r="B67" s="1271">
        <v>7.3</v>
      </c>
      <c r="C67" s="1575"/>
      <c r="D67" s="1580" t="s">
        <v>1834</v>
      </c>
      <c r="E67" s="882" t="s">
        <v>273</v>
      </c>
      <c r="F67" s="1577">
        <v>5</v>
      </c>
      <c r="G67" s="1578"/>
      <c r="H67" s="1501">
        <f t="shared" si="0"/>
        <v>0</v>
      </c>
    </row>
    <row r="68" spans="1:8" s="10" customFormat="1">
      <c r="A68" s="1574"/>
      <c r="B68" s="1271"/>
      <c r="C68" s="1575"/>
      <c r="D68" s="1580"/>
      <c r="E68" s="882"/>
      <c r="F68" s="1577"/>
      <c r="G68" s="1578"/>
      <c r="H68" s="884"/>
    </row>
    <row r="69" spans="1:8" s="10" customFormat="1">
      <c r="A69" s="1574"/>
      <c r="B69" s="1271"/>
      <c r="C69" s="1575"/>
      <c r="D69" s="1580"/>
      <c r="E69" s="882"/>
      <c r="F69" s="1577"/>
      <c r="G69" s="1578"/>
      <c r="H69" s="884"/>
    </row>
    <row r="70" spans="1:8" s="10" customFormat="1">
      <c r="A70" s="1574"/>
      <c r="B70" s="1271"/>
      <c r="C70" s="1575"/>
      <c r="D70" s="1580"/>
      <c r="E70" s="882"/>
      <c r="F70" s="1577"/>
      <c r="G70" s="1578"/>
      <c r="H70" s="884"/>
    </row>
    <row r="71" spans="1:8" s="10" customFormat="1">
      <c r="A71" s="1574"/>
      <c r="B71" s="1271"/>
      <c r="C71" s="1575"/>
      <c r="D71" s="1580"/>
      <c r="E71" s="882"/>
      <c r="F71" s="1577"/>
      <c r="G71" s="1578"/>
      <c r="H71" s="884"/>
    </row>
    <row r="72" spans="1:8" s="10" customFormat="1">
      <c r="A72" s="1786"/>
      <c r="B72" s="787"/>
      <c r="C72" s="872"/>
      <c r="D72" s="872"/>
      <c r="E72" s="801"/>
      <c r="F72" s="873"/>
      <c r="G72" s="2595"/>
      <c r="H72" s="2596"/>
    </row>
    <row r="73" spans="1:8" s="10" customFormat="1">
      <c r="A73" s="2566"/>
      <c r="B73" s="566"/>
      <c r="C73" s="423"/>
      <c r="D73" s="413" t="s">
        <v>289</v>
      </c>
      <c r="E73" s="426"/>
      <c r="F73" s="24"/>
      <c r="G73" s="1468"/>
      <c r="H73" s="2597">
        <f>SUM(H3:H71)</f>
        <v>3525550</v>
      </c>
    </row>
    <row r="74" spans="1:8" s="10" customFormat="1">
      <c r="A74" s="1574"/>
      <c r="B74" s="1271"/>
      <c r="C74" s="1575"/>
      <c r="D74" s="1552" t="s">
        <v>290</v>
      </c>
      <c r="E74" s="882"/>
      <c r="F74" s="1577"/>
      <c r="G74" s="1578"/>
      <c r="H74" s="891">
        <f>H73</f>
        <v>3525550</v>
      </c>
    </row>
    <row r="75" spans="1:8" s="10" customFormat="1">
      <c r="A75" s="1574"/>
      <c r="B75" s="1271"/>
      <c r="C75" s="1575"/>
      <c r="D75" s="1580"/>
      <c r="E75" s="882"/>
      <c r="F75" s="1577"/>
      <c r="G75" s="1578"/>
      <c r="H75" s="884"/>
    </row>
    <row r="76" spans="1:8" s="10" customFormat="1" ht="39.6">
      <c r="A76" s="1574">
        <f>$A$4</f>
        <v>14</v>
      </c>
      <c r="B76" s="1271">
        <v>7.4</v>
      </c>
      <c r="C76" s="1575"/>
      <c r="D76" s="2598" t="s">
        <v>1835</v>
      </c>
      <c r="E76" s="882" t="s">
        <v>273</v>
      </c>
      <c r="F76" s="1577">
        <v>5</v>
      </c>
      <c r="G76" s="1578"/>
      <c r="H76" s="1501">
        <f t="shared" ref="H76:H127" si="1">IF(E76="","",ROUND(F76*G76,2))</f>
        <v>0</v>
      </c>
    </row>
    <row r="77" spans="1:8" s="10" customFormat="1">
      <c r="A77" s="1574"/>
      <c r="B77" s="1271"/>
      <c r="C77" s="1575"/>
      <c r="D77" s="1580"/>
      <c r="E77" s="882"/>
      <c r="F77" s="1577"/>
      <c r="G77" s="1578"/>
      <c r="H77" s="1501" t="str">
        <f t="shared" si="1"/>
        <v/>
      </c>
    </row>
    <row r="78" spans="1:8" s="10" customFormat="1">
      <c r="A78" s="1574">
        <f>$A$4</f>
        <v>14</v>
      </c>
      <c r="B78" s="1271">
        <v>7.5</v>
      </c>
      <c r="C78" s="1575"/>
      <c r="D78" s="2598" t="s">
        <v>1836</v>
      </c>
      <c r="E78" s="882" t="s">
        <v>529</v>
      </c>
      <c r="F78" s="1577">
        <v>1</v>
      </c>
      <c r="G78" s="2593">
        <v>1000000</v>
      </c>
      <c r="H78" s="1501">
        <f t="shared" si="1"/>
        <v>1000000</v>
      </c>
    </row>
    <row r="79" spans="1:8" s="10" customFormat="1">
      <c r="A79" s="1574"/>
      <c r="B79" s="1271"/>
      <c r="C79" s="1575"/>
      <c r="D79" s="1580"/>
      <c r="E79" s="882"/>
      <c r="F79" s="1577"/>
      <c r="G79" s="1578"/>
      <c r="H79" s="1501" t="str">
        <f t="shared" si="1"/>
        <v/>
      </c>
    </row>
    <row r="80" spans="1:8" s="10" customFormat="1" ht="26.4">
      <c r="A80" s="1574">
        <f>$A$4</f>
        <v>14</v>
      </c>
      <c r="B80" s="1888">
        <v>8</v>
      </c>
      <c r="C80" s="1575"/>
      <c r="D80" s="2241" t="s">
        <v>1837</v>
      </c>
      <c r="E80" s="882"/>
      <c r="F80" s="1577"/>
      <c r="G80" s="1578"/>
      <c r="H80" s="1501" t="str">
        <f t="shared" si="1"/>
        <v/>
      </c>
    </row>
    <row r="81" spans="1:8" s="10" customFormat="1">
      <c r="A81" s="1574"/>
      <c r="B81" s="1271"/>
      <c r="C81" s="1575"/>
      <c r="D81" s="2240"/>
      <c r="E81" s="882"/>
      <c r="F81" s="1577"/>
      <c r="G81" s="1578"/>
      <c r="H81" s="1501" t="str">
        <f t="shared" si="1"/>
        <v/>
      </c>
    </row>
    <row r="82" spans="1:8" s="10" customFormat="1">
      <c r="A82" s="1574">
        <f>$A$4</f>
        <v>14</v>
      </c>
      <c r="B82" s="1271">
        <v>8.1</v>
      </c>
      <c r="C82" s="1575"/>
      <c r="D82" s="1584" t="s">
        <v>1838</v>
      </c>
      <c r="E82" s="882" t="s">
        <v>230</v>
      </c>
      <c r="F82" s="1577">
        <v>10</v>
      </c>
      <c r="G82" s="1578"/>
      <c r="H82" s="1501">
        <f t="shared" si="1"/>
        <v>0</v>
      </c>
    </row>
    <row r="83" spans="1:8" s="10" customFormat="1">
      <c r="A83" s="1574"/>
      <c r="B83" s="1271"/>
      <c r="C83" s="1575"/>
      <c r="D83" s="2240"/>
      <c r="E83" s="882"/>
      <c r="F83" s="1577"/>
      <c r="G83" s="1578"/>
      <c r="H83" s="1501" t="str">
        <f t="shared" si="1"/>
        <v/>
      </c>
    </row>
    <row r="84" spans="1:8" s="10" customFormat="1">
      <c r="A84" s="1574">
        <f>$A$4</f>
        <v>14</v>
      </c>
      <c r="B84" s="1271">
        <v>8.1999999999999993</v>
      </c>
      <c r="C84" s="1575"/>
      <c r="D84" s="1580" t="s">
        <v>1839</v>
      </c>
      <c r="E84" s="882" t="s">
        <v>230</v>
      </c>
      <c r="F84" s="1577">
        <v>10</v>
      </c>
      <c r="G84" s="1578"/>
      <c r="H84" s="1501">
        <f t="shared" si="1"/>
        <v>0</v>
      </c>
    </row>
    <row r="85" spans="1:8" s="10" customFormat="1">
      <c r="A85" s="1574"/>
      <c r="B85" s="1271"/>
      <c r="C85" s="1575"/>
      <c r="D85" s="1580"/>
      <c r="E85" s="882"/>
      <c r="F85" s="1577"/>
      <c r="G85" s="1578"/>
      <c r="H85" s="1501" t="str">
        <f t="shared" si="1"/>
        <v/>
      </c>
    </row>
    <row r="86" spans="1:8" s="10" customFormat="1" ht="52.8">
      <c r="A86" s="1574">
        <f>$A$4</f>
        <v>14</v>
      </c>
      <c r="B86" s="1888">
        <v>9</v>
      </c>
      <c r="C86" s="1575"/>
      <c r="D86" s="2241" t="s">
        <v>1752</v>
      </c>
      <c r="E86" s="882"/>
      <c r="F86" s="1577"/>
      <c r="G86" s="1578"/>
      <c r="H86" s="1501" t="str">
        <f t="shared" si="1"/>
        <v/>
      </c>
    </row>
    <row r="87" spans="1:8" s="10" customFormat="1">
      <c r="A87" s="1574"/>
      <c r="B87" s="1271"/>
      <c r="C87" s="1575"/>
      <c r="D87" s="2241"/>
      <c r="E87" s="882"/>
      <c r="F87" s="1577"/>
      <c r="G87" s="1578"/>
      <c r="H87" s="1501" t="str">
        <f t="shared" si="1"/>
        <v/>
      </c>
    </row>
    <row r="88" spans="1:8" s="10" customFormat="1">
      <c r="A88" s="1574">
        <f>$A$4</f>
        <v>14</v>
      </c>
      <c r="B88" s="1271">
        <v>9.1</v>
      </c>
      <c r="C88" s="1575"/>
      <c r="D88" s="1580" t="s">
        <v>1840</v>
      </c>
      <c r="E88" s="882" t="s">
        <v>273</v>
      </c>
      <c r="F88" s="1577">
        <v>5</v>
      </c>
      <c r="G88" s="1578"/>
      <c r="H88" s="1501">
        <f t="shared" si="1"/>
        <v>0</v>
      </c>
    </row>
    <row r="89" spans="1:8" s="10" customFormat="1">
      <c r="A89" s="1574"/>
      <c r="B89" s="1271"/>
      <c r="C89" s="1575"/>
      <c r="D89" s="2241"/>
      <c r="E89" s="882"/>
      <c r="F89" s="1577"/>
      <c r="G89" s="1578"/>
      <c r="H89" s="1501" t="str">
        <f t="shared" si="1"/>
        <v/>
      </c>
    </row>
    <row r="90" spans="1:8" s="10" customFormat="1">
      <c r="A90" s="1574">
        <f>$A$4</f>
        <v>14</v>
      </c>
      <c r="B90" s="1271">
        <v>9.1999999999999993</v>
      </c>
      <c r="C90" s="1575"/>
      <c r="D90" s="1580" t="s">
        <v>1841</v>
      </c>
      <c r="E90" s="882" t="s">
        <v>691</v>
      </c>
      <c r="F90" s="1577">
        <v>5</v>
      </c>
      <c r="G90" s="1578"/>
      <c r="H90" s="1501">
        <f t="shared" si="1"/>
        <v>0</v>
      </c>
    </row>
    <row r="91" spans="1:8" s="10" customFormat="1">
      <c r="A91" s="1574"/>
      <c r="B91" s="1271"/>
      <c r="C91" s="1575"/>
      <c r="D91" s="2241"/>
      <c r="E91" s="882"/>
      <c r="F91" s="1577"/>
      <c r="G91" s="1578"/>
      <c r="H91" s="1501" t="str">
        <f t="shared" si="1"/>
        <v/>
      </c>
    </row>
    <row r="92" spans="1:8" s="10" customFormat="1">
      <c r="A92" s="1574">
        <f>$A$4</f>
        <v>14</v>
      </c>
      <c r="B92" s="1271">
        <v>9.3000000000000007</v>
      </c>
      <c r="C92" s="1575"/>
      <c r="D92" s="1580" t="s">
        <v>1842</v>
      </c>
      <c r="E92" s="882" t="s">
        <v>691</v>
      </c>
      <c r="F92" s="1577">
        <v>5</v>
      </c>
      <c r="G92" s="1578"/>
      <c r="H92" s="1501">
        <f t="shared" si="1"/>
        <v>0</v>
      </c>
    </row>
    <row r="93" spans="1:8" s="10" customFormat="1">
      <c r="A93" s="1574"/>
      <c r="B93" s="1271"/>
      <c r="C93" s="1575"/>
      <c r="D93" s="2241"/>
      <c r="E93" s="882"/>
      <c r="F93" s="1577"/>
      <c r="G93" s="1578"/>
      <c r="H93" s="1501" t="str">
        <f t="shared" si="1"/>
        <v/>
      </c>
    </row>
    <row r="94" spans="1:8" s="10" customFormat="1">
      <c r="A94" s="1574">
        <f>$A$4</f>
        <v>14</v>
      </c>
      <c r="B94" s="1271">
        <v>9.4</v>
      </c>
      <c r="C94" s="1575"/>
      <c r="D94" s="1580" t="s">
        <v>1843</v>
      </c>
      <c r="E94" s="882" t="s">
        <v>691</v>
      </c>
      <c r="F94" s="1577">
        <v>5</v>
      </c>
      <c r="G94" s="1578"/>
      <c r="H94" s="1501">
        <f t="shared" si="1"/>
        <v>0</v>
      </c>
    </row>
    <row r="95" spans="1:8" s="10" customFormat="1">
      <c r="A95" s="1574"/>
      <c r="B95" s="1271"/>
      <c r="C95" s="1575"/>
      <c r="D95" s="2241"/>
      <c r="E95" s="882"/>
      <c r="F95" s="1577"/>
      <c r="G95" s="1578"/>
      <c r="H95" s="1501" t="str">
        <f t="shared" si="1"/>
        <v/>
      </c>
    </row>
    <row r="96" spans="1:8" s="10" customFormat="1">
      <c r="A96" s="1574">
        <f>$A$4</f>
        <v>14</v>
      </c>
      <c r="B96" s="1271">
        <v>19.5</v>
      </c>
      <c r="C96" s="1575"/>
      <c r="D96" s="1580" t="s">
        <v>1844</v>
      </c>
      <c r="E96" s="882" t="s">
        <v>691</v>
      </c>
      <c r="F96" s="1577">
        <v>5</v>
      </c>
      <c r="G96" s="1578"/>
      <c r="H96" s="1501">
        <f t="shared" si="1"/>
        <v>0</v>
      </c>
    </row>
    <row r="97" spans="1:8" s="10" customFormat="1">
      <c r="A97" s="1574"/>
      <c r="B97" s="1271"/>
      <c r="C97" s="1575"/>
      <c r="D97" s="2241"/>
      <c r="E97" s="882"/>
      <c r="F97" s="1577"/>
      <c r="G97" s="1578"/>
      <c r="H97" s="1501" t="str">
        <f t="shared" si="1"/>
        <v/>
      </c>
    </row>
    <row r="98" spans="1:8" s="10" customFormat="1">
      <c r="A98" s="1574">
        <f>$A$4</f>
        <v>14</v>
      </c>
      <c r="B98" s="1271">
        <v>9.6</v>
      </c>
      <c r="C98" s="1575"/>
      <c r="D98" s="1580" t="s">
        <v>1845</v>
      </c>
      <c r="E98" s="882" t="s">
        <v>691</v>
      </c>
      <c r="F98" s="1577">
        <v>5</v>
      </c>
      <c r="G98" s="1578"/>
      <c r="H98" s="1501">
        <f t="shared" si="1"/>
        <v>0</v>
      </c>
    </row>
    <row r="99" spans="1:8" s="10" customFormat="1">
      <c r="A99" s="1574"/>
      <c r="B99" s="1271"/>
      <c r="C99" s="1575"/>
      <c r="D99" s="2241"/>
      <c r="E99" s="882"/>
      <c r="F99" s="1577"/>
      <c r="G99" s="1578"/>
      <c r="H99" s="1501" t="str">
        <f t="shared" si="1"/>
        <v/>
      </c>
    </row>
    <row r="100" spans="1:8" s="10" customFormat="1">
      <c r="A100" s="1574">
        <f>$A$4</f>
        <v>14</v>
      </c>
      <c r="B100" s="1271">
        <v>9.6999999999999993</v>
      </c>
      <c r="C100" s="1575"/>
      <c r="D100" s="1580" t="s">
        <v>1846</v>
      </c>
      <c r="E100" s="882" t="s">
        <v>691</v>
      </c>
      <c r="F100" s="1577">
        <v>5</v>
      </c>
      <c r="G100" s="1578"/>
      <c r="H100" s="1501">
        <f t="shared" si="1"/>
        <v>0</v>
      </c>
    </row>
    <row r="101" spans="1:8" s="10" customFormat="1">
      <c r="A101" s="1574"/>
      <c r="B101" s="1271"/>
      <c r="C101" s="1575"/>
      <c r="D101" s="2241"/>
      <c r="E101" s="882"/>
      <c r="F101" s="1577"/>
      <c r="G101" s="1578"/>
      <c r="H101" s="1501" t="str">
        <f t="shared" si="1"/>
        <v/>
      </c>
    </row>
    <row r="102" spans="1:8" s="10" customFormat="1">
      <c r="A102" s="1574">
        <f>$A$4</f>
        <v>14</v>
      </c>
      <c r="B102" s="1271">
        <v>9.8000000000000007</v>
      </c>
      <c r="C102" s="1575"/>
      <c r="D102" s="1580" t="s">
        <v>1847</v>
      </c>
      <c r="E102" s="882" t="s">
        <v>691</v>
      </c>
      <c r="F102" s="1577">
        <v>10</v>
      </c>
      <c r="G102" s="1578"/>
      <c r="H102" s="1501">
        <f t="shared" si="1"/>
        <v>0</v>
      </c>
    </row>
    <row r="103" spans="1:8" s="10" customFormat="1">
      <c r="A103" s="1574"/>
      <c r="B103" s="1271"/>
      <c r="C103" s="1575"/>
      <c r="D103" s="2241"/>
      <c r="E103" s="882"/>
      <c r="F103" s="1577"/>
      <c r="G103" s="1578"/>
      <c r="H103" s="1501" t="str">
        <f t="shared" si="1"/>
        <v/>
      </c>
    </row>
    <row r="104" spans="1:8" s="10" customFormat="1">
      <c r="A104" s="1574">
        <f>$A$4</f>
        <v>14</v>
      </c>
      <c r="B104" s="1271">
        <v>9.9</v>
      </c>
      <c r="C104" s="1575"/>
      <c r="D104" s="1580" t="s">
        <v>1848</v>
      </c>
      <c r="E104" s="882" t="s">
        <v>691</v>
      </c>
      <c r="F104" s="1577">
        <v>10</v>
      </c>
      <c r="G104" s="1578"/>
      <c r="H104" s="1501">
        <f t="shared" si="1"/>
        <v>0</v>
      </c>
    </row>
    <row r="105" spans="1:8" s="10" customFormat="1">
      <c r="A105" s="1574"/>
      <c r="B105" s="1271"/>
      <c r="C105" s="2592"/>
      <c r="D105" s="2241"/>
      <c r="E105" s="892"/>
      <c r="F105" s="1585"/>
      <c r="G105" s="1581"/>
      <c r="H105" s="1501" t="str">
        <f t="shared" si="1"/>
        <v/>
      </c>
    </row>
    <row r="106" spans="1:8" s="10" customFormat="1">
      <c r="A106" s="1574">
        <f>$A$4</f>
        <v>14</v>
      </c>
      <c r="B106" s="1582">
        <v>9.1</v>
      </c>
      <c r="C106" s="2592"/>
      <c r="D106" s="1580" t="s">
        <v>1849</v>
      </c>
      <c r="E106" s="882" t="s">
        <v>691</v>
      </c>
      <c r="F106" s="1585">
        <v>5</v>
      </c>
      <c r="G106" s="1581"/>
      <c r="H106" s="1501">
        <f t="shared" si="1"/>
        <v>0</v>
      </c>
    </row>
    <row r="107" spans="1:8" s="10" customFormat="1">
      <c r="A107" s="1574"/>
      <c r="B107" s="1271"/>
      <c r="C107" s="1575"/>
      <c r="D107" s="2241"/>
      <c r="E107" s="882"/>
      <c r="F107" s="1577"/>
      <c r="G107" s="1581"/>
      <c r="H107" s="1501" t="str">
        <f t="shared" si="1"/>
        <v/>
      </c>
    </row>
    <row r="108" spans="1:8" s="10" customFormat="1">
      <c r="A108" s="1574">
        <f>$A$4</f>
        <v>14</v>
      </c>
      <c r="B108" s="1271">
        <v>9.11</v>
      </c>
      <c r="C108" s="1575"/>
      <c r="D108" s="1580" t="s">
        <v>1850</v>
      </c>
      <c r="E108" s="882" t="s">
        <v>691</v>
      </c>
      <c r="F108" s="1577">
        <v>5</v>
      </c>
      <c r="G108" s="1581"/>
      <c r="H108" s="1501">
        <f t="shared" si="1"/>
        <v>0</v>
      </c>
    </row>
    <row r="109" spans="1:8" s="10" customFormat="1">
      <c r="A109" s="1574"/>
      <c r="B109" s="1271"/>
      <c r="C109" s="1575"/>
      <c r="D109" s="2241"/>
      <c r="E109" s="882"/>
      <c r="F109" s="1577"/>
      <c r="G109" s="1581"/>
      <c r="H109" s="1501" t="str">
        <f t="shared" si="1"/>
        <v/>
      </c>
    </row>
    <row r="110" spans="1:8" s="10" customFormat="1">
      <c r="A110" s="1574">
        <f>$A$4</f>
        <v>14</v>
      </c>
      <c r="B110" s="1271">
        <v>9.1199999999999992</v>
      </c>
      <c r="C110" s="1575"/>
      <c r="D110" s="1580" t="s">
        <v>1851</v>
      </c>
      <c r="E110" s="882" t="s">
        <v>691</v>
      </c>
      <c r="F110" s="1577">
        <v>5</v>
      </c>
      <c r="G110" s="1581"/>
      <c r="H110" s="1501">
        <f t="shared" si="1"/>
        <v>0</v>
      </c>
    </row>
    <row r="111" spans="1:8" s="10" customFormat="1">
      <c r="A111" s="1574"/>
      <c r="B111" s="1271"/>
      <c r="C111" s="1575"/>
      <c r="D111" s="1580"/>
      <c r="E111" s="882"/>
      <c r="F111" s="1577"/>
      <c r="G111" s="1578"/>
      <c r="H111" s="1501" t="str">
        <f t="shared" si="1"/>
        <v/>
      </c>
    </row>
    <row r="112" spans="1:8" s="10" customFormat="1" ht="52.8">
      <c r="A112" s="1574">
        <f>$A$4</f>
        <v>14</v>
      </c>
      <c r="B112" s="2599">
        <v>10</v>
      </c>
      <c r="C112" s="147"/>
      <c r="D112" s="2241" t="s">
        <v>1784</v>
      </c>
      <c r="E112" s="1575"/>
      <c r="F112" s="893"/>
      <c r="G112" s="1578"/>
      <c r="H112" s="1501" t="str">
        <f t="shared" si="1"/>
        <v/>
      </c>
    </row>
    <row r="113" spans="1:8" s="10" customFormat="1">
      <c r="A113" s="1574"/>
      <c r="B113" s="1271"/>
      <c r="C113" s="1575"/>
      <c r="D113" s="2241"/>
      <c r="E113" s="882"/>
      <c r="F113" s="1577"/>
      <c r="G113" s="1578"/>
      <c r="H113" s="1501" t="str">
        <f t="shared" si="1"/>
        <v/>
      </c>
    </row>
    <row r="114" spans="1:8" s="10" customFormat="1">
      <c r="A114" s="1574">
        <f>$A$4</f>
        <v>14</v>
      </c>
      <c r="B114" s="1271">
        <v>10.1</v>
      </c>
      <c r="C114" s="1575"/>
      <c r="D114" s="1580" t="s">
        <v>1852</v>
      </c>
      <c r="E114" s="882" t="s">
        <v>273</v>
      </c>
      <c r="F114" s="1577">
        <v>5</v>
      </c>
      <c r="G114" s="1578"/>
      <c r="H114" s="1501">
        <f t="shared" si="1"/>
        <v>0</v>
      </c>
    </row>
    <row r="115" spans="1:8" s="10" customFormat="1">
      <c r="A115" s="1574"/>
      <c r="B115" s="1271"/>
      <c r="C115" s="1575"/>
      <c r="D115" s="2241"/>
      <c r="E115" s="882"/>
      <c r="F115" s="1577"/>
      <c r="G115" s="1578"/>
      <c r="H115" s="1501" t="str">
        <f t="shared" si="1"/>
        <v/>
      </c>
    </row>
    <row r="116" spans="1:8" s="10" customFormat="1">
      <c r="A116" s="1574">
        <f>$A$4</f>
        <v>14</v>
      </c>
      <c r="B116" s="1271">
        <v>10.199999999999999</v>
      </c>
      <c r="C116" s="1575"/>
      <c r="D116" s="1580" t="s">
        <v>1853</v>
      </c>
      <c r="E116" s="882" t="s">
        <v>691</v>
      </c>
      <c r="F116" s="1577">
        <v>5</v>
      </c>
      <c r="G116" s="1578"/>
      <c r="H116" s="1501">
        <f t="shared" si="1"/>
        <v>0</v>
      </c>
    </row>
    <row r="117" spans="1:8" s="471" customFormat="1">
      <c r="A117" s="2600"/>
      <c r="B117" s="1271"/>
      <c r="C117" s="2592"/>
      <c r="D117" s="2241"/>
      <c r="E117" s="892"/>
      <c r="F117" s="1585"/>
      <c r="G117" s="1581"/>
      <c r="H117" s="1501" t="str">
        <f t="shared" si="1"/>
        <v/>
      </c>
    </row>
    <row r="118" spans="1:8" s="471" customFormat="1">
      <c r="A118" s="1574">
        <f>$A$4</f>
        <v>14</v>
      </c>
      <c r="B118" s="1271">
        <v>10.3</v>
      </c>
      <c r="C118" s="2592"/>
      <c r="D118" s="1580" t="s">
        <v>1854</v>
      </c>
      <c r="E118" s="882" t="s">
        <v>691</v>
      </c>
      <c r="F118" s="1585">
        <v>5</v>
      </c>
      <c r="G118" s="1581"/>
      <c r="H118" s="1501">
        <f t="shared" si="1"/>
        <v>0</v>
      </c>
    </row>
    <row r="119" spans="1:8" s="471" customFormat="1">
      <c r="A119" s="2600"/>
      <c r="B119" s="1271"/>
      <c r="C119" s="2592"/>
      <c r="D119" s="2241"/>
      <c r="E119" s="882"/>
      <c r="F119" s="1577"/>
      <c r="G119" s="1581"/>
      <c r="H119" s="1501" t="str">
        <f t="shared" si="1"/>
        <v/>
      </c>
    </row>
    <row r="120" spans="1:8" s="471" customFormat="1">
      <c r="A120" s="1574">
        <f>$A$4</f>
        <v>14</v>
      </c>
      <c r="B120" s="1271">
        <v>10.4</v>
      </c>
      <c r="C120" s="2592"/>
      <c r="D120" s="1580" t="s">
        <v>1855</v>
      </c>
      <c r="E120" s="882" t="s">
        <v>691</v>
      </c>
      <c r="F120" s="1577">
        <v>10</v>
      </c>
      <c r="G120" s="1578"/>
      <c r="H120" s="1501">
        <f t="shared" si="1"/>
        <v>0</v>
      </c>
    </row>
    <row r="121" spans="1:8">
      <c r="A121" s="1791"/>
      <c r="B121" s="1271"/>
      <c r="C121" s="2592"/>
      <c r="D121" s="2241"/>
      <c r="E121" s="882"/>
      <c r="F121" s="1577"/>
      <c r="G121" s="1581"/>
      <c r="H121" s="1501" t="str">
        <f t="shared" si="1"/>
        <v/>
      </c>
    </row>
    <row r="122" spans="1:8">
      <c r="A122" s="1574">
        <f>$A$4</f>
        <v>14</v>
      </c>
      <c r="B122" s="1271">
        <v>10.5</v>
      </c>
      <c r="C122" s="2592"/>
      <c r="D122" s="1580" t="s">
        <v>1856</v>
      </c>
      <c r="E122" s="882" t="s">
        <v>691</v>
      </c>
      <c r="F122" s="1577">
        <v>5</v>
      </c>
      <c r="G122" s="1581"/>
      <c r="H122" s="1501">
        <f t="shared" si="1"/>
        <v>0</v>
      </c>
    </row>
    <row r="123" spans="1:8">
      <c r="A123" s="1791"/>
      <c r="B123" s="1271"/>
      <c r="C123" s="2592"/>
      <c r="D123" s="2241"/>
      <c r="E123" s="882"/>
      <c r="F123" s="1577"/>
      <c r="G123" s="1581"/>
      <c r="H123" s="1501" t="str">
        <f t="shared" si="1"/>
        <v/>
      </c>
    </row>
    <row r="124" spans="1:8">
      <c r="A124" s="1574">
        <f>$A$4</f>
        <v>14</v>
      </c>
      <c r="B124" s="1271">
        <v>10.6</v>
      </c>
      <c r="C124" s="2592"/>
      <c r="D124" s="1580" t="s">
        <v>1857</v>
      </c>
      <c r="E124" s="882" t="s">
        <v>691</v>
      </c>
      <c r="F124" s="1577">
        <v>5</v>
      </c>
      <c r="G124" s="1581"/>
      <c r="H124" s="1501">
        <f t="shared" si="1"/>
        <v>0</v>
      </c>
    </row>
    <row r="125" spans="1:8">
      <c r="A125" s="1791"/>
      <c r="B125" s="1271"/>
      <c r="C125" s="2592"/>
      <c r="D125" s="2241"/>
      <c r="E125" s="882"/>
      <c r="F125" s="1577"/>
      <c r="G125" s="1581"/>
      <c r="H125" s="1501" t="str">
        <f t="shared" si="1"/>
        <v/>
      </c>
    </row>
    <row r="126" spans="1:8">
      <c r="A126" s="1574">
        <f>$A$4</f>
        <v>14</v>
      </c>
      <c r="B126" s="1271">
        <v>10.7</v>
      </c>
      <c r="C126" s="2592"/>
      <c r="D126" s="1580" t="s">
        <v>1858</v>
      </c>
      <c r="E126" s="882" t="s">
        <v>691</v>
      </c>
      <c r="F126" s="1577">
        <v>5</v>
      </c>
      <c r="G126" s="1581"/>
      <c r="H126" s="1501">
        <f t="shared" si="1"/>
        <v>0</v>
      </c>
    </row>
    <row r="127" spans="1:8">
      <c r="A127" s="1791"/>
      <c r="B127" s="2601"/>
      <c r="C127" s="1554"/>
      <c r="D127" s="2358"/>
      <c r="E127" s="883"/>
      <c r="F127" s="2040"/>
      <c r="G127" s="2602"/>
      <c r="H127" s="1501" t="str">
        <f t="shared" si="1"/>
        <v/>
      </c>
    </row>
    <row r="128" spans="1:8">
      <c r="A128" s="1791"/>
      <c r="B128" s="2601"/>
      <c r="C128" s="1554"/>
      <c r="D128" s="2358"/>
      <c r="E128" s="883"/>
      <c r="F128" s="2040"/>
      <c r="G128" s="2602"/>
      <c r="H128" s="881"/>
    </row>
    <row r="129" spans="1:8">
      <c r="A129" s="1791"/>
      <c r="B129" s="2601"/>
      <c r="C129" s="1554"/>
      <c r="D129" s="2358"/>
      <c r="E129" s="883"/>
      <c r="F129" s="2040"/>
      <c r="G129" s="2602"/>
      <c r="H129" s="881"/>
    </row>
    <row r="130" spans="1:8">
      <c r="A130" s="1791"/>
      <c r="B130" s="2601"/>
      <c r="C130" s="1554"/>
      <c r="D130" s="2358"/>
      <c r="E130" s="883"/>
      <c r="F130" s="2040"/>
      <c r="G130" s="2602"/>
      <c r="H130" s="881"/>
    </row>
    <row r="131" spans="1:8">
      <c r="A131" s="1791"/>
      <c r="B131" s="2601"/>
      <c r="C131" s="1554"/>
      <c r="D131" s="2358"/>
      <c r="E131" s="883"/>
      <c r="F131" s="2040"/>
      <c r="G131" s="2602"/>
      <c r="H131" s="881"/>
    </row>
    <row r="132" spans="1:8">
      <c r="A132" s="1791"/>
      <c r="B132" s="2601"/>
      <c r="C132" s="1554"/>
      <c r="D132" s="2358"/>
      <c r="E132" s="883"/>
      <c r="F132" s="2040"/>
      <c r="G132" s="2602"/>
      <c r="H132" s="881"/>
    </row>
    <row r="133" spans="1:8">
      <c r="A133" s="1791"/>
      <c r="B133" s="2601"/>
      <c r="C133" s="1554"/>
      <c r="D133" s="2358"/>
      <c r="E133" s="883"/>
      <c r="F133" s="2040"/>
      <c r="G133" s="2602"/>
      <c r="H133" s="881"/>
    </row>
    <row r="134" spans="1:8">
      <c r="A134" s="1791"/>
      <c r="B134" s="2601"/>
      <c r="C134" s="1554"/>
      <c r="D134" s="2358"/>
      <c r="E134" s="883"/>
      <c r="F134" s="2040"/>
      <c r="G134" s="2602"/>
      <c r="H134" s="881"/>
    </row>
    <row r="135" spans="1:8">
      <c r="A135" s="1791"/>
      <c r="B135" s="2601"/>
      <c r="C135" s="1554"/>
      <c r="D135" s="2358"/>
      <c r="E135" s="883"/>
      <c r="F135" s="2040"/>
      <c r="G135" s="2602"/>
      <c r="H135" s="881"/>
    </row>
    <row r="136" spans="1:8">
      <c r="A136" s="1791"/>
      <c r="B136" s="2601"/>
      <c r="C136" s="1554"/>
      <c r="D136" s="2358"/>
      <c r="E136" s="883"/>
      <c r="F136" s="2040"/>
      <c r="G136" s="2602"/>
      <c r="H136" s="881"/>
    </row>
    <row r="137" spans="1:8">
      <c r="A137" s="1791"/>
      <c r="B137" s="2601"/>
      <c r="C137" s="1554"/>
      <c r="D137" s="2358"/>
      <c r="E137" s="883"/>
      <c r="F137" s="2040"/>
      <c r="G137" s="2602"/>
      <c r="H137" s="881"/>
    </row>
    <row r="138" spans="1:8">
      <c r="A138" s="1791"/>
      <c r="B138" s="2601"/>
      <c r="C138" s="1554"/>
      <c r="D138" s="2358"/>
      <c r="E138" s="883"/>
      <c r="F138" s="2040"/>
      <c r="G138" s="2602"/>
      <c r="H138" s="881"/>
    </row>
    <row r="139" spans="1:8">
      <c r="A139" s="1791"/>
      <c r="B139" s="2601"/>
      <c r="C139" s="1554"/>
      <c r="D139" s="2358"/>
      <c r="E139" s="883"/>
      <c r="F139" s="2040"/>
      <c r="G139" s="2602"/>
      <c r="H139" s="881"/>
    </row>
    <row r="140" spans="1:8">
      <c r="A140" s="1791"/>
      <c r="B140" s="2601"/>
      <c r="C140" s="1554"/>
      <c r="D140" s="2358"/>
      <c r="E140" s="883"/>
      <c r="F140" s="2040"/>
      <c r="G140" s="2602"/>
      <c r="H140" s="881"/>
    </row>
    <row r="141" spans="1:8">
      <c r="A141" s="1791"/>
      <c r="B141" s="2601"/>
      <c r="C141" s="1554"/>
      <c r="D141" s="2358"/>
      <c r="E141" s="883"/>
      <c r="F141" s="2040"/>
      <c r="G141" s="2602"/>
      <c r="H141" s="881"/>
    </row>
    <row r="142" spans="1:8">
      <c r="A142" s="1791"/>
      <c r="B142" s="2601"/>
      <c r="C142" s="1554"/>
      <c r="D142" s="2358"/>
      <c r="E142" s="883"/>
      <c r="F142" s="2040"/>
      <c r="G142" s="2602"/>
      <c r="H142" s="881"/>
    </row>
    <row r="143" spans="1:8">
      <c r="A143" s="1791"/>
      <c r="B143" s="2601"/>
      <c r="C143" s="1554"/>
      <c r="D143" s="2358"/>
      <c r="E143" s="2041"/>
      <c r="F143" s="2603"/>
      <c r="G143" s="2602"/>
      <c r="H143" s="887"/>
    </row>
    <row r="144" spans="1:8">
      <c r="A144" s="1791"/>
      <c r="B144" s="2601"/>
      <c r="C144" s="1550"/>
      <c r="D144" s="2061"/>
      <c r="E144" s="2041"/>
      <c r="F144" s="2040"/>
      <c r="G144" s="1466"/>
      <c r="H144" s="2604"/>
    </row>
    <row r="145" spans="1:8">
      <c r="A145" s="1791"/>
      <c r="B145" s="2601"/>
      <c r="C145" s="1550"/>
      <c r="D145" s="2061"/>
      <c r="E145" s="2041"/>
      <c r="F145" s="2040"/>
      <c r="G145" s="1466"/>
      <c r="H145" s="2604"/>
    </row>
    <row r="146" spans="1:8">
      <c r="A146" s="1791"/>
      <c r="B146" s="2601"/>
      <c r="C146" s="1554"/>
      <c r="D146" s="2605"/>
      <c r="E146" s="2606"/>
      <c r="F146" s="2603"/>
      <c r="G146" s="1467"/>
      <c r="H146" s="2607"/>
    </row>
    <row r="147" spans="1:8">
      <c r="A147" s="1791"/>
      <c r="B147" s="2601"/>
      <c r="C147" s="1554"/>
      <c r="D147" s="2358"/>
      <c r="E147" s="2041"/>
      <c r="F147" s="2040"/>
      <c r="G147" s="1466"/>
      <c r="H147" s="2604"/>
    </row>
    <row r="148" spans="1:8">
      <c r="A148" s="1791"/>
      <c r="B148" s="585"/>
      <c r="C148" s="1554"/>
      <c r="D148" s="2358"/>
      <c r="E148" s="1550"/>
      <c r="F148" s="2603"/>
      <c r="G148" s="1466"/>
      <c r="H148" s="2604"/>
    </row>
    <row r="149" spans="1:8">
      <c r="A149" s="1754"/>
      <c r="B149" s="428"/>
      <c r="C149" s="502"/>
      <c r="D149" s="429"/>
      <c r="E149" s="428"/>
      <c r="F149" s="432"/>
      <c r="G149" s="564"/>
      <c r="H149" s="2608"/>
    </row>
    <row r="150" spans="1:8">
      <c r="A150" s="2380"/>
      <c r="B150" s="316"/>
      <c r="C150" s="490"/>
      <c r="D150" s="491" t="s">
        <v>1859</v>
      </c>
      <c r="E150" s="316"/>
      <c r="F150" s="492"/>
      <c r="G150" s="565"/>
      <c r="H150" s="2500">
        <f>SUM(H74:H148)</f>
        <v>4525550</v>
      </c>
    </row>
    <row r="151" spans="1:8">
      <c r="G151" s="347"/>
    </row>
    <row r="152" spans="1:8">
      <c r="H152" s="835"/>
    </row>
  </sheetData>
  <sheetProtection algorithmName="SHA-512" hashValue="nUlOz77hXFE8XojeB/TtkwBaRYUZN7hXQt4ECYQFFZEw7t9+ydqNZtLKluJCJ6Iem0IXhuW+Wih/S58CuKd5dQ==" saltValue="VJZGb2kIo9Eq7dScEJDASA==" spinCount="100000" sheet="1" objects="1" scenarios="1"/>
  <mergeCells count="1">
    <mergeCell ref="A1:H1"/>
  </mergeCells>
  <phoneticPr fontId="33" type="noConversion"/>
  <pageMargins left="0.59055118110236227" right="0.59055118110236227" top="1.1023622047244095" bottom="0.78740157480314965" header="0.27559055118110237" footer="0.27559055118110237"/>
  <pageSetup paperSize="9" scale="62" firstPageNumber="97" fitToHeight="0" orientation="portrait" useFirstPageNumber="1" r:id="rId1"/>
  <headerFooter alignWithMargins="0">
    <oddHeader>&amp;L&amp;G&amp;CContract JW 14425
Bushkoppie Wastewater Treatment Works:
Infrastructure Renewal Plan
Volume 1 
C 2.2 Bill of Quantities&amp;R&amp;G</oddHeader>
    <oddFooter>&amp;C&amp;12
&amp;G
C.&amp;P</oddFooter>
  </headerFooter>
  <rowBreaks count="1" manualBreakCount="1">
    <brk id="73" max="1638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F8B1-23A1-4A82-A29A-D99A3836F5A5}">
  <sheetPr>
    <pageSetUpPr fitToPage="1"/>
  </sheetPr>
  <dimension ref="A1:H145"/>
  <sheetViews>
    <sheetView view="pageBreakPreview" zoomScaleNormal="100" zoomScaleSheetLayoutView="100" workbookViewId="0">
      <selection activeCell="G6" sqref="G6"/>
    </sheetView>
  </sheetViews>
  <sheetFormatPr defaultColWidth="6.109375" defaultRowHeight="13.2"/>
  <cols>
    <col min="1" max="1" width="9.109375" style="335" customWidth="1"/>
    <col min="2" max="2" width="8.88671875" style="335" customWidth="1"/>
    <col min="3" max="3" width="9.88671875" style="31" customWidth="1"/>
    <col min="4" max="4" width="58.88671875" style="31" customWidth="1"/>
    <col min="5" max="5" width="10.33203125" style="32" customWidth="1"/>
    <col min="6" max="6" width="10.88671875" style="337" customWidth="1"/>
    <col min="7" max="7" width="14.88671875" style="213" customWidth="1"/>
    <col min="8" max="8" width="20.88671875" style="834" customWidth="1"/>
    <col min="9" max="11" width="6.109375" style="31" customWidth="1"/>
    <col min="12" max="12" width="8" style="31" customWidth="1"/>
    <col min="13" max="16384" width="6.109375" style="31"/>
  </cols>
  <sheetData>
    <row r="1" spans="1:8" s="329" customFormat="1" ht="15">
      <c r="A1" s="3036" t="s">
        <v>1860</v>
      </c>
      <c r="B1" s="3036"/>
      <c r="C1" s="3036"/>
      <c r="D1" s="3036"/>
      <c r="E1" s="3036"/>
      <c r="F1" s="3036"/>
      <c r="G1" s="3036"/>
      <c r="H1" s="3036"/>
    </row>
    <row r="2" spans="1:8" s="1" customFormat="1" ht="25.5" customHeight="1">
      <c r="A2" s="488" t="s">
        <v>541</v>
      </c>
      <c r="B2" s="452" t="s">
        <v>217</v>
      </c>
      <c r="C2" s="453" t="s">
        <v>218</v>
      </c>
      <c r="D2" s="417" t="s">
        <v>219</v>
      </c>
      <c r="E2" s="414" t="s">
        <v>220</v>
      </c>
      <c r="F2" s="415" t="s">
        <v>221</v>
      </c>
      <c r="G2" s="416" t="s">
        <v>222</v>
      </c>
      <c r="H2" s="525" t="s">
        <v>223</v>
      </c>
    </row>
    <row r="3" spans="1:8">
      <c r="A3" s="1791"/>
      <c r="B3" s="1667"/>
      <c r="C3" s="2029"/>
      <c r="D3" s="2030"/>
      <c r="E3" s="1669"/>
      <c r="F3" s="1816"/>
      <c r="G3" s="1813"/>
      <c r="H3" s="881"/>
    </row>
    <row r="4" spans="1:8" s="513" customFormat="1" ht="27.6">
      <c r="A4" s="2609">
        <v>15</v>
      </c>
      <c r="B4" s="2578"/>
      <c r="C4" s="2579" t="s">
        <v>1815</v>
      </c>
      <c r="D4" s="2594" t="s">
        <v>1861</v>
      </c>
      <c r="E4" s="888"/>
      <c r="F4" s="2581"/>
      <c r="G4" s="2582"/>
      <c r="H4" s="889"/>
    </row>
    <row r="5" spans="1:8" s="10" customFormat="1">
      <c r="A5" s="1574"/>
      <c r="B5" s="1271"/>
      <c r="C5" s="1575"/>
      <c r="D5" s="2240"/>
      <c r="E5" s="882"/>
      <c r="F5" s="1577"/>
      <c r="G5" s="1578"/>
      <c r="H5" s="891"/>
    </row>
    <row r="6" spans="1:8" s="10" customFormat="1" ht="26.4">
      <c r="A6" s="1574"/>
      <c r="B6" s="1271"/>
      <c r="C6" s="1575"/>
      <c r="D6" s="2241" t="s">
        <v>1697</v>
      </c>
      <c r="E6" s="882"/>
      <c r="F6" s="1577"/>
      <c r="G6" s="1578"/>
      <c r="H6" s="891"/>
    </row>
    <row r="7" spans="1:8" s="10" customFormat="1">
      <c r="A7" s="1574"/>
      <c r="B7" s="1271"/>
      <c r="C7" s="1575"/>
      <c r="D7" s="2240"/>
      <c r="E7" s="882"/>
      <c r="F7" s="1577"/>
      <c r="G7" s="1578"/>
      <c r="H7" s="891"/>
    </row>
    <row r="8" spans="1:8" s="10" customFormat="1" ht="26.4">
      <c r="A8" s="2577">
        <f>$A$4</f>
        <v>15</v>
      </c>
      <c r="B8" s="1888">
        <v>1</v>
      </c>
      <c r="C8" s="1575"/>
      <c r="D8" s="2241" t="s">
        <v>1034</v>
      </c>
      <c r="E8" s="882"/>
      <c r="F8" s="1577"/>
      <c r="G8" s="1578"/>
      <c r="H8" s="891"/>
    </row>
    <row r="9" spans="1:8" s="10" customFormat="1">
      <c r="A9" s="1574"/>
      <c r="B9" s="1271"/>
      <c r="C9" s="1575"/>
      <c r="D9" s="2240"/>
      <c r="E9" s="882"/>
      <c r="F9" s="1577"/>
      <c r="G9" s="1578"/>
      <c r="H9" s="891"/>
    </row>
    <row r="10" spans="1:8" s="10" customFormat="1" ht="26.4">
      <c r="A10" s="1574">
        <f>$A$4</f>
        <v>15</v>
      </c>
      <c r="B10" s="1271">
        <v>1.1000000000000001</v>
      </c>
      <c r="C10" s="1575" t="s">
        <v>1817</v>
      </c>
      <c r="D10" s="1580" t="s">
        <v>1862</v>
      </c>
      <c r="E10" s="882" t="s">
        <v>954</v>
      </c>
      <c r="F10" s="1577">
        <v>2</v>
      </c>
      <c r="G10" s="1578"/>
      <c r="H10" s="1501">
        <f t="shared" ref="H10:H66" si="0">IF(E10="","",ROUND(F10*G10,2))</f>
        <v>0</v>
      </c>
    </row>
    <row r="11" spans="1:8" s="10" customFormat="1">
      <c r="A11" s="1574"/>
      <c r="B11" s="1271"/>
      <c r="C11" s="1575"/>
      <c r="D11" s="2240"/>
      <c r="E11" s="882"/>
      <c r="F11" s="1577"/>
      <c r="G11" s="1578"/>
      <c r="H11" s="1501" t="str">
        <f t="shared" si="0"/>
        <v/>
      </c>
    </row>
    <row r="12" spans="1:8" s="10" customFormat="1">
      <c r="A12" s="1574">
        <f>$A$4</f>
        <v>15</v>
      </c>
      <c r="B12" s="1271">
        <v>1.2</v>
      </c>
      <c r="C12" s="1575"/>
      <c r="D12" s="1580" t="s">
        <v>1863</v>
      </c>
      <c r="E12" s="882" t="s">
        <v>954</v>
      </c>
      <c r="F12" s="1577">
        <v>3</v>
      </c>
      <c r="G12" s="1578"/>
      <c r="H12" s="1501">
        <f t="shared" si="0"/>
        <v>0</v>
      </c>
    </row>
    <row r="13" spans="1:8" s="10" customFormat="1">
      <c r="A13" s="1574"/>
      <c r="B13" s="1271"/>
      <c r="C13" s="1575"/>
      <c r="D13" s="1580"/>
      <c r="E13" s="882"/>
      <c r="F13" s="1577"/>
      <c r="G13" s="1578"/>
      <c r="H13" s="1501" t="str">
        <f t="shared" si="0"/>
        <v/>
      </c>
    </row>
    <row r="14" spans="1:8" s="10" customFormat="1" ht="26.4">
      <c r="A14" s="2577">
        <f>$A$4</f>
        <v>15</v>
      </c>
      <c r="B14" s="1888">
        <v>2</v>
      </c>
      <c r="C14" s="1575"/>
      <c r="D14" s="2241" t="s">
        <v>1703</v>
      </c>
      <c r="E14" s="882"/>
      <c r="F14" s="1577"/>
      <c r="G14" s="1578"/>
      <c r="H14" s="1501" t="str">
        <f t="shared" si="0"/>
        <v/>
      </c>
    </row>
    <row r="15" spans="1:8" s="10" customFormat="1">
      <c r="A15" s="1574"/>
      <c r="B15" s="1271"/>
      <c r="C15" s="1575"/>
      <c r="D15" s="1580"/>
      <c r="E15" s="882"/>
      <c r="F15" s="1577"/>
      <c r="G15" s="1578"/>
      <c r="H15" s="1501" t="str">
        <f t="shared" si="0"/>
        <v/>
      </c>
    </row>
    <row r="16" spans="1:8" s="10" customFormat="1">
      <c r="A16" s="1574"/>
      <c r="B16" s="1271"/>
      <c r="C16" s="1575"/>
      <c r="D16" s="1580" t="s">
        <v>1864</v>
      </c>
      <c r="E16" s="882"/>
      <c r="F16" s="1577"/>
      <c r="G16" s="1578"/>
      <c r="H16" s="1501" t="str">
        <f t="shared" si="0"/>
        <v/>
      </c>
    </row>
    <row r="17" spans="1:8" s="10" customFormat="1">
      <c r="A17" s="1574"/>
      <c r="B17" s="1271"/>
      <c r="C17" s="1575"/>
      <c r="D17" s="1580"/>
      <c r="E17" s="882"/>
      <c r="F17" s="1577"/>
      <c r="G17" s="1578"/>
      <c r="H17" s="1501" t="str">
        <f t="shared" si="0"/>
        <v/>
      </c>
    </row>
    <row r="18" spans="1:8" s="10" customFormat="1" ht="26.4">
      <c r="A18" s="1574">
        <f>$A$4</f>
        <v>15</v>
      </c>
      <c r="B18" s="1271">
        <v>2.1</v>
      </c>
      <c r="C18" s="1575"/>
      <c r="D18" s="1580" t="s">
        <v>1865</v>
      </c>
      <c r="E18" s="882" t="s">
        <v>393</v>
      </c>
      <c r="F18" s="1577">
        <v>1</v>
      </c>
      <c r="G18" s="1578"/>
      <c r="H18" s="1501">
        <f t="shared" si="0"/>
        <v>0</v>
      </c>
    </row>
    <row r="19" spans="1:8" s="10" customFormat="1">
      <c r="A19" s="1574"/>
      <c r="B19" s="1271"/>
      <c r="C19" s="1575"/>
      <c r="D19" s="1580"/>
      <c r="E19" s="882"/>
      <c r="F19" s="1577"/>
      <c r="G19" s="1578"/>
      <c r="H19" s="1501" t="str">
        <f t="shared" si="0"/>
        <v/>
      </c>
    </row>
    <row r="20" spans="1:8" s="10" customFormat="1">
      <c r="A20" s="1574">
        <f>$A$4</f>
        <v>15</v>
      </c>
      <c r="B20" s="1271">
        <v>2.2000000000000002</v>
      </c>
      <c r="C20" s="1575"/>
      <c r="D20" s="1580" t="s">
        <v>1863</v>
      </c>
      <c r="E20" s="882" t="s">
        <v>393</v>
      </c>
      <c r="F20" s="1577">
        <v>1</v>
      </c>
      <c r="G20" s="1578"/>
      <c r="H20" s="1501">
        <f t="shared" si="0"/>
        <v>0</v>
      </c>
    </row>
    <row r="21" spans="1:8" s="10" customFormat="1">
      <c r="A21" s="1574"/>
      <c r="B21" s="1271"/>
      <c r="C21" s="1575"/>
      <c r="D21" s="1580"/>
      <c r="E21" s="882"/>
      <c r="F21" s="1577"/>
      <c r="G21" s="1578"/>
      <c r="H21" s="1501" t="str">
        <f t="shared" si="0"/>
        <v/>
      </c>
    </row>
    <row r="22" spans="1:8" s="10" customFormat="1">
      <c r="A22" s="2577">
        <f>$A$4</f>
        <v>15</v>
      </c>
      <c r="B22" s="1888">
        <v>3</v>
      </c>
      <c r="C22" s="1575"/>
      <c r="D22" s="2241" t="s">
        <v>1039</v>
      </c>
      <c r="E22" s="882"/>
      <c r="F22" s="1577"/>
      <c r="G22" s="1578"/>
      <c r="H22" s="1501" t="str">
        <f t="shared" si="0"/>
        <v/>
      </c>
    </row>
    <row r="23" spans="1:8" s="10" customFormat="1">
      <c r="A23" s="1574"/>
      <c r="B23" s="1271"/>
      <c r="C23" s="1575"/>
      <c r="D23" s="1580"/>
      <c r="E23" s="882"/>
      <c r="F23" s="1577"/>
      <c r="G23" s="1578"/>
      <c r="H23" s="1501" t="str">
        <f t="shared" si="0"/>
        <v/>
      </c>
    </row>
    <row r="24" spans="1:8" s="10" customFormat="1" ht="26.4">
      <c r="A24" s="1574">
        <f>$A$4</f>
        <v>15</v>
      </c>
      <c r="B24" s="1271">
        <v>3.1</v>
      </c>
      <c r="C24" s="1575"/>
      <c r="D24" s="1580" t="s">
        <v>1866</v>
      </c>
      <c r="E24" s="882" t="s">
        <v>529</v>
      </c>
      <c r="F24" s="1577">
        <v>1</v>
      </c>
      <c r="G24" s="2281">
        <v>100000</v>
      </c>
      <c r="H24" s="1501">
        <f t="shared" si="0"/>
        <v>100000</v>
      </c>
    </row>
    <row r="25" spans="1:8" s="10" customFormat="1">
      <c r="A25" s="1574"/>
      <c r="B25" s="1271"/>
      <c r="C25" s="1575"/>
      <c r="D25" s="2240"/>
      <c r="E25" s="882"/>
      <c r="F25" s="1577"/>
      <c r="G25" s="1578"/>
      <c r="H25" s="1501" t="str">
        <f t="shared" si="0"/>
        <v/>
      </c>
    </row>
    <row r="26" spans="1:8" s="10" customFormat="1">
      <c r="A26" s="1574">
        <f>$A$4</f>
        <v>15</v>
      </c>
      <c r="B26" s="1271">
        <v>3.2</v>
      </c>
      <c r="C26" s="1575"/>
      <c r="D26" s="1580" t="s">
        <v>1824</v>
      </c>
      <c r="E26" s="882" t="s">
        <v>954</v>
      </c>
      <c r="F26" s="1577">
        <v>2</v>
      </c>
      <c r="G26" s="1578"/>
      <c r="H26" s="1501">
        <f t="shared" si="0"/>
        <v>0</v>
      </c>
    </row>
    <row r="27" spans="1:8" s="10" customFormat="1">
      <c r="A27" s="1574"/>
      <c r="B27" s="1271"/>
      <c r="C27" s="1575"/>
      <c r="D27" s="2240"/>
      <c r="E27" s="882"/>
      <c r="F27" s="1577"/>
      <c r="G27" s="1578"/>
      <c r="H27" s="1501" t="str">
        <f t="shared" si="0"/>
        <v/>
      </c>
    </row>
    <row r="28" spans="1:8" s="10" customFormat="1">
      <c r="A28" s="1574">
        <f>$A$4</f>
        <v>15</v>
      </c>
      <c r="B28" s="1271">
        <v>3.3</v>
      </c>
      <c r="C28" s="1575"/>
      <c r="D28" s="1580" t="s">
        <v>1863</v>
      </c>
      <c r="E28" s="882" t="s">
        <v>954</v>
      </c>
      <c r="F28" s="1577">
        <v>3</v>
      </c>
      <c r="G28" s="1578"/>
      <c r="H28" s="1501">
        <f t="shared" si="0"/>
        <v>0</v>
      </c>
    </row>
    <row r="29" spans="1:8" s="10" customFormat="1">
      <c r="A29" s="1574"/>
      <c r="B29" s="1271"/>
      <c r="C29" s="1575"/>
      <c r="D29" s="1580"/>
      <c r="E29" s="882"/>
      <c r="F29" s="1577"/>
      <c r="G29" s="1578"/>
      <c r="H29" s="1501" t="str">
        <f t="shared" si="0"/>
        <v/>
      </c>
    </row>
    <row r="30" spans="1:8" s="10" customFormat="1" ht="13.5" customHeight="1">
      <c r="A30" s="1574">
        <f>$A$4</f>
        <v>15</v>
      </c>
      <c r="B30" s="1271">
        <v>3.4</v>
      </c>
      <c r="C30" s="1575"/>
      <c r="D30" s="694" t="s">
        <v>567</v>
      </c>
      <c r="E30" s="1818" t="s">
        <v>529</v>
      </c>
      <c r="F30" s="1577">
        <v>1</v>
      </c>
      <c r="G30" s="2281">
        <v>1250000</v>
      </c>
      <c r="H30" s="1501">
        <f t="shared" si="0"/>
        <v>1250000</v>
      </c>
    </row>
    <row r="31" spans="1:8" s="10" customFormat="1">
      <c r="A31" s="1574"/>
      <c r="B31" s="1271"/>
      <c r="C31" s="1575"/>
      <c r="D31" s="1580"/>
      <c r="E31" s="882"/>
      <c r="F31" s="1577"/>
      <c r="G31" s="1578"/>
      <c r="H31" s="1501" t="str">
        <f t="shared" si="0"/>
        <v/>
      </c>
    </row>
    <row r="32" spans="1:8" s="10" customFormat="1" ht="26.4">
      <c r="A32" s="2577">
        <f>$A$4</f>
        <v>15</v>
      </c>
      <c r="B32" s="1888">
        <v>4</v>
      </c>
      <c r="C32" s="1575"/>
      <c r="D32" s="2241" t="s">
        <v>1040</v>
      </c>
      <c r="E32" s="882"/>
      <c r="F32" s="1577"/>
      <c r="G32" s="1578"/>
      <c r="H32" s="1501" t="str">
        <f t="shared" si="0"/>
        <v/>
      </c>
    </row>
    <row r="33" spans="1:8" s="10" customFormat="1">
      <c r="A33" s="1574"/>
      <c r="B33" s="1271"/>
      <c r="C33" s="1575"/>
      <c r="D33" s="2240"/>
      <c r="E33" s="882"/>
      <c r="F33" s="1577"/>
      <c r="G33" s="1578"/>
      <c r="H33" s="1501" t="str">
        <f t="shared" si="0"/>
        <v/>
      </c>
    </row>
    <row r="34" spans="1:8" s="10" customFormat="1" ht="26.4">
      <c r="A34" s="1574">
        <f>$A$4</f>
        <v>15</v>
      </c>
      <c r="B34" s="1271">
        <v>4.0999999999999996</v>
      </c>
      <c r="C34" s="1575"/>
      <c r="D34" s="1580" t="s">
        <v>1867</v>
      </c>
      <c r="E34" s="882" t="s">
        <v>954</v>
      </c>
      <c r="F34" s="1577">
        <v>2</v>
      </c>
      <c r="G34" s="1578"/>
      <c r="H34" s="1501">
        <f t="shared" si="0"/>
        <v>0</v>
      </c>
    </row>
    <row r="35" spans="1:8" s="10" customFormat="1">
      <c r="A35" s="1574"/>
      <c r="B35" s="1271"/>
      <c r="C35" s="1575"/>
      <c r="D35" s="2240"/>
      <c r="E35" s="882"/>
      <c r="F35" s="1577"/>
      <c r="G35" s="1578"/>
      <c r="H35" s="1501" t="str">
        <f t="shared" si="0"/>
        <v/>
      </c>
    </row>
    <row r="36" spans="1:8" s="10" customFormat="1">
      <c r="A36" s="1574">
        <f>$A$4</f>
        <v>15</v>
      </c>
      <c r="B36" s="1271">
        <v>4.2</v>
      </c>
      <c r="C36" s="1575"/>
      <c r="D36" s="1580" t="s">
        <v>1863</v>
      </c>
      <c r="E36" s="882" t="s">
        <v>954</v>
      </c>
      <c r="F36" s="1577">
        <v>3</v>
      </c>
      <c r="G36" s="1578"/>
      <c r="H36" s="1501">
        <f t="shared" si="0"/>
        <v>0</v>
      </c>
    </row>
    <row r="37" spans="1:8" s="10" customFormat="1">
      <c r="A37" s="1574"/>
      <c r="B37" s="1271"/>
      <c r="C37" s="1575"/>
      <c r="D37" s="1580"/>
      <c r="E37" s="882"/>
      <c r="F37" s="1577"/>
      <c r="G37" s="1578"/>
      <c r="H37" s="1501" t="str">
        <f t="shared" si="0"/>
        <v/>
      </c>
    </row>
    <row r="38" spans="1:8" s="10" customFormat="1" ht="26.4">
      <c r="A38" s="2577">
        <f>$A$4</f>
        <v>15</v>
      </c>
      <c r="B38" s="1888">
        <v>5</v>
      </c>
      <c r="C38" s="1575"/>
      <c r="D38" s="2241" t="s">
        <v>1708</v>
      </c>
      <c r="E38" s="882"/>
      <c r="F38" s="1577"/>
      <c r="G38" s="1578"/>
      <c r="H38" s="1501" t="str">
        <f t="shared" si="0"/>
        <v/>
      </c>
    </row>
    <row r="39" spans="1:8" s="10" customFormat="1">
      <c r="A39" s="1574"/>
      <c r="B39" s="1271"/>
      <c r="C39" s="1575"/>
      <c r="D39" s="1580"/>
      <c r="E39" s="882"/>
      <c r="F39" s="1577"/>
      <c r="G39" s="1578"/>
      <c r="H39" s="1501" t="str">
        <f t="shared" si="0"/>
        <v/>
      </c>
    </row>
    <row r="40" spans="1:8" s="10" customFormat="1">
      <c r="A40" s="1574">
        <f>$A$4</f>
        <v>15</v>
      </c>
      <c r="B40" s="1271">
        <v>5.0999999999999996</v>
      </c>
      <c r="C40" s="1575"/>
      <c r="D40" s="1580" t="s">
        <v>1868</v>
      </c>
      <c r="E40" s="882" t="s">
        <v>954</v>
      </c>
      <c r="F40" s="1577">
        <v>2</v>
      </c>
      <c r="G40" s="1578"/>
      <c r="H40" s="1501">
        <f t="shared" si="0"/>
        <v>0</v>
      </c>
    </row>
    <row r="41" spans="1:8" s="10" customFormat="1">
      <c r="A41" s="1574"/>
      <c r="B41" s="1271"/>
      <c r="C41" s="1575"/>
      <c r="D41" s="2240"/>
      <c r="E41" s="882"/>
      <c r="F41" s="1577"/>
      <c r="G41" s="1578"/>
      <c r="H41" s="1501" t="str">
        <f t="shared" si="0"/>
        <v/>
      </c>
    </row>
    <row r="42" spans="1:8" s="10" customFormat="1">
      <c r="A42" s="1574">
        <f>$A$4</f>
        <v>15</v>
      </c>
      <c r="B42" s="1271">
        <v>5.2</v>
      </c>
      <c r="C42" s="1575"/>
      <c r="D42" s="1580" t="s">
        <v>1869</v>
      </c>
      <c r="E42" s="882" t="s">
        <v>954</v>
      </c>
      <c r="F42" s="1577">
        <v>2</v>
      </c>
      <c r="G42" s="1578"/>
      <c r="H42" s="1501">
        <f t="shared" si="0"/>
        <v>0</v>
      </c>
    </row>
    <row r="43" spans="1:8" s="10" customFormat="1">
      <c r="A43" s="1574"/>
      <c r="B43" s="1271"/>
      <c r="C43" s="1575"/>
      <c r="D43" s="2240"/>
      <c r="E43" s="882"/>
      <c r="F43" s="1577"/>
      <c r="G43" s="1578"/>
      <c r="H43" s="1501" t="str">
        <f t="shared" si="0"/>
        <v/>
      </c>
    </row>
    <row r="44" spans="1:8" s="10" customFormat="1">
      <c r="A44" s="1574">
        <f>$A$4</f>
        <v>15</v>
      </c>
      <c r="B44" s="1271">
        <v>5.3</v>
      </c>
      <c r="C44" s="1575"/>
      <c r="D44" s="1580" t="s">
        <v>1828</v>
      </c>
      <c r="E44" s="882" t="s">
        <v>954</v>
      </c>
      <c r="F44" s="1577">
        <v>2</v>
      </c>
      <c r="G44" s="1578"/>
      <c r="H44" s="1501">
        <f t="shared" si="0"/>
        <v>0</v>
      </c>
    </row>
    <row r="45" spans="1:8" s="10" customFormat="1">
      <c r="A45" s="1574"/>
      <c r="B45" s="1271"/>
      <c r="C45" s="1575"/>
      <c r="D45" s="2240"/>
      <c r="E45" s="882"/>
      <c r="F45" s="1577"/>
      <c r="G45" s="1578"/>
      <c r="H45" s="1501" t="str">
        <f t="shared" si="0"/>
        <v/>
      </c>
    </row>
    <row r="46" spans="1:8" s="10" customFormat="1">
      <c r="A46" s="1574">
        <f>$A$4</f>
        <v>15</v>
      </c>
      <c r="B46" s="1271">
        <v>5.4</v>
      </c>
      <c r="C46" s="1575"/>
      <c r="D46" s="1580" t="s">
        <v>1819</v>
      </c>
      <c r="E46" s="882" t="s">
        <v>954</v>
      </c>
      <c r="F46" s="1577">
        <v>2</v>
      </c>
      <c r="G46" s="1578"/>
      <c r="H46" s="1501">
        <f t="shared" si="0"/>
        <v>0</v>
      </c>
    </row>
    <row r="47" spans="1:8" s="10" customFormat="1">
      <c r="A47" s="1574"/>
      <c r="B47" s="1271"/>
      <c r="C47" s="1575"/>
      <c r="D47" s="2240"/>
      <c r="E47" s="882"/>
      <c r="F47" s="1577"/>
      <c r="G47" s="1578"/>
      <c r="H47" s="1501" t="str">
        <f t="shared" si="0"/>
        <v/>
      </c>
    </row>
    <row r="48" spans="1:8" s="10" customFormat="1">
      <c r="A48" s="1574">
        <f t="shared" ref="A48" si="1">$A$4</f>
        <v>15</v>
      </c>
      <c r="B48" s="1271">
        <v>5.5</v>
      </c>
      <c r="C48" s="1575"/>
      <c r="D48" s="1580" t="s">
        <v>1863</v>
      </c>
      <c r="E48" s="882" t="s">
        <v>954</v>
      </c>
      <c r="F48" s="1577">
        <v>3</v>
      </c>
      <c r="G48" s="1578"/>
      <c r="H48" s="1501">
        <f t="shared" si="0"/>
        <v>0</v>
      </c>
    </row>
    <row r="49" spans="1:8" s="10" customFormat="1">
      <c r="A49" s="1574"/>
      <c r="B49" s="1271"/>
      <c r="C49" s="1575"/>
      <c r="D49" s="1580"/>
      <c r="E49" s="882"/>
      <c r="F49" s="1577"/>
      <c r="G49" s="1578"/>
      <c r="H49" s="1501" t="str">
        <f t="shared" si="0"/>
        <v/>
      </c>
    </row>
    <row r="50" spans="1:8" s="10" customFormat="1" ht="26.4">
      <c r="A50" s="1574"/>
      <c r="B50" s="1271"/>
      <c r="C50" s="1575"/>
      <c r="D50" s="2241" t="s">
        <v>1714</v>
      </c>
      <c r="E50" s="882"/>
      <c r="F50" s="1577"/>
      <c r="G50" s="1578"/>
      <c r="H50" s="1501" t="str">
        <f t="shared" si="0"/>
        <v/>
      </c>
    </row>
    <row r="51" spans="1:8" s="10" customFormat="1" ht="10.35" customHeight="1">
      <c r="A51" s="1574"/>
      <c r="B51" s="1271"/>
      <c r="C51" s="1575"/>
      <c r="D51" s="1580"/>
      <c r="E51" s="882"/>
      <c r="F51" s="1577"/>
      <c r="G51" s="1578"/>
      <c r="H51" s="1501" t="str">
        <f t="shared" si="0"/>
        <v/>
      </c>
    </row>
    <row r="52" spans="1:8" s="10" customFormat="1" ht="39.6">
      <c r="A52" s="1574"/>
      <c r="B52" s="1271"/>
      <c r="C52" s="1575"/>
      <c r="D52" s="2241" t="s">
        <v>1715</v>
      </c>
      <c r="E52" s="882"/>
      <c r="F52" s="1577"/>
      <c r="G52" s="1578"/>
      <c r="H52" s="1501" t="str">
        <f t="shared" si="0"/>
        <v/>
      </c>
    </row>
    <row r="53" spans="1:8" s="10" customFormat="1" ht="10.35" customHeight="1">
      <c r="A53" s="1574"/>
      <c r="B53" s="1271"/>
      <c r="C53" s="1575"/>
      <c r="D53" s="1580"/>
      <c r="E53" s="882"/>
      <c r="F53" s="1577"/>
      <c r="G53" s="1578"/>
      <c r="H53" s="1501" t="str">
        <f t="shared" si="0"/>
        <v/>
      </c>
    </row>
    <row r="54" spans="1:8" s="10" customFormat="1" ht="26.4">
      <c r="A54" s="1574">
        <f t="shared" ref="A54" si="2">$A$4</f>
        <v>15</v>
      </c>
      <c r="B54" s="1888">
        <v>6</v>
      </c>
      <c r="C54" s="1575"/>
      <c r="D54" s="2241" t="s">
        <v>1870</v>
      </c>
      <c r="E54" s="882"/>
      <c r="F54" s="1577"/>
      <c r="G54" s="1578"/>
      <c r="H54" s="1501" t="str">
        <f t="shared" si="0"/>
        <v/>
      </c>
    </row>
    <row r="55" spans="1:8" s="10" customFormat="1">
      <c r="A55" s="1574"/>
      <c r="B55" s="1271"/>
      <c r="C55" s="1575"/>
      <c r="D55" s="1580"/>
      <c r="E55" s="882"/>
      <c r="F55" s="1577"/>
      <c r="G55" s="1578"/>
      <c r="H55" s="1501" t="str">
        <f t="shared" si="0"/>
        <v/>
      </c>
    </row>
    <row r="56" spans="1:8" s="10" customFormat="1">
      <c r="A56" s="1574">
        <f t="shared" ref="A56" si="3">$A$4</f>
        <v>15</v>
      </c>
      <c r="B56" s="1271">
        <v>6.1</v>
      </c>
      <c r="C56" s="1575"/>
      <c r="D56" s="1580" t="s">
        <v>1863</v>
      </c>
      <c r="E56" s="882" t="s">
        <v>954</v>
      </c>
      <c r="F56" s="1577">
        <v>1</v>
      </c>
      <c r="G56" s="1578"/>
      <c r="H56" s="1501">
        <f t="shared" si="0"/>
        <v>0</v>
      </c>
    </row>
    <row r="57" spans="1:8" s="10" customFormat="1">
      <c r="A57" s="1574"/>
      <c r="B57" s="1271"/>
      <c r="C57" s="1575"/>
      <c r="D57" s="1580"/>
      <c r="E57" s="882"/>
      <c r="F57" s="1577"/>
      <c r="G57" s="1578"/>
      <c r="H57" s="1501" t="str">
        <f t="shared" si="0"/>
        <v/>
      </c>
    </row>
    <row r="58" spans="1:8" s="10" customFormat="1" ht="26.4">
      <c r="A58" s="1574">
        <f t="shared" ref="A58" si="4">$A$4</f>
        <v>15</v>
      </c>
      <c r="B58" s="1888">
        <v>7</v>
      </c>
      <c r="C58" s="1575"/>
      <c r="D58" s="2241" t="s">
        <v>1871</v>
      </c>
      <c r="E58" s="882"/>
      <c r="F58" s="1577"/>
      <c r="G58" s="1578"/>
      <c r="H58" s="1501" t="str">
        <f t="shared" si="0"/>
        <v/>
      </c>
    </row>
    <row r="59" spans="1:8" s="10" customFormat="1">
      <c r="A59" s="1574"/>
      <c r="B59" s="1271"/>
      <c r="C59" s="1575"/>
      <c r="D59" s="1580"/>
      <c r="E59" s="882"/>
      <c r="F59" s="1577"/>
      <c r="G59" s="1578"/>
      <c r="H59" s="1501" t="str">
        <f t="shared" si="0"/>
        <v/>
      </c>
    </row>
    <row r="60" spans="1:8" s="10" customFormat="1" ht="26.4">
      <c r="A60" s="1574">
        <f t="shared" ref="A60" si="5">$A$4</f>
        <v>15</v>
      </c>
      <c r="B60" s="1271">
        <v>7.1</v>
      </c>
      <c r="C60" s="1575"/>
      <c r="D60" s="2598" t="s">
        <v>1872</v>
      </c>
      <c r="E60" s="882" t="s">
        <v>954</v>
      </c>
      <c r="F60" s="1577">
        <v>2</v>
      </c>
      <c r="G60" s="1578"/>
      <c r="H60" s="1501">
        <f t="shared" si="0"/>
        <v>0</v>
      </c>
    </row>
    <row r="61" spans="1:8" s="10" customFormat="1" ht="12.75" customHeight="1">
      <c r="A61" s="1574"/>
      <c r="B61" s="1271"/>
      <c r="C61" s="1575"/>
      <c r="D61" s="1580"/>
      <c r="E61" s="882"/>
      <c r="F61" s="1577"/>
      <c r="G61" s="1578"/>
      <c r="H61" s="1501" t="str">
        <f t="shared" si="0"/>
        <v/>
      </c>
    </row>
    <row r="62" spans="1:8" s="10" customFormat="1">
      <c r="A62" s="1574">
        <f t="shared" ref="A62" si="6">$A$4</f>
        <v>15</v>
      </c>
      <c r="B62" s="1271">
        <v>7.2</v>
      </c>
      <c r="C62" s="1575"/>
      <c r="D62" s="2610" t="s">
        <v>1873</v>
      </c>
      <c r="E62" s="882" t="s">
        <v>954</v>
      </c>
      <c r="F62" s="1577">
        <v>2</v>
      </c>
      <c r="G62" s="1578"/>
      <c r="H62" s="1501">
        <f t="shared" si="0"/>
        <v>0</v>
      </c>
    </row>
    <row r="63" spans="1:8" s="10" customFormat="1">
      <c r="A63" s="1574"/>
      <c r="B63" s="1271"/>
      <c r="C63" s="1575"/>
      <c r="D63" s="1580"/>
      <c r="E63" s="882"/>
      <c r="F63" s="1577"/>
      <c r="G63" s="1578"/>
      <c r="H63" s="1501" t="str">
        <f t="shared" si="0"/>
        <v/>
      </c>
    </row>
    <row r="64" spans="1:8" s="10" customFormat="1" ht="26.4">
      <c r="A64" s="1574">
        <f t="shared" ref="A64" si="7">$A$4</f>
        <v>15</v>
      </c>
      <c r="B64" s="1271">
        <v>7.3</v>
      </c>
      <c r="C64" s="1575"/>
      <c r="D64" s="2598" t="s">
        <v>1874</v>
      </c>
      <c r="E64" s="882" t="s">
        <v>273</v>
      </c>
      <c r="F64" s="1577">
        <v>2</v>
      </c>
      <c r="G64" s="1578"/>
      <c r="H64" s="1501">
        <f t="shared" si="0"/>
        <v>0</v>
      </c>
    </row>
    <row r="65" spans="1:8" s="10" customFormat="1">
      <c r="A65" s="1574"/>
      <c r="B65" s="1271"/>
      <c r="C65" s="1575"/>
      <c r="D65" s="1580"/>
      <c r="E65" s="882"/>
      <c r="F65" s="1577"/>
      <c r="G65" s="1578"/>
      <c r="H65" s="1501" t="str">
        <f t="shared" si="0"/>
        <v/>
      </c>
    </row>
    <row r="66" spans="1:8" s="10" customFormat="1" ht="39.6">
      <c r="A66" s="1574">
        <f t="shared" ref="A66" si="8">$A$4</f>
        <v>15</v>
      </c>
      <c r="B66" s="1271">
        <v>7.4</v>
      </c>
      <c r="C66" s="1575"/>
      <c r="D66" s="2598" t="s">
        <v>1835</v>
      </c>
      <c r="E66" s="882" t="s">
        <v>273</v>
      </c>
      <c r="F66" s="1577">
        <v>2</v>
      </c>
      <c r="G66" s="1578"/>
      <c r="H66" s="1501">
        <f t="shared" si="0"/>
        <v>0</v>
      </c>
    </row>
    <row r="67" spans="1:8" s="10" customFormat="1">
      <c r="A67" s="1574"/>
      <c r="B67" s="1271"/>
      <c r="C67" s="1575"/>
      <c r="D67" s="1580"/>
      <c r="E67" s="882"/>
      <c r="F67" s="1577"/>
      <c r="G67" s="1578"/>
      <c r="H67" s="884"/>
    </row>
    <row r="68" spans="1:8" s="10" customFormat="1">
      <c r="A68" s="1786"/>
      <c r="B68" s="787"/>
      <c r="C68" s="872"/>
      <c r="D68" s="872"/>
      <c r="E68" s="801"/>
      <c r="F68" s="873"/>
      <c r="G68" s="2595"/>
      <c r="H68" s="2596"/>
    </row>
    <row r="69" spans="1:8" s="10" customFormat="1">
      <c r="A69" s="2566"/>
      <c r="B69" s="566"/>
      <c r="C69" s="423"/>
      <c r="D69" s="413" t="s">
        <v>289</v>
      </c>
      <c r="E69" s="426"/>
      <c r="F69" s="24"/>
      <c r="G69" s="1468"/>
      <c r="H69" s="2611">
        <f>SUM(H3:H67)</f>
        <v>1350000</v>
      </c>
    </row>
    <row r="70" spans="1:8" s="10" customFormat="1">
      <c r="A70" s="1574"/>
      <c r="B70" s="1271"/>
      <c r="C70" s="1575"/>
      <c r="D70" s="1552" t="s">
        <v>290</v>
      </c>
      <c r="E70" s="882"/>
      <c r="F70" s="1577"/>
      <c r="G70" s="1578"/>
      <c r="H70" s="886">
        <f>H69</f>
        <v>1350000</v>
      </c>
    </row>
    <row r="71" spans="1:8" s="10" customFormat="1">
      <c r="A71" s="1574"/>
      <c r="B71" s="1271"/>
      <c r="C71" s="1575"/>
      <c r="D71" s="1580"/>
      <c r="E71" s="882"/>
      <c r="F71" s="1577"/>
      <c r="G71" s="1578"/>
      <c r="H71" s="884"/>
    </row>
    <row r="72" spans="1:8" s="10" customFormat="1">
      <c r="A72" s="1574">
        <f t="shared" ref="A72:A106" si="9">$A$4</f>
        <v>15</v>
      </c>
      <c r="B72" s="1271">
        <v>7.5</v>
      </c>
      <c r="C72" s="1575"/>
      <c r="D72" s="2598" t="s">
        <v>1836</v>
      </c>
      <c r="E72" s="882" t="s">
        <v>273</v>
      </c>
      <c r="F72" s="1577">
        <v>2</v>
      </c>
      <c r="G72" s="1578"/>
      <c r="H72" s="1501">
        <f t="shared" ref="H72:H107" si="10">IF(E72="","",ROUND(F72*G72,2))</f>
        <v>0</v>
      </c>
    </row>
    <row r="73" spans="1:8" s="10" customFormat="1">
      <c r="A73" s="1574"/>
      <c r="B73" s="1271"/>
      <c r="C73" s="1575"/>
      <c r="D73" s="1580"/>
      <c r="E73" s="882"/>
      <c r="F73" s="1577"/>
      <c r="G73" s="1578"/>
      <c r="H73" s="1501" t="str">
        <f t="shared" si="10"/>
        <v/>
      </c>
    </row>
    <row r="74" spans="1:8" s="10" customFormat="1" ht="52.8">
      <c r="A74" s="1574">
        <f t="shared" si="9"/>
        <v>15</v>
      </c>
      <c r="B74" s="1888">
        <v>8</v>
      </c>
      <c r="C74" s="1575"/>
      <c r="D74" s="2241" t="s">
        <v>1752</v>
      </c>
      <c r="E74" s="882"/>
      <c r="F74" s="1577"/>
      <c r="G74" s="1578"/>
      <c r="H74" s="1501" t="str">
        <f t="shared" si="10"/>
        <v/>
      </c>
    </row>
    <row r="75" spans="1:8" s="10" customFormat="1">
      <c r="A75" s="1574"/>
      <c r="B75" s="1271"/>
      <c r="C75" s="1575"/>
      <c r="D75" s="2241"/>
      <c r="E75" s="882"/>
      <c r="F75" s="1577"/>
      <c r="G75" s="1578"/>
      <c r="H75" s="1501" t="str">
        <f t="shared" si="10"/>
        <v/>
      </c>
    </row>
    <row r="76" spans="1:8" s="10" customFormat="1">
      <c r="A76" s="1574">
        <f t="shared" si="9"/>
        <v>15</v>
      </c>
      <c r="B76" s="1271">
        <v>8.1</v>
      </c>
      <c r="C76" s="1575"/>
      <c r="D76" s="1580" t="s">
        <v>1875</v>
      </c>
      <c r="E76" s="882" t="s">
        <v>273</v>
      </c>
      <c r="F76" s="1577">
        <v>2</v>
      </c>
      <c r="G76" s="1578"/>
      <c r="H76" s="1501">
        <f t="shared" si="10"/>
        <v>0</v>
      </c>
    </row>
    <row r="77" spans="1:8" s="10" customFormat="1">
      <c r="A77" s="1574"/>
      <c r="B77" s="1271"/>
      <c r="C77" s="1575"/>
      <c r="D77" s="2241"/>
      <c r="E77" s="882"/>
      <c r="F77" s="1577"/>
      <c r="G77" s="1578"/>
      <c r="H77" s="1501" t="str">
        <f t="shared" si="10"/>
        <v/>
      </c>
    </row>
    <row r="78" spans="1:8" s="10" customFormat="1">
      <c r="A78" s="1574">
        <f t="shared" si="9"/>
        <v>15</v>
      </c>
      <c r="B78" s="1271">
        <v>8.3000000000000007</v>
      </c>
      <c r="C78" s="1575"/>
      <c r="D78" s="1580" t="s">
        <v>1876</v>
      </c>
      <c r="E78" s="882" t="s">
        <v>691</v>
      </c>
      <c r="F78" s="1577">
        <v>2</v>
      </c>
      <c r="G78" s="1578"/>
      <c r="H78" s="1501">
        <f t="shared" si="10"/>
        <v>0</v>
      </c>
    </row>
    <row r="79" spans="1:8" s="10" customFormat="1">
      <c r="A79" s="1574"/>
      <c r="B79" s="1271"/>
      <c r="C79" s="1575"/>
      <c r="D79" s="2241"/>
      <c r="E79" s="882"/>
      <c r="F79" s="1577"/>
      <c r="G79" s="1578"/>
      <c r="H79" s="1501" t="str">
        <f t="shared" si="10"/>
        <v/>
      </c>
    </row>
    <row r="80" spans="1:8" s="10" customFormat="1">
      <c r="A80" s="1574">
        <f t="shared" si="9"/>
        <v>15</v>
      </c>
      <c r="B80" s="1271">
        <v>8.4</v>
      </c>
      <c r="C80" s="1575"/>
      <c r="D80" s="1580" t="s">
        <v>1877</v>
      </c>
      <c r="E80" s="882" t="s">
        <v>691</v>
      </c>
      <c r="F80" s="1577">
        <v>2</v>
      </c>
      <c r="G80" s="1578"/>
      <c r="H80" s="1501">
        <f t="shared" si="10"/>
        <v>0</v>
      </c>
    </row>
    <row r="81" spans="1:8" s="10" customFormat="1">
      <c r="A81" s="1574"/>
      <c r="B81" s="1271"/>
      <c r="C81" s="1575"/>
      <c r="D81" s="2241"/>
      <c r="E81" s="882"/>
      <c r="F81" s="1577"/>
      <c r="G81" s="1578"/>
      <c r="H81" s="1501" t="str">
        <f t="shared" si="10"/>
        <v/>
      </c>
    </row>
    <row r="82" spans="1:8" s="10" customFormat="1">
      <c r="A82" s="1574">
        <f t="shared" si="9"/>
        <v>15</v>
      </c>
      <c r="B82" s="1271">
        <v>8.5</v>
      </c>
      <c r="C82" s="1575"/>
      <c r="D82" s="1580" t="s">
        <v>1878</v>
      </c>
      <c r="E82" s="882" t="s">
        <v>691</v>
      </c>
      <c r="F82" s="1577">
        <v>2</v>
      </c>
      <c r="G82" s="1578"/>
      <c r="H82" s="1501">
        <f t="shared" si="10"/>
        <v>0</v>
      </c>
    </row>
    <row r="83" spans="1:8" s="10" customFormat="1">
      <c r="A83" s="1574"/>
      <c r="B83" s="1271"/>
      <c r="C83" s="1575"/>
      <c r="D83" s="2241"/>
      <c r="E83" s="882"/>
      <c r="F83" s="1577"/>
      <c r="G83" s="1578"/>
      <c r="H83" s="1501" t="str">
        <f t="shared" si="10"/>
        <v/>
      </c>
    </row>
    <row r="84" spans="1:8" s="10" customFormat="1">
      <c r="A84" s="1574">
        <f t="shared" si="9"/>
        <v>15</v>
      </c>
      <c r="B84" s="1271">
        <v>8.6</v>
      </c>
      <c r="C84" s="1575"/>
      <c r="D84" s="1580" t="s">
        <v>1879</v>
      </c>
      <c r="E84" s="882" t="s">
        <v>691</v>
      </c>
      <c r="F84" s="1577">
        <v>2</v>
      </c>
      <c r="G84" s="1578"/>
      <c r="H84" s="1501">
        <f t="shared" si="10"/>
        <v>0</v>
      </c>
    </row>
    <row r="85" spans="1:8" s="10" customFormat="1">
      <c r="A85" s="1574"/>
      <c r="B85" s="1271"/>
      <c r="C85" s="1575"/>
      <c r="D85" s="2241"/>
      <c r="E85" s="882"/>
      <c r="F85" s="1577"/>
      <c r="G85" s="1578"/>
      <c r="H85" s="1501" t="str">
        <f t="shared" si="10"/>
        <v/>
      </c>
    </row>
    <row r="86" spans="1:8" s="10" customFormat="1">
      <c r="A86" s="1574">
        <f t="shared" si="9"/>
        <v>15</v>
      </c>
      <c r="B86" s="1271">
        <v>8.6999999999999993</v>
      </c>
      <c r="C86" s="1575"/>
      <c r="D86" s="1580" t="s">
        <v>1880</v>
      </c>
      <c r="E86" s="882" t="s">
        <v>691</v>
      </c>
      <c r="F86" s="1577">
        <v>2</v>
      </c>
      <c r="G86" s="1578"/>
      <c r="H86" s="1501">
        <f t="shared" si="10"/>
        <v>0</v>
      </c>
    </row>
    <row r="87" spans="1:8" s="10" customFormat="1">
      <c r="A87" s="1574"/>
      <c r="B87" s="1271"/>
      <c r="C87" s="2592"/>
      <c r="D87" s="2241"/>
      <c r="E87" s="892"/>
      <c r="F87" s="1585"/>
      <c r="G87" s="1581"/>
      <c r="H87" s="1501" t="str">
        <f t="shared" si="10"/>
        <v/>
      </c>
    </row>
    <row r="88" spans="1:8" s="10" customFormat="1">
      <c r="A88" s="1574">
        <f t="shared" si="9"/>
        <v>15</v>
      </c>
      <c r="B88" s="1271">
        <v>8.8000000000000007</v>
      </c>
      <c r="C88" s="2592"/>
      <c r="D88" s="1580" t="s">
        <v>1881</v>
      </c>
      <c r="E88" s="882" t="s">
        <v>691</v>
      </c>
      <c r="F88" s="1585">
        <v>2</v>
      </c>
      <c r="G88" s="1581"/>
      <c r="H88" s="1501">
        <f t="shared" si="10"/>
        <v>0</v>
      </c>
    </row>
    <row r="89" spans="1:8" s="10" customFormat="1">
      <c r="A89" s="1574"/>
      <c r="B89" s="1271"/>
      <c r="C89" s="1575"/>
      <c r="D89" s="2241"/>
      <c r="E89" s="882"/>
      <c r="F89" s="1577"/>
      <c r="G89" s="1578"/>
      <c r="H89" s="1501" t="str">
        <f t="shared" si="10"/>
        <v/>
      </c>
    </row>
    <row r="90" spans="1:8" s="10" customFormat="1">
      <c r="A90" s="1574">
        <f t="shared" si="9"/>
        <v>15</v>
      </c>
      <c r="B90" s="1271">
        <v>8.9</v>
      </c>
      <c r="C90" s="1575"/>
      <c r="D90" s="1580" t="s">
        <v>1882</v>
      </c>
      <c r="E90" s="882" t="s">
        <v>691</v>
      </c>
      <c r="F90" s="1577">
        <v>2</v>
      </c>
      <c r="G90" s="1581"/>
      <c r="H90" s="1501">
        <f t="shared" si="10"/>
        <v>0</v>
      </c>
    </row>
    <row r="91" spans="1:8" s="10" customFormat="1">
      <c r="A91" s="1574"/>
      <c r="B91" s="1271"/>
      <c r="C91" s="1575"/>
      <c r="D91" s="2241"/>
      <c r="E91" s="882"/>
      <c r="F91" s="1577"/>
      <c r="G91" s="1578"/>
      <c r="H91" s="1501" t="str">
        <f t="shared" si="10"/>
        <v/>
      </c>
    </row>
    <row r="92" spans="1:8" s="10" customFormat="1">
      <c r="A92" s="1574">
        <f t="shared" si="9"/>
        <v>15</v>
      </c>
      <c r="B92" s="1582">
        <v>8.1</v>
      </c>
      <c r="C92" s="1575"/>
      <c r="D92" s="1580" t="s">
        <v>1883</v>
      </c>
      <c r="E92" s="882" t="s">
        <v>691</v>
      </c>
      <c r="F92" s="1577">
        <v>3</v>
      </c>
      <c r="G92" s="1581"/>
      <c r="H92" s="1501">
        <f t="shared" si="10"/>
        <v>0</v>
      </c>
    </row>
    <row r="93" spans="1:8" s="10" customFormat="1">
      <c r="A93" s="1574"/>
      <c r="B93" s="1271"/>
      <c r="C93" s="1575"/>
      <c r="D93" s="1580"/>
      <c r="E93" s="882"/>
      <c r="F93" s="1577"/>
      <c r="G93" s="1578"/>
      <c r="H93" s="1501" t="str">
        <f t="shared" si="10"/>
        <v/>
      </c>
    </row>
    <row r="94" spans="1:8" s="10" customFormat="1" ht="52.8">
      <c r="A94" s="1574">
        <f t="shared" si="9"/>
        <v>15</v>
      </c>
      <c r="B94" s="1888">
        <v>9</v>
      </c>
      <c r="C94" s="147"/>
      <c r="D94" s="2241" t="s">
        <v>1784</v>
      </c>
      <c r="E94" s="1575"/>
      <c r="F94" s="893"/>
      <c r="G94" s="1578"/>
      <c r="H94" s="1501" t="str">
        <f t="shared" si="10"/>
        <v/>
      </c>
    </row>
    <row r="95" spans="1:8" s="10" customFormat="1">
      <c r="A95" s="1574"/>
      <c r="B95" s="1271"/>
      <c r="C95" s="1575"/>
      <c r="D95" s="2241"/>
      <c r="E95" s="882"/>
      <c r="F95" s="1577"/>
      <c r="G95" s="1578"/>
      <c r="H95" s="1501" t="str">
        <f t="shared" si="10"/>
        <v/>
      </c>
    </row>
    <row r="96" spans="1:8" s="10" customFormat="1">
      <c r="A96" s="1574">
        <f t="shared" si="9"/>
        <v>15</v>
      </c>
      <c r="B96" s="1271">
        <v>9.1</v>
      </c>
      <c r="C96" s="1575"/>
      <c r="D96" s="1580" t="s">
        <v>1884</v>
      </c>
      <c r="E96" s="882" t="s">
        <v>273</v>
      </c>
      <c r="F96" s="1577">
        <v>2</v>
      </c>
      <c r="G96" s="1578"/>
      <c r="H96" s="1501">
        <f t="shared" si="10"/>
        <v>0</v>
      </c>
    </row>
    <row r="97" spans="1:8" s="10" customFormat="1">
      <c r="A97" s="1574"/>
      <c r="B97" s="1271"/>
      <c r="C97" s="1575"/>
      <c r="D97" s="2241"/>
      <c r="E97" s="882"/>
      <c r="F97" s="1577"/>
      <c r="G97" s="1578"/>
      <c r="H97" s="1501" t="str">
        <f t="shared" si="10"/>
        <v/>
      </c>
    </row>
    <row r="98" spans="1:8" s="471" customFormat="1">
      <c r="A98" s="1574">
        <f t="shared" si="9"/>
        <v>15</v>
      </c>
      <c r="B98" s="1271">
        <v>9.3000000000000007</v>
      </c>
      <c r="C98" s="1575"/>
      <c r="D98" s="1580" t="s">
        <v>1885</v>
      </c>
      <c r="E98" s="882" t="s">
        <v>691</v>
      </c>
      <c r="F98" s="1577">
        <v>2</v>
      </c>
      <c r="G98" s="1578"/>
      <c r="H98" s="1501">
        <f t="shared" si="10"/>
        <v>0</v>
      </c>
    </row>
    <row r="99" spans="1:8" s="471" customFormat="1">
      <c r="A99" s="2600"/>
      <c r="B99" s="1900"/>
      <c r="C99" s="2592"/>
      <c r="D99" s="2241"/>
      <c r="E99" s="892"/>
      <c r="F99" s="1585"/>
      <c r="G99" s="1581"/>
      <c r="H99" s="1501" t="str">
        <f t="shared" si="10"/>
        <v/>
      </c>
    </row>
    <row r="100" spans="1:8" s="471" customFormat="1">
      <c r="A100" s="1574">
        <f t="shared" si="9"/>
        <v>15</v>
      </c>
      <c r="B100" s="1900">
        <v>9.4</v>
      </c>
      <c r="C100" s="2592"/>
      <c r="D100" s="1580" t="s">
        <v>1886</v>
      </c>
      <c r="E100" s="882" t="s">
        <v>691</v>
      </c>
      <c r="F100" s="1585">
        <v>2</v>
      </c>
      <c r="G100" s="1581"/>
      <c r="H100" s="1501">
        <f t="shared" si="10"/>
        <v>0</v>
      </c>
    </row>
    <row r="101" spans="1:8" s="471" customFormat="1">
      <c r="A101" s="2600"/>
      <c r="B101" s="1900"/>
      <c r="C101" s="2592"/>
      <c r="D101" s="2241"/>
      <c r="E101" s="882"/>
      <c r="F101" s="1577"/>
      <c r="G101" s="1581"/>
      <c r="H101" s="1501" t="str">
        <f t="shared" si="10"/>
        <v/>
      </c>
    </row>
    <row r="102" spans="1:8">
      <c r="A102" s="1574">
        <f t="shared" si="9"/>
        <v>15</v>
      </c>
      <c r="B102" s="1900">
        <v>9.5</v>
      </c>
      <c r="C102" s="2592"/>
      <c r="D102" s="1580" t="s">
        <v>1887</v>
      </c>
      <c r="E102" s="882" t="s">
        <v>691</v>
      </c>
      <c r="F102" s="1577">
        <v>2</v>
      </c>
      <c r="G102" s="1581"/>
      <c r="H102" s="1501">
        <f t="shared" si="10"/>
        <v>0</v>
      </c>
    </row>
    <row r="103" spans="1:8">
      <c r="A103" s="1791"/>
      <c r="B103" s="1900"/>
      <c r="C103" s="2592"/>
      <c r="D103" s="2241"/>
      <c r="E103" s="882"/>
      <c r="F103" s="1577"/>
      <c r="G103" s="1581"/>
      <c r="H103" s="1501" t="str">
        <f t="shared" si="10"/>
        <v/>
      </c>
    </row>
    <row r="104" spans="1:8">
      <c r="A104" s="1574">
        <f t="shared" si="9"/>
        <v>15</v>
      </c>
      <c r="B104" s="1900">
        <v>9.6</v>
      </c>
      <c r="C104" s="2592"/>
      <c r="D104" s="1580" t="s">
        <v>1888</v>
      </c>
      <c r="E104" s="882" t="s">
        <v>691</v>
      </c>
      <c r="F104" s="1577">
        <v>2</v>
      </c>
      <c r="G104" s="1581"/>
      <c r="H104" s="1501">
        <f t="shared" si="10"/>
        <v>0</v>
      </c>
    </row>
    <row r="105" spans="1:8">
      <c r="A105" s="1791"/>
      <c r="B105" s="1900"/>
      <c r="C105" s="2592"/>
      <c r="D105" s="2241"/>
      <c r="E105" s="882"/>
      <c r="F105" s="1577"/>
      <c r="G105" s="1581"/>
      <c r="H105" s="1501" t="str">
        <f t="shared" si="10"/>
        <v/>
      </c>
    </row>
    <row r="106" spans="1:8">
      <c r="A106" s="1574">
        <f t="shared" si="9"/>
        <v>15</v>
      </c>
      <c r="B106" s="1900">
        <v>9.6999999999999993</v>
      </c>
      <c r="C106" s="2592"/>
      <c r="D106" s="1580" t="s">
        <v>1889</v>
      </c>
      <c r="E106" s="882" t="s">
        <v>691</v>
      </c>
      <c r="F106" s="1577">
        <v>3</v>
      </c>
      <c r="G106" s="1581"/>
      <c r="H106" s="1501">
        <f t="shared" si="10"/>
        <v>0</v>
      </c>
    </row>
    <row r="107" spans="1:8">
      <c r="A107" s="1791"/>
      <c r="B107" s="2601"/>
      <c r="C107" s="1554"/>
      <c r="D107" s="2358"/>
      <c r="E107" s="883"/>
      <c r="F107" s="2040"/>
      <c r="G107" s="2602"/>
      <c r="H107" s="1501" t="str">
        <f t="shared" si="10"/>
        <v/>
      </c>
    </row>
    <row r="108" spans="1:8">
      <c r="A108" s="1791"/>
      <c r="B108" s="2601"/>
      <c r="C108" s="1554"/>
      <c r="D108" s="2362"/>
      <c r="E108" s="883"/>
      <c r="F108" s="2040"/>
      <c r="G108" s="2602"/>
      <c r="H108" s="881"/>
    </row>
    <row r="109" spans="1:8">
      <c r="A109" s="1791"/>
      <c r="B109" s="2601"/>
      <c r="C109" s="1554"/>
      <c r="D109" s="2358"/>
      <c r="E109" s="883"/>
      <c r="F109" s="2040"/>
      <c r="G109" s="2602"/>
      <c r="H109" s="881"/>
    </row>
    <row r="110" spans="1:8">
      <c r="A110" s="1791"/>
      <c r="B110" s="2601"/>
      <c r="C110" s="1554"/>
      <c r="D110" s="2358"/>
      <c r="E110" s="2041"/>
      <c r="F110" s="2603"/>
      <c r="G110" s="2602"/>
      <c r="H110" s="887"/>
    </row>
    <row r="111" spans="1:8">
      <c r="A111" s="1791"/>
      <c r="B111" s="2601"/>
      <c r="C111" s="1554"/>
      <c r="D111" s="2358"/>
      <c r="E111" s="883"/>
      <c r="F111" s="2040"/>
      <c r="G111" s="2602"/>
      <c r="H111" s="887"/>
    </row>
    <row r="112" spans="1:8">
      <c r="A112" s="1791"/>
      <c r="B112" s="2601"/>
      <c r="C112" s="1554"/>
      <c r="D112" s="2362"/>
      <c r="E112" s="883"/>
      <c r="F112" s="2040"/>
      <c r="G112" s="2602"/>
      <c r="H112" s="887"/>
    </row>
    <row r="113" spans="1:8">
      <c r="A113" s="1791"/>
      <c r="B113" s="2601"/>
      <c r="C113" s="1554"/>
      <c r="D113" s="2358"/>
      <c r="E113" s="883"/>
      <c r="F113" s="2040"/>
      <c r="G113" s="2602"/>
      <c r="H113" s="887"/>
    </row>
    <row r="114" spans="1:8">
      <c r="A114" s="1791"/>
      <c r="B114" s="2601"/>
      <c r="C114" s="1554"/>
      <c r="D114" s="2358"/>
      <c r="E114" s="883"/>
      <c r="F114" s="2040"/>
      <c r="G114" s="2602"/>
      <c r="H114" s="887"/>
    </row>
    <row r="115" spans="1:8">
      <c r="A115" s="1791"/>
      <c r="B115" s="2601"/>
      <c r="C115" s="1554"/>
      <c r="D115" s="2358"/>
      <c r="E115" s="883"/>
      <c r="F115" s="2040"/>
      <c r="G115" s="2602"/>
      <c r="H115" s="887"/>
    </row>
    <row r="116" spans="1:8">
      <c r="A116" s="1791"/>
      <c r="B116" s="2601"/>
      <c r="C116" s="1554"/>
      <c r="D116" s="2358"/>
      <c r="E116" s="883"/>
      <c r="F116" s="2040"/>
      <c r="G116" s="2602"/>
      <c r="H116" s="887"/>
    </row>
    <row r="117" spans="1:8">
      <c r="A117" s="1791"/>
      <c r="B117" s="2601"/>
      <c r="C117" s="1554"/>
      <c r="D117" s="2358"/>
      <c r="E117" s="883"/>
      <c r="F117" s="2040"/>
      <c r="G117" s="2602"/>
      <c r="H117" s="887"/>
    </row>
    <row r="118" spans="1:8">
      <c r="A118" s="1791"/>
      <c r="B118" s="2601"/>
      <c r="C118" s="1554"/>
      <c r="D118" s="2358"/>
      <c r="E118" s="883"/>
      <c r="F118" s="2040"/>
      <c r="G118" s="2602"/>
      <c r="H118" s="887"/>
    </row>
    <row r="119" spans="1:8">
      <c r="A119" s="1791"/>
      <c r="B119" s="2601"/>
      <c r="C119" s="1554"/>
      <c r="D119" s="2358"/>
      <c r="E119" s="883"/>
      <c r="F119" s="2040"/>
      <c r="G119" s="2602"/>
      <c r="H119" s="887"/>
    </row>
    <row r="120" spans="1:8">
      <c r="A120" s="1791"/>
      <c r="B120" s="2601"/>
      <c r="C120" s="1554"/>
      <c r="D120" s="2358"/>
      <c r="E120" s="883"/>
      <c r="F120" s="2040"/>
      <c r="G120" s="2602"/>
      <c r="H120" s="887"/>
    </row>
    <row r="121" spans="1:8">
      <c r="A121" s="1791"/>
      <c r="B121" s="2601"/>
      <c r="C121" s="1554"/>
      <c r="D121" s="2358"/>
      <c r="E121" s="883"/>
      <c r="F121" s="2040"/>
      <c r="G121" s="2602"/>
      <c r="H121" s="887"/>
    </row>
    <row r="122" spans="1:8">
      <c r="A122" s="1791"/>
      <c r="B122" s="2601"/>
      <c r="C122" s="1554"/>
      <c r="D122" s="2358"/>
      <c r="E122" s="883"/>
      <c r="F122" s="2040"/>
      <c r="G122" s="2602"/>
      <c r="H122" s="887"/>
    </row>
    <row r="123" spans="1:8">
      <c r="A123" s="1791"/>
      <c r="B123" s="2601"/>
      <c r="C123" s="1554"/>
      <c r="D123" s="2605"/>
      <c r="E123" s="883"/>
      <c r="F123" s="2603"/>
      <c r="G123" s="2602"/>
      <c r="H123" s="887"/>
    </row>
    <row r="124" spans="1:8">
      <c r="A124" s="1791"/>
      <c r="B124" s="2601"/>
      <c r="C124" s="1554"/>
      <c r="D124" s="2358"/>
      <c r="E124" s="883"/>
      <c r="F124" s="2040"/>
      <c r="G124" s="1813"/>
      <c r="H124" s="881"/>
    </row>
    <row r="125" spans="1:8" ht="12.6" customHeight="1">
      <c r="A125" s="1791"/>
      <c r="B125" s="1769"/>
      <c r="C125" s="894"/>
      <c r="D125" s="1773"/>
      <c r="E125" s="874"/>
      <c r="F125" s="875"/>
      <c r="G125" s="1813"/>
      <c r="H125" s="876"/>
    </row>
    <row r="126" spans="1:8">
      <c r="A126" s="1791"/>
      <c r="B126" s="2414"/>
      <c r="C126" s="2343"/>
      <c r="D126" s="659"/>
      <c r="E126" s="874"/>
      <c r="F126" s="875"/>
      <c r="G126" s="1321"/>
      <c r="H126" s="876"/>
    </row>
    <row r="127" spans="1:8">
      <c r="A127" s="17"/>
      <c r="B127" s="2414"/>
      <c r="C127" s="2340"/>
      <c r="D127" s="2344"/>
      <c r="E127" s="874"/>
      <c r="F127" s="875"/>
      <c r="G127" s="1813"/>
      <c r="H127" s="876"/>
    </row>
    <row r="128" spans="1:8">
      <c r="A128" s="1791"/>
      <c r="B128" s="2414"/>
      <c r="C128" s="2340"/>
      <c r="D128" s="2346"/>
      <c r="E128" s="874"/>
      <c r="F128" s="875"/>
      <c r="G128" s="1813"/>
      <c r="H128" s="876"/>
    </row>
    <row r="129" spans="1:8">
      <c r="A129" s="1791"/>
      <c r="B129" s="2414"/>
      <c r="C129" s="2340"/>
      <c r="D129" s="2612"/>
      <c r="E129" s="877"/>
      <c r="F129" s="878"/>
      <c r="G129" s="2613"/>
      <c r="H129" s="879"/>
    </row>
    <row r="130" spans="1:8">
      <c r="A130" s="1791"/>
      <c r="B130" s="2414"/>
      <c r="C130" s="2340"/>
      <c r="D130" s="2346"/>
      <c r="E130" s="874"/>
      <c r="F130" s="875"/>
      <c r="G130" s="1813"/>
      <c r="H130" s="876"/>
    </row>
    <row r="131" spans="1:8">
      <c r="A131" s="1791"/>
      <c r="B131" s="2414"/>
      <c r="C131" s="2340"/>
      <c r="D131" s="2344"/>
      <c r="E131" s="874"/>
      <c r="F131" s="875"/>
      <c r="G131" s="1813"/>
      <c r="H131" s="876"/>
    </row>
    <row r="132" spans="1:8">
      <c r="A132" s="1791"/>
      <c r="B132" s="2614"/>
      <c r="C132" s="1554"/>
      <c r="D132" s="2356"/>
      <c r="E132" s="2041"/>
      <c r="F132" s="880"/>
      <c r="G132" s="1813"/>
      <c r="H132" s="881"/>
    </row>
    <row r="133" spans="1:8">
      <c r="A133" s="1791"/>
      <c r="B133" s="2601"/>
      <c r="C133" s="1554"/>
      <c r="D133" s="2360"/>
      <c r="E133" s="2041"/>
      <c r="F133" s="2040"/>
      <c r="G133" s="1813"/>
      <c r="H133" s="881"/>
    </row>
    <row r="134" spans="1:8">
      <c r="A134" s="1791"/>
      <c r="B134" s="2601"/>
      <c r="C134" s="1550"/>
      <c r="D134" s="2061"/>
      <c r="E134" s="2041"/>
      <c r="F134" s="2040"/>
      <c r="G134" s="1466"/>
      <c r="H134" s="2604"/>
    </row>
    <row r="135" spans="1:8">
      <c r="A135" s="1791"/>
      <c r="B135" s="2601"/>
      <c r="C135" s="1550"/>
      <c r="D135" s="2061"/>
      <c r="E135" s="2041"/>
      <c r="F135" s="2040"/>
      <c r="G135" s="1466"/>
      <c r="H135" s="2604"/>
    </row>
    <row r="136" spans="1:8">
      <c r="A136" s="1791"/>
      <c r="B136" s="2601"/>
      <c r="C136" s="1550"/>
      <c r="D136" s="2061"/>
      <c r="E136" s="2041"/>
      <c r="F136" s="2040"/>
      <c r="G136" s="1466"/>
      <c r="H136" s="2604"/>
    </row>
    <row r="137" spans="1:8">
      <c r="A137" s="1791"/>
      <c r="B137" s="2601"/>
      <c r="C137" s="1550"/>
      <c r="D137" s="2061"/>
      <c r="E137" s="2041"/>
      <c r="F137" s="2040"/>
      <c r="G137" s="1466"/>
      <c r="H137" s="2604"/>
    </row>
    <row r="138" spans="1:8">
      <c r="A138" s="1791"/>
      <c r="B138" s="2601"/>
      <c r="C138" s="1550"/>
      <c r="D138" s="2061"/>
      <c r="E138" s="2041"/>
      <c r="F138" s="2040"/>
      <c r="G138" s="1466"/>
      <c r="H138" s="2604"/>
    </row>
    <row r="139" spans="1:8">
      <c r="A139" s="1791"/>
      <c r="B139" s="2601"/>
      <c r="C139" s="1554"/>
      <c r="D139" s="2605"/>
      <c r="E139" s="2606"/>
      <c r="F139" s="2603"/>
      <c r="G139" s="1467"/>
      <c r="H139" s="2607"/>
    </row>
    <row r="140" spans="1:8">
      <c r="A140" s="1791"/>
      <c r="B140" s="2601"/>
      <c r="C140" s="1554"/>
      <c r="D140" s="2358"/>
      <c r="E140" s="2041"/>
      <c r="F140" s="2040"/>
      <c r="G140" s="1466"/>
      <c r="H140" s="2604"/>
    </row>
    <row r="141" spans="1:8">
      <c r="A141" s="1791"/>
      <c r="B141" s="585"/>
      <c r="C141" s="1554"/>
      <c r="D141" s="2358"/>
      <c r="E141" s="1550"/>
      <c r="F141" s="2603"/>
      <c r="G141" s="1466"/>
      <c r="H141" s="2604"/>
    </row>
    <row r="142" spans="1:8">
      <c r="A142" s="1754"/>
      <c r="B142" s="428"/>
      <c r="C142" s="502"/>
      <c r="D142" s="429"/>
      <c r="E142" s="428"/>
      <c r="F142" s="432"/>
      <c r="G142" s="1469"/>
      <c r="H142" s="2608"/>
    </row>
    <row r="143" spans="1:8">
      <c r="A143" s="2380"/>
      <c r="B143" s="316"/>
      <c r="C143" s="490"/>
      <c r="D143" s="491" t="s">
        <v>1692</v>
      </c>
      <c r="E143" s="316"/>
      <c r="F143" s="492"/>
      <c r="G143" s="1470"/>
      <c r="H143" s="2500">
        <f>SUM(H70:H141)</f>
        <v>1350000</v>
      </c>
    </row>
    <row r="144" spans="1:8">
      <c r="G144" s="347"/>
    </row>
    <row r="145" spans="8:8">
      <c r="H145" s="835"/>
    </row>
  </sheetData>
  <sheetProtection algorithmName="SHA-512" hashValue="gIsoFOYl8hPF1zpGxH/dh1vKbv4743J5ON0wQMqpGJJDAaonA9SLuQd6I8zgtbLDvp/Q3hTRjubTSnrnR4mwHA==" saltValue="3NoDDtlt/vUmjJTNC+220A==" spinCount="100000" sheet="1" objects="1" scenarios="1"/>
  <mergeCells count="1">
    <mergeCell ref="A1:H1"/>
  </mergeCells>
  <phoneticPr fontId="33" type="noConversion"/>
  <pageMargins left="0.59055118110236227" right="0.59055118110236227" top="1.1023622047244095" bottom="0.78740157480314965" header="0.27559055118110237" footer="0.27559055118110237"/>
  <pageSetup paperSize="9" scale="64" firstPageNumber="99" fitToHeight="0" orientation="portrait" useFirstPageNumber="1" r:id="rId1"/>
  <headerFooter alignWithMargins="0">
    <oddHeader>&amp;L&amp;G&amp;CContract JW 14425
Bushkoppie Wastewater Treatment Works:
Infrastructure Renewal Plan
Volume 1 
C 2.2 Bill of Quantities&amp;R&amp;G</oddHeader>
    <oddFooter>&amp;C&amp;12
&amp;G
C.&amp;P</oddFooter>
  </headerFooter>
  <rowBreaks count="1" manualBreakCount="1">
    <brk id="69" max="16383" man="1"/>
  </rowBreaks>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6E4E1-D52C-48F2-A4C1-D4A5162F01C0}">
  <sheetPr codeName="Sheet15">
    <pageSetUpPr fitToPage="1"/>
  </sheetPr>
  <dimension ref="A1:H146"/>
  <sheetViews>
    <sheetView view="pageBreakPreview" zoomScaleNormal="100" zoomScaleSheetLayoutView="100" workbookViewId="0">
      <selection activeCell="K12" sqref="K12"/>
    </sheetView>
  </sheetViews>
  <sheetFormatPr defaultColWidth="6.109375" defaultRowHeight="13.2"/>
  <cols>
    <col min="1" max="1" width="9.109375" style="448" customWidth="1"/>
    <col min="2" max="2" width="8.88671875" style="335" customWidth="1"/>
    <col min="3" max="3" width="9.88671875" style="31" customWidth="1"/>
    <col min="4" max="4" width="58.88671875" style="31" customWidth="1"/>
    <col min="5" max="5" width="10" style="32" customWidth="1"/>
    <col min="6" max="6" width="10.88671875" style="337" customWidth="1"/>
    <col min="7" max="7" width="14.88671875" style="213" customWidth="1"/>
    <col min="8" max="8" width="20.88671875" style="354" customWidth="1"/>
    <col min="9" max="11" width="6.109375" style="31" customWidth="1"/>
    <col min="12" max="12" width="8" style="31" customWidth="1"/>
    <col min="13" max="16384" width="6.109375" style="31"/>
  </cols>
  <sheetData>
    <row r="1" spans="1:8" s="329" customFormat="1" ht="15">
      <c r="A1" s="3039" t="s">
        <v>1890</v>
      </c>
      <c r="B1" s="3039"/>
      <c r="C1" s="3039"/>
      <c r="D1" s="3039"/>
      <c r="E1" s="3039"/>
      <c r="F1" s="3039"/>
      <c r="G1" s="3039"/>
      <c r="H1" s="3039"/>
    </row>
    <row r="2" spans="1:8" s="1" customFormat="1" ht="25.5" customHeight="1">
      <c r="A2" s="488" t="s">
        <v>541</v>
      </c>
      <c r="B2" s="452" t="s">
        <v>217</v>
      </c>
      <c r="C2" s="453" t="s">
        <v>218</v>
      </c>
      <c r="D2" s="417" t="s">
        <v>219</v>
      </c>
      <c r="E2" s="414" t="s">
        <v>220</v>
      </c>
      <c r="F2" s="415" t="s">
        <v>221</v>
      </c>
      <c r="G2" s="416" t="s">
        <v>222</v>
      </c>
      <c r="H2" s="525" t="s">
        <v>223</v>
      </c>
    </row>
    <row r="3" spans="1:8">
      <c r="A3" s="2383"/>
      <c r="B3" s="1667"/>
      <c r="C3" s="2029"/>
      <c r="D3" s="2030"/>
      <c r="E3" s="1669"/>
      <c r="F3" s="1816"/>
      <c r="G3" s="1813"/>
      <c r="H3" s="2615"/>
    </row>
    <row r="4" spans="1:8" s="513" customFormat="1" ht="27.6">
      <c r="A4" s="2609">
        <v>16</v>
      </c>
      <c r="B4" s="2578"/>
      <c r="C4" s="2579" t="s">
        <v>1815</v>
      </c>
      <c r="D4" s="2594" t="s">
        <v>1891</v>
      </c>
      <c r="E4" s="2616"/>
      <c r="F4" s="2581"/>
      <c r="G4" s="2582"/>
      <c r="H4" s="2617"/>
    </row>
    <row r="5" spans="1:8" s="10" customFormat="1">
      <c r="A5" s="1574"/>
      <c r="B5" s="1271"/>
      <c r="C5" s="1575"/>
      <c r="D5" s="2240"/>
      <c r="E5" s="2618"/>
      <c r="F5" s="1577"/>
      <c r="G5" s="1578"/>
      <c r="H5" s="2619"/>
    </row>
    <row r="6" spans="1:8" s="10" customFormat="1" ht="26.4">
      <c r="A6" s="1574"/>
      <c r="B6" s="1271"/>
      <c r="C6" s="1575"/>
      <c r="D6" s="2241" t="s">
        <v>1697</v>
      </c>
      <c r="E6" s="2618"/>
      <c r="F6" s="1577"/>
      <c r="G6" s="1578"/>
      <c r="H6" s="2619"/>
    </row>
    <row r="7" spans="1:8" s="10" customFormat="1">
      <c r="A7" s="1574"/>
      <c r="B7" s="1271"/>
      <c r="C7" s="1575"/>
      <c r="D7" s="2240"/>
      <c r="E7" s="2618"/>
      <c r="F7" s="1577"/>
      <c r="G7" s="1578"/>
      <c r="H7" s="2619"/>
    </row>
    <row r="8" spans="1:8" s="10" customFormat="1" ht="26.4">
      <c r="A8" s="1574">
        <f>$A$4</f>
        <v>16</v>
      </c>
      <c r="B8" s="1888">
        <v>1</v>
      </c>
      <c r="C8" s="1575"/>
      <c r="D8" s="2241" t="s">
        <v>1034</v>
      </c>
      <c r="E8" s="2618"/>
      <c r="F8" s="1577"/>
      <c r="G8" s="1578"/>
      <c r="H8" s="2619"/>
    </row>
    <row r="9" spans="1:8" s="10" customFormat="1">
      <c r="A9" s="1574"/>
      <c r="B9" s="1271"/>
      <c r="C9" s="1575"/>
      <c r="D9" s="2240"/>
      <c r="E9" s="2618"/>
      <c r="F9" s="1577"/>
      <c r="G9" s="1578"/>
      <c r="H9" s="2619"/>
    </row>
    <row r="10" spans="1:8" s="10" customFormat="1" ht="26.4">
      <c r="A10" s="1574">
        <f>$A$4</f>
        <v>16</v>
      </c>
      <c r="B10" s="1271">
        <v>1.1000000000000001</v>
      </c>
      <c r="C10" s="1575" t="s">
        <v>1892</v>
      </c>
      <c r="D10" s="1580" t="s">
        <v>1893</v>
      </c>
      <c r="E10" s="2618" t="s">
        <v>954</v>
      </c>
      <c r="F10" s="1577">
        <v>16</v>
      </c>
      <c r="G10" s="1578"/>
      <c r="H10" s="1501">
        <f t="shared" ref="H10:H63" si="0">IF(E10="","",ROUND(F10*G10,2))</f>
        <v>0</v>
      </c>
    </row>
    <row r="11" spans="1:8" s="10" customFormat="1">
      <c r="A11" s="1574"/>
      <c r="B11" s="1271"/>
      <c r="C11" s="1575"/>
      <c r="D11" s="2240"/>
      <c r="E11" s="2618"/>
      <c r="F11" s="1577"/>
      <c r="G11" s="1578"/>
      <c r="H11" s="1501" t="str">
        <f t="shared" si="0"/>
        <v/>
      </c>
    </row>
    <row r="12" spans="1:8" s="10" customFormat="1" ht="26.4">
      <c r="A12" s="1574">
        <f>$A$4</f>
        <v>16</v>
      </c>
      <c r="B12" s="1271">
        <v>1.2</v>
      </c>
      <c r="C12" s="1575" t="s">
        <v>1817</v>
      </c>
      <c r="D12" s="1580" t="s">
        <v>1894</v>
      </c>
      <c r="E12" s="2618" t="s">
        <v>954</v>
      </c>
      <c r="F12" s="1577">
        <v>12</v>
      </c>
      <c r="G12" s="1578"/>
      <c r="H12" s="1501">
        <f t="shared" si="0"/>
        <v>0</v>
      </c>
    </row>
    <row r="13" spans="1:8" s="10" customFormat="1">
      <c r="A13" s="1574"/>
      <c r="B13" s="1271"/>
      <c r="C13" s="1575"/>
      <c r="D13" s="1580"/>
      <c r="E13" s="2618"/>
      <c r="F13" s="1577"/>
      <c r="G13" s="1578"/>
      <c r="H13" s="1501" t="str">
        <f t="shared" si="0"/>
        <v/>
      </c>
    </row>
    <row r="14" spans="1:8" s="10" customFormat="1" ht="26.4">
      <c r="A14" s="1574">
        <f>$A$4</f>
        <v>16</v>
      </c>
      <c r="B14" s="1888">
        <v>2</v>
      </c>
      <c r="C14" s="1575"/>
      <c r="D14" s="2241" t="s">
        <v>1703</v>
      </c>
      <c r="E14" s="2618"/>
      <c r="F14" s="1577"/>
      <c r="G14" s="1578"/>
      <c r="H14" s="1501" t="str">
        <f t="shared" si="0"/>
        <v/>
      </c>
    </row>
    <row r="15" spans="1:8" s="10" customFormat="1">
      <c r="A15" s="1574"/>
      <c r="B15" s="1271"/>
      <c r="C15" s="1575"/>
      <c r="D15" s="1580"/>
      <c r="E15" s="2618"/>
      <c r="F15" s="1577"/>
      <c r="G15" s="1578"/>
      <c r="H15" s="1501" t="str">
        <f t="shared" si="0"/>
        <v/>
      </c>
    </row>
    <row r="16" spans="1:8" s="10" customFormat="1">
      <c r="A16" s="1574"/>
      <c r="B16" s="1271"/>
      <c r="C16" s="1575"/>
      <c r="D16" s="1580" t="s">
        <v>1895</v>
      </c>
      <c r="E16" s="2618"/>
      <c r="F16" s="1577"/>
      <c r="G16" s="1578"/>
      <c r="H16" s="1501" t="str">
        <f t="shared" si="0"/>
        <v/>
      </c>
    </row>
    <row r="17" spans="1:8" s="10" customFormat="1">
      <c r="A17" s="1574"/>
      <c r="B17" s="1271"/>
      <c r="C17" s="1575"/>
      <c r="D17" s="1580"/>
      <c r="E17" s="2618"/>
      <c r="F17" s="1577"/>
      <c r="G17" s="1578"/>
      <c r="H17" s="1501" t="str">
        <f t="shared" si="0"/>
        <v/>
      </c>
    </row>
    <row r="18" spans="1:8" s="10" customFormat="1" ht="26.4">
      <c r="A18" s="1574">
        <f>$A$4</f>
        <v>16</v>
      </c>
      <c r="B18" s="1271">
        <v>2.1</v>
      </c>
      <c r="C18" s="1575"/>
      <c r="D18" s="1580" t="s">
        <v>1893</v>
      </c>
      <c r="E18" s="2618" t="s">
        <v>393</v>
      </c>
      <c r="F18" s="1577">
        <v>1</v>
      </c>
      <c r="G18" s="1578"/>
      <c r="H18" s="1501">
        <f t="shared" si="0"/>
        <v>0</v>
      </c>
    </row>
    <row r="19" spans="1:8" s="10" customFormat="1">
      <c r="A19" s="1574"/>
      <c r="B19" s="1271"/>
      <c r="C19" s="1575"/>
      <c r="D19" s="2240"/>
      <c r="E19" s="2618"/>
      <c r="F19" s="1577"/>
      <c r="G19" s="1578"/>
      <c r="H19" s="1501" t="str">
        <f t="shared" si="0"/>
        <v/>
      </c>
    </row>
    <row r="20" spans="1:8" s="10" customFormat="1" ht="26.4">
      <c r="A20" s="1574">
        <f>$A$4</f>
        <v>16</v>
      </c>
      <c r="B20" s="1271">
        <v>2.2000000000000002</v>
      </c>
      <c r="C20" s="1575"/>
      <c r="D20" s="1580" t="s">
        <v>1894</v>
      </c>
      <c r="E20" s="2618" t="s">
        <v>393</v>
      </c>
      <c r="F20" s="1577">
        <v>1</v>
      </c>
      <c r="G20" s="1578"/>
      <c r="H20" s="1501">
        <f t="shared" si="0"/>
        <v>0</v>
      </c>
    </row>
    <row r="21" spans="1:8" s="10" customFormat="1">
      <c r="A21" s="1574"/>
      <c r="B21" s="1271"/>
      <c r="C21" s="1575"/>
      <c r="D21" s="1580"/>
      <c r="E21" s="2618"/>
      <c r="F21" s="1577"/>
      <c r="G21" s="1578"/>
      <c r="H21" s="1501" t="str">
        <f t="shared" si="0"/>
        <v/>
      </c>
    </row>
    <row r="22" spans="1:8" s="10" customFormat="1">
      <c r="A22" s="1574">
        <f>$A$4</f>
        <v>16</v>
      </c>
      <c r="B22" s="1888">
        <v>3</v>
      </c>
      <c r="C22" s="1575"/>
      <c r="D22" s="2241" t="s">
        <v>1039</v>
      </c>
      <c r="E22" s="2618"/>
      <c r="F22" s="1577"/>
      <c r="G22" s="1578"/>
      <c r="H22" s="1501" t="str">
        <f t="shared" si="0"/>
        <v/>
      </c>
    </row>
    <row r="23" spans="1:8" s="10" customFormat="1">
      <c r="A23" s="1574"/>
      <c r="B23" s="1271"/>
      <c r="C23" s="1575"/>
      <c r="D23" s="1580"/>
      <c r="E23" s="2618"/>
      <c r="F23" s="1577"/>
      <c r="G23" s="1578"/>
      <c r="H23" s="1501" t="str">
        <f t="shared" si="0"/>
        <v/>
      </c>
    </row>
    <row r="24" spans="1:8" s="10" customFormat="1">
      <c r="A24" s="1574">
        <f>$A$4</f>
        <v>16</v>
      </c>
      <c r="B24" s="1271">
        <v>3.1</v>
      </c>
      <c r="C24" s="1575"/>
      <c r="D24" s="1580" t="s">
        <v>1896</v>
      </c>
      <c r="E24" s="2618" t="s">
        <v>954</v>
      </c>
      <c r="F24" s="1577">
        <v>16</v>
      </c>
      <c r="G24" s="1578"/>
      <c r="H24" s="1501">
        <f t="shared" si="0"/>
        <v>0</v>
      </c>
    </row>
    <row r="25" spans="1:8" s="10" customFormat="1">
      <c r="A25" s="1574"/>
      <c r="B25" s="1271"/>
      <c r="C25" s="1575"/>
      <c r="D25" s="2240"/>
      <c r="E25" s="2618"/>
      <c r="F25" s="1577"/>
      <c r="G25" s="1578"/>
      <c r="H25" s="1501" t="str">
        <f t="shared" si="0"/>
        <v/>
      </c>
    </row>
    <row r="26" spans="1:8" s="10" customFormat="1" ht="26.4">
      <c r="A26" s="1574">
        <f>$A$4</f>
        <v>16</v>
      </c>
      <c r="B26" s="1271">
        <v>3.2</v>
      </c>
      <c r="C26" s="1575"/>
      <c r="D26" s="1580" t="s">
        <v>1897</v>
      </c>
      <c r="E26" s="2618" t="s">
        <v>954</v>
      </c>
      <c r="F26" s="1577">
        <v>12</v>
      </c>
      <c r="G26" s="1578"/>
      <c r="H26" s="1501">
        <f t="shared" si="0"/>
        <v>0</v>
      </c>
    </row>
    <row r="27" spans="1:8" s="10" customFormat="1">
      <c r="A27" s="1574"/>
      <c r="B27" s="1271"/>
      <c r="C27" s="1575"/>
      <c r="D27" s="2240"/>
      <c r="E27" s="2618"/>
      <c r="F27" s="1577"/>
      <c r="G27" s="1578"/>
      <c r="H27" s="1501" t="str">
        <f t="shared" si="0"/>
        <v/>
      </c>
    </row>
    <row r="28" spans="1:8" s="10" customFormat="1">
      <c r="A28" s="1574">
        <f>$A$4</f>
        <v>16</v>
      </c>
      <c r="B28" s="1271">
        <v>3.3</v>
      </c>
      <c r="C28" s="1575"/>
      <c r="D28" s="1580" t="s">
        <v>1824</v>
      </c>
      <c r="E28" s="2618" t="s">
        <v>954</v>
      </c>
      <c r="F28" s="1577">
        <v>24</v>
      </c>
      <c r="G28" s="1578"/>
      <c r="H28" s="1501">
        <f t="shared" si="0"/>
        <v>0</v>
      </c>
    </row>
    <row r="29" spans="1:8" s="10" customFormat="1">
      <c r="A29" s="1574"/>
      <c r="B29" s="1271"/>
      <c r="C29" s="1575"/>
      <c r="D29" s="1580"/>
      <c r="E29" s="2618"/>
      <c r="F29" s="1577"/>
      <c r="G29" s="1578"/>
      <c r="H29" s="1501" t="str">
        <f t="shared" si="0"/>
        <v/>
      </c>
    </row>
    <row r="30" spans="1:8" s="10" customFormat="1">
      <c r="A30" s="1574">
        <f>$A$4</f>
        <v>16</v>
      </c>
      <c r="B30" s="1271">
        <v>3.4</v>
      </c>
      <c r="C30" s="1575"/>
      <c r="D30" s="694" t="s">
        <v>567</v>
      </c>
      <c r="E30" s="1818" t="s">
        <v>252</v>
      </c>
      <c r="F30" s="1577">
        <v>1</v>
      </c>
      <c r="G30" s="2281">
        <v>1250000</v>
      </c>
      <c r="H30" s="1501">
        <f t="shared" si="0"/>
        <v>1250000</v>
      </c>
    </row>
    <row r="31" spans="1:8" s="10" customFormat="1">
      <c r="A31" s="1574"/>
      <c r="B31" s="1271"/>
      <c r="C31" s="1575"/>
      <c r="D31" s="1580"/>
      <c r="E31" s="2618"/>
      <c r="F31" s="1577"/>
      <c r="G31" s="1578"/>
      <c r="H31" s="1501" t="str">
        <f t="shared" si="0"/>
        <v/>
      </c>
    </row>
    <row r="32" spans="1:8" s="10" customFormat="1" ht="26.4">
      <c r="A32" s="1574">
        <f>$A$4</f>
        <v>16</v>
      </c>
      <c r="B32" s="1888">
        <v>4</v>
      </c>
      <c r="C32" s="1575"/>
      <c r="D32" s="2241" t="s">
        <v>1040</v>
      </c>
      <c r="E32" s="2618"/>
      <c r="F32" s="1577"/>
      <c r="G32" s="1578"/>
      <c r="H32" s="1501" t="str">
        <f t="shared" si="0"/>
        <v/>
      </c>
    </row>
    <row r="33" spans="1:8" s="10" customFormat="1">
      <c r="A33" s="1574"/>
      <c r="B33" s="1271"/>
      <c r="C33" s="1575"/>
      <c r="D33" s="1580"/>
      <c r="E33" s="2618"/>
      <c r="F33" s="1577"/>
      <c r="G33" s="1578"/>
      <c r="H33" s="1501" t="str">
        <f t="shared" si="0"/>
        <v/>
      </c>
    </row>
    <row r="34" spans="1:8" s="10" customFormat="1" ht="26.4">
      <c r="A34" s="1574">
        <f>$A$4</f>
        <v>16</v>
      </c>
      <c r="B34" s="1271">
        <v>4.0999999999999996</v>
      </c>
      <c r="C34" s="1575"/>
      <c r="D34" s="1580" t="s">
        <v>1893</v>
      </c>
      <c r="E34" s="2618" t="s">
        <v>954</v>
      </c>
      <c r="F34" s="1577">
        <v>16</v>
      </c>
      <c r="G34" s="1578"/>
      <c r="H34" s="1501">
        <f t="shared" si="0"/>
        <v>0</v>
      </c>
    </row>
    <row r="35" spans="1:8" s="10" customFormat="1">
      <c r="A35" s="1574"/>
      <c r="B35" s="1271"/>
      <c r="C35" s="1575"/>
      <c r="D35" s="2240"/>
      <c r="E35" s="2618"/>
      <c r="F35" s="1577"/>
      <c r="G35" s="1578"/>
      <c r="H35" s="1501" t="str">
        <f t="shared" si="0"/>
        <v/>
      </c>
    </row>
    <row r="36" spans="1:8" s="10" customFormat="1" ht="26.4">
      <c r="A36" s="1574">
        <f>$A$4</f>
        <v>16</v>
      </c>
      <c r="B36" s="1271">
        <v>4.2</v>
      </c>
      <c r="C36" s="1575"/>
      <c r="D36" s="1580" t="s">
        <v>1894</v>
      </c>
      <c r="E36" s="2618" t="s">
        <v>954</v>
      </c>
      <c r="F36" s="1577">
        <v>12</v>
      </c>
      <c r="G36" s="1578"/>
      <c r="H36" s="1501">
        <f t="shared" si="0"/>
        <v>0</v>
      </c>
    </row>
    <row r="37" spans="1:8" s="10" customFormat="1">
      <c r="A37" s="1574"/>
      <c r="B37" s="1271"/>
      <c r="C37" s="1575"/>
      <c r="D37" s="1580"/>
      <c r="E37" s="2618"/>
      <c r="F37" s="1577"/>
      <c r="G37" s="1578"/>
      <c r="H37" s="1501" t="str">
        <f t="shared" si="0"/>
        <v/>
      </c>
    </row>
    <row r="38" spans="1:8" s="10" customFormat="1" ht="26.4">
      <c r="A38" s="1574">
        <f>$A$4</f>
        <v>16</v>
      </c>
      <c r="B38" s="1888">
        <v>5</v>
      </c>
      <c r="C38" s="1575"/>
      <c r="D38" s="2241" t="s">
        <v>1708</v>
      </c>
      <c r="E38" s="2618"/>
      <c r="F38" s="1577"/>
      <c r="G38" s="1578"/>
      <c r="H38" s="1501" t="str">
        <f t="shared" si="0"/>
        <v/>
      </c>
    </row>
    <row r="39" spans="1:8" s="10" customFormat="1">
      <c r="A39" s="1574"/>
      <c r="B39" s="1271"/>
      <c r="C39" s="1575"/>
      <c r="D39" s="1580"/>
      <c r="E39" s="2618"/>
      <c r="F39" s="1577"/>
      <c r="G39" s="1578"/>
      <c r="H39" s="1501" t="str">
        <f t="shared" si="0"/>
        <v/>
      </c>
    </row>
    <row r="40" spans="1:8" s="10" customFormat="1">
      <c r="A40" s="1574">
        <f>$A$4</f>
        <v>16</v>
      </c>
      <c r="B40" s="1271">
        <v>5.0999999999999996</v>
      </c>
      <c r="C40" s="1575"/>
      <c r="D40" s="1580" t="s">
        <v>1038</v>
      </c>
      <c r="E40" s="2618" t="s">
        <v>954</v>
      </c>
      <c r="F40" s="1577">
        <v>16</v>
      </c>
      <c r="G40" s="1578"/>
      <c r="H40" s="1501">
        <f t="shared" si="0"/>
        <v>0</v>
      </c>
    </row>
    <row r="41" spans="1:8" s="10" customFormat="1">
      <c r="A41" s="1574"/>
      <c r="B41" s="1271"/>
      <c r="C41" s="1575"/>
      <c r="D41" s="2240"/>
      <c r="E41" s="2618"/>
      <c r="F41" s="1577"/>
      <c r="G41" s="1578"/>
      <c r="H41" s="1501" t="str">
        <f t="shared" si="0"/>
        <v/>
      </c>
    </row>
    <row r="42" spans="1:8" s="10" customFormat="1">
      <c r="A42" s="1574">
        <f>$A$4</f>
        <v>16</v>
      </c>
      <c r="B42" s="1271">
        <v>5.2</v>
      </c>
      <c r="C42" s="1575"/>
      <c r="D42" s="1580" t="s">
        <v>1898</v>
      </c>
      <c r="E42" s="2618" t="s">
        <v>954</v>
      </c>
      <c r="F42" s="1577">
        <v>12</v>
      </c>
      <c r="G42" s="1578"/>
      <c r="H42" s="1501">
        <f t="shared" si="0"/>
        <v>0</v>
      </c>
    </row>
    <row r="43" spans="1:8" s="10" customFormat="1">
      <c r="A43" s="1574"/>
      <c r="B43" s="1271"/>
      <c r="C43" s="1575"/>
      <c r="D43" s="2240"/>
      <c r="E43" s="2618"/>
      <c r="F43" s="1577"/>
      <c r="G43" s="1578"/>
      <c r="H43" s="1501" t="str">
        <f t="shared" si="0"/>
        <v/>
      </c>
    </row>
    <row r="44" spans="1:8" s="10" customFormat="1">
      <c r="A44" s="1574">
        <f>$A$4</f>
        <v>16</v>
      </c>
      <c r="B44" s="1271">
        <v>5.3</v>
      </c>
      <c r="C44" s="1575"/>
      <c r="D44" s="1580" t="s">
        <v>1899</v>
      </c>
      <c r="E44" s="2618" t="s">
        <v>954</v>
      </c>
      <c r="F44" s="1577">
        <v>12</v>
      </c>
      <c r="G44" s="1578"/>
      <c r="H44" s="1501">
        <f t="shared" si="0"/>
        <v>0</v>
      </c>
    </row>
    <row r="45" spans="1:8" s="10" customFormat="1">
      <c r="A45" s="1574"/>
      <c r="B45" s="1271"/>
      <c r="C45" s="1575"/>
      <c r="D45" s="1580"/>
      <c r="E45" s="2618"/>
      <c r="F45" s="1577"/>
      <c r="G45" s="1578"/>
      <c r="H45" s="1501" t="str">
        <f t="shared" si="0"/>
        <v/>
      </c>
    </row>
    <row r="46" spans="1:8" s="10" customFormat="1" ht="26.4">
      <c r="A46" s="1574"/>
      <c r="B46" s="1271"/>
      <c r="C46" s="1575"/>
      <c r="D46" s="2241" t="s">
        <v>1714</v>
      </c>
      <c r="E46" s="2618"/>
      <c r="F46" s="1577"/>
      <c r="G46" s="1578"/>
      <c r="H46" s="1501" t="str">
        <f t="shared" si="0"/>
        <v/>
      </c>
    </row>
    <row r="47" spans="1:8" s="10" customFormat="1" ht="10.35" customHeight="1">
      <c r="A47" s="1574"/>
      <c r="B47" s="1271"/>
      <c r="C47" s="1575"/>
      <c r="D47" s="1580"/>
      <c r="E47" s="2618"/>
      <c r="F47" s="1577"/>
      <c r="G47" s="1578"/>
      <c r="H47" s="1501" t="str">
        <f t="shared" si="0"/>
        <v/>
      </c>
    </row>
    <row r="48" spans="1:8" s="10" customFormat="1" ht="39.6">
      <c r="A48" s="1574"/>
      <c r="B48" s="1271"/>
      <c r="C48" s="1575"/>
      <c r="D48" s="2241" t="s">
        <v>1715</v>
      </c>
      <c r="E48" s="2618"/>
      <c r="F48" s="1577"/>
      <c r="G48" s="1578"/>
      <c r="H48" s="1501" t="str">
        <f t="shared" si="0"/>
        <v/>
      </c>
    </row>
    <row r="49" spans="1:8" s="10" customFormat="1" ht="10.35" customHeight="1">
      <c r="A49" s="1574"/>
      <c r="B49" s="1271"/>
      <c r="C49" s="1575"/>
      <c r="D49" s="1580"/>
      <c r="E49" s="2618"/>
      <c r="F49" s="1577"/>
      <c r="G49" s="1578"/>
      <c r="H49" s="1501" t="str">
        <f t="shared" si="0"/>
        <v/>
      </c>
    </row>
    <row r="50" spans="1:8" s="10" customFormat="1" ht="26.4">
      <c r="A50" s="1574">
        <f>$A$4</f>
        <v>16</v>
      </c>
      <c r="B50" s="1888">
        <v>6</v>
      </c>
      <c r="C50" s="1575"/>
      <c r="D50" s="2241" t="s">
        <v>1900</v>
      </c>
      <c r="E50" s="2618"/>
      <c r="F50" s="1577"/>
      <c r="G50" s="1578"/>
      <c r="H50" s="1501" t="str">
        <f t="shared" si="0"/>
        <v/>
      </c>
    </row>
    <row r="51" spans="1:8" s="10" customFormat="1">
      <c r="A51" s="1574"/>
      <c r="B51" s="1271"/>
      <c r="C51" s="1575"/>
      <c r="D51" s="1580"/>
      <c r="E51" s="2618"/>
      <c r="F51" s="1577"/>
      <c r="G51" s="1578"/>
      <c r="H51" s="1501" t="str">
        <f t="shared" si="0"/>
        <v/>
      </c>
    </row>
    <row r="52" spans="1:8" s="10" customFormat="1" ht="26.4">
      <c r="A52" s="1574">
        <f>$A$4</f>
        <v>16</v>
      </c>
      <c r="B52" s="1271">
        <v>6.1</v>
      </c>
      <c r="C52" s="1575"/>
      <c r="D52" s="1580" t="s">
        <v>1901</v>
      </c>
      <c r="E52" s="2618" t="s">
        <v>954</v>
      </c>
      <c r="F52" s="1577">
        <v>16</v>
      </c>
      <c r="G52" s="1578"/>
      <c r="H52" s="1501">
        <f t="shared" si="0"/>
        <v>0</v>
      </c>
    </row>
    <row r="53" spans="1:8" s="10" customFormat="1">
      <c r="A53" s="1574"/>
      <c r="B53" s="1271"/>
      <c r="C53" s="1575"/>
      <c r="D53" s="1580"/>
      <c r="E53" s="2618"/>
      <c r="F53" s="1577"/>
      <c r="G53" s="1578"/>
      <c r="H53" s="1501" t="str">
        <f t="shared" si="0"/>
        <v/>
      </c>
    </row>
    <row r="54" spans="1:8" s="10" customFormat="1" ht="26.4">
      <c r="A54" s="1574">
        <f>$A$4</f>
        <v>16</v>
      </c>
      <c r="B54" s="1271">
        <v>6.2</v>
      </c>
      <c r="C54" s="1575"/>
      <c r="D54" s="1580" t="s">
        <v>1902</v>
      </c>
      <c r="E54" s="2618" t="s">
        <v>273</v>
      </c>
      <c r="F54" s="1577">
        <v>12</v>
      </c>
      <c r="G54" s="1578"/>
      <c r="H54" s="1501">
        <f t="shared" si="0"/>
        <v>0</v>
      </c>
    </row>
    <row r="55" spans="1:8" s="10" customFormat="1">
      <c r="A55" s="1574"/>
      <c r="B55" s="1271"/>
      <c r="C55" s="1575"/>
      <c r="D55" s="1580"/>
      <c r="E55" s="2618"/>
      <c r="F55" s="1577"/>
      <c r="G55" s="1578"/>
      <c r="H55" s="1501" t="str">
        <f t="shared" si="0"/>
        <v/>
      </c>
    </row>
    <row r="56" spans="1:8" s="10" customFormat="1" ht="26.4">
      <c r="A56" s="1574">
        <f>$A$4</f>
        <v>16</v>
      </c>
      <c r="B56" s="1888">
        <v>7</v>
      </c>
      <c r="C56" s="1575"/>
      <c r="D56" s="2241" t="s">
        <v>1903</v>
      </c>
      <c r="E56" s="2618"/>
      <c r="F56" s="1577"/>
      <c r="G56" s="1578"/>
      <c r="H56" s="1501" t="str">
        <f t="shared" si="0"/>
        <v/>
      </c>
    </row>
    <row r="57" spans="1:8" s="10" customFormat="1">
      <c r="A57" s="1574"/>
      <c r="B57" s="1271"/>
      <c r="C57" s="1575"/>
      <c r="D57" s="1580"/>
      <c r="E57" s="2618"/>
      <c r="F57" s="1577"/>
      <c r="G57" s="1578"/>
      <c r="H57" s="1501" t="str">
        <f t="shared" si="0"/>
        <v/>
      </c>
    </row>
    <row r="58" spans="1:8" s="10" customFormat="1">
      <c r="A58" s="1574">
        <f>$A$4</f>
        <v>16</v>
      </c>
      <c r="B58" s="1271">
        <v>7.1</v>
      </c>
      <c r="C58" s="1575"/>
      <c r="D58" s="1580" t="s">
        <v>1904</v>
      </c>
      <c r="E58" s="2618" t="s">
        <v>954</v>
      </c>
      <c r="F58" s="1577">
        <v>12</v>
      </c>
      <c r="G58" s="1578"/>
      <c r="H58" s="1501">
        <f t="shared" si="0"/>
        <v>0</v>
      </c>
    </row>
    <row r="59" spans="1:8" s="10" customFormat="1">
      <c r="A59" s="1574"/>
      <c r="B59" s="1271"/>
      <c r="C59" s="1575"/>
      <c r="D59" s="1580"/>
      <c r="E59" s="2618"/>
      <c r="F59" s="1577"/>
      <c r="G59" s="1578"/>
      <c r="H59" s="1501" t="str">
        <f t="shared" si="0"/>
        <v/>
      </c>
    </row>
    <row r="60" spans="1:8" s="10" customFormat="1" ht="12.75" customHeight="1">
      <c r="A60" s="1574">
        <f>$A$4</f>
        <v>16</v>
      </c>
      <c r="B60" s="1271">
        <v>7.2</v>
      </c>
      <c r="C60" s="1575"/>
      <c r="D60" s="1584" t="s">
        <v>1905</v>
      </c>
      <c r="E60" s="2618" t="s">
        <v>954</v>
      </c>
      <c r="F60" s="1577">
        <v>12</v>
      </c>
      <c r="G60" s="1578"/>
      <c r="H60" s="1501">
        <f t="shared" si="0"/>
        <v>0</v>
      </c>
    </row>
    <row r="61" spans="1:8" s="10" customFormat="1">
      <c r="A61" s="1574"/>
      <c r="B61" s="1271"/>
      <c r="C61" s="1575"/>
      <c r="D61" s="1580"/>
      <c r="E61" s="2618"/>
      <c r="F61" s="1577"/>
      <c r="G61" s="1578"/>
      <c r="H61" s="1501" t="str">
        <f t="shared" si="0"/>
        <v/>
      </c>
    </row>
    <row r="62" spans="1:8" s="10" customFormat="1">
      <c r="A62" s="1574">
        <f>$A$4</f>
        <v>16</v>
      </c>
      <c r="B62" s="1271">
        <v>7.3</v>
      </c>
      <c r="C62" s="1575"/>
      <c r="D62" s="1580" t="s">
        <v>1906</v>
      </c>
      <c r="E62" s="2618" t="s">
        <v>273</v>
      </c>
      <c r="F62" s="1577">
        <v>12</v>
      </c>
      <c r="G62" s="1578"/>
      <c r="H62" s="1501">
        <f t="shared" si="0"/>
        <v>0</v>
      </c>
    </row>
    <row r="63" spans="1:8" s="10" customFormat="1">
      <c r="A63" s="1574"/>
      <c r="B63" s="1271"/>
      <c r="C63" s="1575"/>
      <c r="D63" s="1580"/>
      <c r="E63" s="2618"/>
      <c r="F63" s="1577"/>
      <c r="G63" s="1578"/>
      <c r="H63" s="1501" t="str">
        <f t="shared" si="0"/>
        <v/>
      </c>
    </row>
    <row r="64" spans="1:8" s="10" customFormat="1">
      <c r="A64" s="1574"/>
      <c r="B64" s="1271"/>
      <c r="C64" s="1575"/>
      <c r="D64" s="1580"/>
      <c r="E64" s="2618"/>
      <c r="F64" s="1577"/>
      <c r="G64" s="1578"/>
      <c r="H64" s="2082"/>
    </row>
    <row r="65" spans="1:8" s="10" customFormat="1">
      <c r="A65" s="1574"/>
      <c r="B65" s="1271"/>
      <c r="C65" s="1575"/>
      <c r="D65" s="1580"/>
      <c r="E65" s="2618"/>
      <c r="F65" s="1577"/>
      <c r="G65" s="1578"/>
      <c r="H65" s="2620"/>
    </row>
    <row r="66" spans="1:8" s="10" customFormat="1">
      <c r="A66" s="1574"/>
      <c r="B66" s="1271"/>
      <c r="C66" s="1575"/>
      <c r="D66" s="1580"/>
      <c r="E66" s="2618"/>
      <c r="F66" s="1577"/>
      <c r="G66" s="1578"/>
      <c r="H66" s="2620"/>
    </row>
    <row r="67" spans="1:8" s="10" customFormat="1">
      <c r="A67" s="1786"/>
      <c r="B67" s="787"/>
      <c r="C67" s="872"/>
      <c r="D67" s="872"/>
      <c r="E67" s="801"/>
      <c r="F67" s="873"/>
      <c r="G67" s="2595"/>
      <c r="H67" s="2621"/>
    </row>
    <row r="68" spans="1:8" s="10" customFormat="1">
      <c r="A68" s="2566"/>
      <c r="B68" s="566"/>
      <c r="C68" s="423"/>
      <c r="D68" s="413" t="s">
        <v>289</v>
      </c>
      <c r="E68" s="426"/>
      <c r="F68" s="24"/>
      <c r="G68" s="1468"/>
      <c r="H68" s="2622">
        <f>SUM(H3:H66)</f>
        <v>1250000</v>
      </c>
    </row>
    <row r="69" spans="1:8" s="10" customFormat="1">
      <c r="A69" s="1574"/>
      <c r="B69" s="1271"/>
      <c r="C69" s="1575"/>
      <c r="D69" s="1552" t="s">
        <v>290</v>
      </c>
      <c r="E69" s="2618"/>
      <c r="F69" s="1577"/>
      <c r="G69" s="1578"/>
      <c r="H69" s="2623">
        <f>H68</f>
        <v>1250000</v>
      </c>
    </row>
    <row r="70" spans="1:8" s="10" customFormat="1">
      <c r="A70" s="1574"/>
      <c r="B70" s="1271"/>
      <c r="C70" s="1575"/>
      <c r="D70" s="1580"/>
      <c r="E70" s="2618"/>
      <c r="F70" s="1577"/>
      <c r="G70" s="1578"/>
      <c r="H70" s="2620"/>
    </row>
    <row r="71" spans="1:8" s="10" customFormat="1" ht="52.8">
      <c r="A71" s="1574">
        <f>$A$4</f>
        <v>16</v>
      </c>
      <c r="B71" s="1888">
        <v>8</v>
      </c>
      <c r="C71" s="1575"/>
      <c r="D71" s="2241" t="s">
        <v>1752</v>
      </c>
      <c r="E71" s="2618"/>
      <c r="F71" s="1577"/>
      <c r="G71" s="1578"/>
      <c r="H71" s="2620"/>
    </row>
    <row r="72" spans="1:8" s="10" customFormat="1">
      <c r="A72" s="1574"/>
      <c r="B72" s="1271"/>
      <c r="C72" s="1575"/>
      <c r="D72" s="2241"/>
      <c r="E72" s="2618"/>
      <c r="F72" s="1577"/>
      <c r="G72" s="1578"/>
      <c r="H72" s="2620"/>
    </row>
    <row r="73" spans="1:8" s="10" customFormat="1">
      <c r="A73" s="1574">
        <f>$A$4</f>
        <v>16</v>
      </c>
      <c r="B73" s="1271">
        <v>8.1</v>
      </c>
      <c r="C73" s="1575"/>
      <c r="D73" s="1580" t="s">
        <v>1907</v>
      </c>
      <c r="E73" s="2618" t="s">
        <v>273</v>
      </c>
      <c r="F73" s="1577">
        <v>16</v>
      </c>
      <c r="G73" s="1578"/>
      <c r="H73" s="1501">
        <f t="shared" ref="H73:H98" si="1">IF(E73="","",ROUND(F73*G73,2))</f>
        <v>0</v>
      </c>
    </row>
    <row r="74" spans="1:8" s="10" customFormat="1">
      <c r="A74" s="1574"/>
      <c r="B74" s="1271"/>
      <c r="C74" s="1575"/>
      <c r="D74" s="2241"/>
      <c r="E74" s="2618"/>
      <c r="F74" s="1577"/>
      <c r="G74" s="1578"/>
      <c r="H74" s="1501" t="str">
        <f t="shared" si="1"/>
        <v/>
      </c>
    </row>
    <row r="75" spans="1:8" s="10" customFormat="1">
      <c r="A75" s="1574">
        <f>$A$4</f>
        <v>16</v>
      </c>
      <c r="B75" s="1271">
        <v>8.1999999999999993</v>
      </c>
      <c r="C75" s="1575"/>
      <c r="D75" s="1580" t="s">
        <v>1908</v>
      </c>
      <c r="E75" s="2618" t="s">
        <v>691</v>
      </c>
      <c r="F75" s="1577">
        <v>12</v>
      </c>
      <c r="G75" s="1578"/>
      <c r="H75" s="1501">
        <f t="shared" si="1"/>
        <v>0</v>
      </c>
    </row>
    <row r="76" spans="1:8" s="10" customFormat="1">
      <c r="A76" s="1574"/>
      <c r="B76" s="1271"/>
      <c r="C76" s="1575"/>
      <c r="D76" s="2241"/>
      <c r="E76" s="2618"/>
      <c r="F76" s="1577"/>
      <c r="G76" s="1578"/>
      <c r="H76" s="1501" t="str">
        <f t="shared" si="1"/>
        <v/>
      </c>
    </row>
    <row r="77" spans="1:8" s="10" customFormat="1">
      <c r="A77" s="1574">
        <f>$A$4</f>
        <v>16</v>
      </c>
      <c r="B77" s="1271">
        <v>8.3000000000000007</v>
      </c>
      <c r="C77" s="1575"/>
      <c r="D77" s="1580" t="s">
        <v>1909</v>
      </c>
      <c r="E77" s="2618" t="s">
        <v>691</v>
      </c>
      <c r="F77" s="1577">
        <v>12</v>
      </c>
      <c r="G77" s="1578"/>
      <c r="H77" s="1501">
        <f t="shared" si="1"/>
        <v>0</v>
      </c>
    </row>
    <row r="78" spans="1:8" s="10" customFormat="1">
      <c r="A78" s="1574"/>
      <c r="B78" s="1271"/>
      <c r="C78" s="1575"/>
      <c r="D78" s="2241"/>
      <c r="E78" s="2618"/>
      <c r="F78" s="1577"/>
      <c r="G78" s="1578"/>
      <c r="H78" s="1501" t="str">
        <f t="shared" si="1"/>
        <v/>
      </c>
    </row>
    <row r="79" spans="1:8" s="10" customFormat="1">
      <c r="A79" s="1574">
        <f>$A$4</f>
        <v>16</v>
      </c>
      <c r="B79" s="1271">
        <v>8.4</v>
      </c>
      <c r="C79" s="1575"/>
      <c r="D79" s="1580" t="s">
        <v>1910</v>
      </c>
      <c r="E79" s="2618" t="s">
        <v>691</v>
      </c>
      <c r="F79" s="1577">
        <v>12</v>
      </c>
      <c r="G79" s="1578"/>
      <c r="H79" s="1501">
        <f t="shared" si="1"/>
        <v>0</v>
      </c>
    </row>
    <row r="80" spans="1:8" s="10" customFormat="1">
      <c r="A80" s="1574"/>
      <c r="B80" s="1271"/>
      <c r="C80" s="1575"/>
      <c r="D80" s="2241"/>
      <c r="E80" s="2618"/>
      <c r="F80" s="1577"/>
      <c r="G80" s="1578"/>
      <c r="H80" s="1501" t="str">
        <f t="shared" si="1"/>
        <v/>
      </c>
    </row>
    <row r="81" spans="1:8" s="10" customFormat="1">
      <c r="A81" s="1574">
        <f>$A$4</f>
        <v>16</v>
      </c>
      <c r="B81" s="1271">
        <v>8.5</v>
      </c>
      <c r="C81" s="1575"/>
      <c r="D81" s="1580" t="s">
        <v>1911</v>
      </c>
      <c r="E81" s="2618" t="s">
        <v>691</v>
      </c>
      <c r="F81" s="1577">
        <v>12</v>
      </c>
      <c r="G81" s="1578"/>
      <c r="H81" s="1501">
        <f t="shared" si="1"/>
        <v>0</v>
      </c>
    </row>
    <row r="82" spans="1:8" s="10" customFormat="1">
      <c r="A82" s="1574"/>
      <c r="B82" s="1900"/>
      <c r="C82" s="2592"/>
      <c r="D82" s="2241"/>
      <c r="E82" s="2624"/>
      <c r="F82" s="1585"/>
      <c r="G82" s="1581"/>
      <c r="H82" s="1501" t="str">
        <f t="shared" si="1"/>
        <v/>
      </c>
    </row>
    <row r="83" spans="1:8" s="10" customFormat="1">
      <c r="A83" s="1574">
        <f>$A$4</f>
        <v>16</v>
      </c>
      <c r="B83" s="1900">
        <v>8.6</v>
      </c>
      <c r="C83" s="2592"/>
      <c r="D83" s="1580" t="s">
        <v>1912</v>
      </c>
      <c r="E83" s="2618" t="s">
        <v>691</v>
      </c>
      <c r="F83" s="1585">
        <v>16</v>
      </c>
      <c r="G83" s="1581"/>
      <c r="H83" s="1501">
        <f t="shared" si="1"/>
        <v>0</v>
      </c>
    </row>
    <row r="84" spans="1:8" s="10" customFormat="1">
      <c r="A84" s="1574"/>
      <c r="B84" s="1271"/>
      <c r="C84" s="1575"/>
      <c r="D84" s="2241"/>
      <c r="E84" s="2618"/>
      <c r="F84" s="1577"/>
      <c r="G84" s="1578"/>
      <c r="H84" s="1501" t="str">
        <f t="shared" si="1"/>
        <v/>
      </c>
    </row>
    <row r="85" spans="1:8" s="10" customFormat="1">
      <c r="A85" s="1574">
        <f>$A$4</f>
        <v>16</v>
      </c>
      <c r="B85" s="1271">
        <v>8.6999999999999993</v>
      </c>
      <c r="C85" s="1575"/>
      <c r="D85" s="1580" t="s">
        <v>1913</v>
      </c>
      <c r="E85" s="2618" t="s">
        <v>691</v>
      </c>
      <c r="F85" s="1577">
        <v>12</v>
      </c>
      <c r="G85" s="1581"/>
      <c r="H85" s="1501">
        <f t="shared" si="1"/>
        <v>0</v>
      </c>
    </row>
    <row r="86" spans="1:8" s="10" customFormat="1">
      <c r="A86" s="1574"/>
      <c r="B86" s="1271"/>
      <c r="C86" s="1575"/>
      <c r="D86" s="1580"/>
      <c r="E86" s="2618"/>
      <c r="F86" s="1577"/>
      <c r="G86" s="1578"/>
      <c r="H86" s="1501" t="str">
        <f t="shared" si="1"/>
        <v/>
      </c>
    </row>
    <row r="87" spans="1:8" s="10" customFormat="1" ht="52.8">
      <c r="A87" s="1574">
        <f>$A$4</f>
        <v>16</v>
      </c>
      <c r="B87" s="1888">
        <v>9</v>
      </c>
      <c r="C87" s="147"/>
      <c r="D87" s="2241" t="s">
        <v>1784</v>
      </c>
      <c r="E87" s="1575"/>
      <c r="F87" s="2625"/>
      <c r="G87" s="1578"/>
      <c r="H87" s="1501" t="str">
        <f t="shared" si="1"/>
        <v/>
      </c>
    </row>
    <row r="88" spans="1:8" s="10" customFormat="1">
      <c r="A88" s="1574"/>
      <c r="B88" s="1271"/>
      <c r="C88" s="1575"/>
      <c r="D88" s="2241"/>
      <c r="E88" s="2618"/>
      <c r="F88" s="1577"/>
      <c r="G88" s="1578"/>
      <c r="H88" s="1501" t="str">
        <f t="shared" si="1"/>
        <v/>
      </c>
    </row>
    <row r="89" spans="1:8" s="10" customFormat="1">
      <c r="A89" s="1574">
        <f>$A$4</f>
        <v>16</v>
      </c>
      <c r="B89" s="1271">
        <v>9.1</v>
      </c>
      <c r="C89" s="1575"/>
      <c r="D89" s="1580" t="s">
        <v>1914</v>
      </c>
      <c r="E89" s="2618" t="s">
        <v>273</v>
      </c>
      <c r="F89" s="1577">
        <v>16</v>
      </c>
      <c r="G89" s="1578"/>
      <c r="H89" s="1501">
        <f t="shared" si="1"/>
        <v>0</v>
      </c>
    </row>
    <row r="90" spans="1:8" s="10" customFormat="1">
      <c r="A90" s="1574"/>
      <c r="B90" s="1271"/>
      <c r="C90" s="1575"/>
      <c r="D90" s="2241"/>
      <c r="E90" s="2618"/>
      <c r="F90" s="1577"/>
      <c r="G90" s="1578"/>
      <c r="H90" s="1501" t="str">
        <f t="shared" si="1"/>
        <v/>
      </c>
    </row>
    <row r="91" spans="1:8" s="10" customFormat="1">
      <c r="A91" s="1574">
        <f>$A$4</f>
        <v>16</v>
      </c>
      <c r="B91" s="1271">
        <v>9.1999999999999993</v>
      </c>
      <c r="C91" s="1575"/>
      <c r="D91" s="1580" t="s">
        <v>1915</v>
      </c>
      <c r="E91" s="2618" t="s">
        <v>691</v>
      </c>
      <c r="F91" s="1577">
        <v>12</v>
      </c>
      <c r="G91" s="1578"/>
      <c r="H91" s="1501">
        <f t="shared" si="1"/>
        <v>0</v>
      </c>
    </row>
    <row r="92" spans="1:8" s="10" customFormat="1">
      <c r="A92" s="1574"/>
      <c r="B92" s="1271"/>
      <c r="C92" s="1575"/>
      <c r="D92" s="2241"/>
      <c r="E92" s="2618"/>
      <c r="F92" s="1577"/>
      <c r="G92" s="1578"/>
      <c r="H92" s="1501" t="str">
        <f t="shared" si="1"/>
        <v/>
      </c>
    </row>
    <row r="93" spans="1:8" s="10" customFormat="1">
      <c r="A93" s="1574">
        <f>$A$4</f>
        <v>16</v>
      </c>
      <c r="B93" s="1271">
        <v>9.3000000000000007</v>
      </c>
      <c r="C93" s="1575"/>
      <c r="D93" s="1580" t="s">
        <v>1916</v>
      </c>
      <c r="E93" s="2618" t="s">
        <v>691</v>
      </c>
      <c r="F93" s="1577">
        <v>12</v>
      </c>
      <c r="G93" s="1578"/>
      <c r="H93" s="1501">
        <f t="shared" si="1"/>
        <v>0</v>
      </c>
    </row>
    <row r="94" spans="1:8" s="471" customFormat="1">
      <c r="A94" s="2600"/>
      <c r="B94" s="1900"/>
      <c r="C94" s="2592"/>
      <c r="D94" s="2241"/>
      <c r="E94" s="2624"/>
      <c r="F94" s="1585"/>
      <c r="G94" s="1581"/>
      <c r="H94" s="1501" t="str">
        <f t="shared" si="1"/>
        <v/>
      </c>
    </row>
    <row r="95" spans="1:8" s="471" customFormat="1">
      <c r="A95" s="1574">
        <f>$A$4</f>
        <v>16</v>
      </c>
      <c r="B95" s="1900">
        <v>9.4</v>
      </c>
      <c r="C95" s="2592"/>
      <c r="D95" s="1580" t="s">
        <v>1917</v>
      </c>
      <c r="E95" s="2618" t="s">
        <v>691</v>
      </c>
      <c r="F95" s="1585">
        <v>16</v>
      </c>
      <c r="G95" s="1581"/>
      <c r="H95" s="1501">
        <f t="shared" si="1"/>
        <v>0</v>
      </c>
    </row>
    <row r="96" spans="1:8" s="471" customFormat="1">
      <c r="A96" s="2600"/>
      <c r="B96" s="1900"/>
      <c r="C96" s="2592"/>
      <c r="D96" s="2241"/>
      <c r="E96" s="2618"/>
      <c r="F96" s="1577"/>
      <c r="G96" s="1581"/>
      <c r="H96" s="1501" t="str">
        <f t="shared" si="1"/>
        <v/>
      </c>
    </row>
    <row r="97" spans="1:8" s="471" customFormat="1">
      <c r="A97" s="1574">
        <f>$A$4</f>
        <v>16</v>
      </c>
      <c r="B97" s="1900">
        <v>9.5</v>
      </c>
      <c r="C97" s="2592"/>
      <c r="D97" s="1580" t="s">
        <v>1918</v>
      </c>
      <c r="E97" s="2618" t="s">
        <v>691</v>
      </c>
      <c r="F97" s="1577">
        <v>12</v>
      </c>
      <c r="G97" s="1581"/>
      <c r="H97" s="1501">
        <f t="shared" si="1"/>
        <v>0</v>
      </c>
    </row>
    <row r="98" spans="1:8">
      <c r="A98" s="2383"/>
      <c r="B98" s="2601"/>
      <c r="C98" s="1554"/>
      <c r="D98" s="2358"/>
      <c r="E98" s="2041"/>
      <c r="F98" s="2040"/>
      <c r="G98" s="2602"/>
      <c r="H98" s="1501" t="str">
        <f t="shared" si="1"/>
        <v/>
      </c>
    </row>
    <row r="99" spans="1:8">
      <c r="A99" s="2383"/>
      <c r="B99" s="2601"/>
      <c r="C99" s="1554"/>
      <c r="D99" s="2362"/>
      <c r="E99" s="2041"/>
      <c r="F99" s="2040"/>
      <c r="G99" s="2602"/>
      <c r="H99" s="2620"/>
    </row>
    <row r="100" spans="1:8">
      <c r="A100" s="2383"/>
      <c r="B100" s="2601"/>
      <c r="C100" s="1554"/>
      <c r="D100" s="2358"/>
      <c r="E100" s="2041"/>
      <c r="F100" s="2040"/>
      <c r="G100" s="2602"/>
      <c r="H100" s="2620"/>
    </row>
    <row r="101" spans="1:8">
      <c r="A101" s="2383"/>
      <c r="B101" s="2601"/>
      <c r="C101" s="1554"/>
      <c r="D101" s="2358"/>
      <c r="E101" s="2041"/>
      <c r="F101" s="2603"/>
      <c r="G101" s="2602"/>
      <c r="H101" s="2620"/>
    </row>
    <row r="102" spans="1:8">
      <c r="A102" s="2383"/>
      <c r="B102" s="2601"/>
      <c r="C102" s="1554"/>
      <c r="D102" s="2358"/>
      <c r="E102" s="2626"/>
      <c r="F102" s="2040"/>
      <c r="G102" s="2602"/>
      <c r="H102" s="2615"/>
    </row>
    <row r="103" spans="1:8">
      <c r="A103" s="2383"/>
      <c r="B103" s="2601"/>
      <c r="C103" s="1554"/>
      <c r="D103" s="2362"/>
      <c r="E103" s="2626"/>
      <c r="F103" s="2040"/>
      <c r="G103" s="2602"/>
      <c r="H103" s="2615"/>
    </row>
    <row r="104" spans="1:8">
      <c r="A104" s="2383"/>
      <c r="B104" s="2601"/>
      <c r="C104" s="1554"/>
      <c r="D104" s="2358"/>
      <c r="E104" s="2626"/>
      <c r="F104" s="2040"/>
      <c r="G104" s="2602"/>
      <c r="H104" s="2615"/>
    </row>
    <row r="105" spans="1:8">
      <c r="A105" s="2383"/>
      <c r="B105" s="2601"/>
      <c r="C105" s="1554"/>
      <c r="D105" s="2358"/>
      <c r="E105" s="2041"/>
      <c r="F105" s="2603"/>
      <c r="G105" s="2602"/>
      <c r="H105" s="2627"/>
    </row>
    <row r="106" spans="1:8">
      <c r="A106" s="2383"/>
      <c r="B106" s="2601"/>
      <c r="C106" s="1554"/>
      <c r="D106" s="2358"/>
      <c r="E106" s="2626"/>
      <c r="F106" s="2040"/>
      <c r="G106" s="2602"/>
      <c r="H106" s="2627"/>
    </row>
    <row r="107" spans="1:8">
      <c r="A107" s="2383"/>
      <c r="B107" s="2601"/>
      <c r="C107" s="1554"/>
      <c r="D107" s="2362"/>
      <c r="E107" s="2626"/>
      <c r="F107" s="2040"/>
      <c r="G107" s="2602"/>
      <c r="H107" s="2627"/>
    </row>
    <row r="108" spans="1:8">
      <c r="A108" s="2383"/>
      <c r="B108" s="2601"/>
      <c r="C108" s="1554"/>
      <c r="D108" s="2358"/>
      <c r="E108" s="2626"/>
      <c r="F108" s="2040"/>
      <c r="G108" s="2602"/>
      <c r="H108" s="2627"/>
    </row>
    <row r="109" spans="1:8">
      <c r="A109" s="2383"/>
      <c r="B109" s="2601"/>
      <c r="C109" s="1554"/>
      <c r="D109" s="2605"/>
      <c r="E109" s="2626"/>
      <c r="F109" s="2603"/>
      <c r="G109" s="2602"/>
      <c r="H109" s="2627"/>
    </row>
    <row r="110" spans="1:8">
      <c r="A110" s="2383"/>
      <c r="B110" s="2601"/>
      <c r="C110" s="1554"/>
      <c r="D110" s="2358"/>
      <c r="E110" s="2626"/>
      <c r="F110" s="2040"/>
      <c r="G110" s="1813"/>
      <c r="H110" s="2615"/>
    </row>
    <row r="111" spans="1:8">
      <c r="A111" s="2383"/>
      <c r="B111" s="1769"/>
      <c r="C111" s="2628"/>
      <c r="D111" s="1773"/>
      <c r="E111" s="2196"/>
      <c r="F111" s="2629"/>
      <c r="G111" s="1813"/>
      <c r="H111" s="2630"/>
    </row>
    <row r="112" spans="1:8">
      <c r="A112" s="2383"/>
      <c r="B112" s="2414"/>
      <c r="C112" s="2343"/>
      <c r="D112" s="2167"/>
      <c r="E112" s="2196"/>
      <c r="F112" s="2629"/>
      <c r="G112" s="1813"/>
      <c r="H112" s="2630"/>
    </row>
    <row r="113" spans="1:8">
      <c r="A113" s="812"/>
      <c r="B113" s="2414"/>
      <c r="C113" s="2343"/>
      <c r="D113" s="2631"/>
      <c r="E113" s="2196"/>
      <c r="F113" s="2629"/>
      <c r="G113" s="1813"/>
      <c r="H113" s="2630"/>
    </row>
    <row r="114" spans="1:8">
      <c r="A114" s="2383"/>
      <c r="B114" s="1550"/>
      <c r="C114" s="2632"/>
      <c r="D114" s="2167"/>
      <c r="E114" s="2196"/>
      <c r="F114" s="2629"/>
      <c r="G114" s="1813"/>
      <c r="H114" s="2630"/>
    </row>
    <row r="115" spans="1:8">
      <c r="A115" s="2383"/>
      <c r="B115" s="1550"/>
      <c r="C115" s="2632"/>
      <c r="D115" s="2633"/>
      <c r="E115" s="2634"/>
      <c r="F115" s="2635"/>
      <c r="G115" s="2613"/>
      <c r="H115" s="2636"/>
    </row>
    <row r="116" spans="1:8">
      <c r="A116" s="2383"/>
      <c r="B116" s="1550"/>
      <c r="C116" s="2632"/>
      <c r="D116" s="2167"/>
      <c r="E116" s="2196"/>
      <c r="F116" s="2629"/>
      <c r="G116" s="1813"/>
      <c r="H116" s="2630"/>
    </row>
    <row r="117" spans="1:8">
      <c r="A117" s="2383"/>
      <c r="B117" s="1550"/>
      <c r="C117" s="2632"/>
      <c r="D117" s="2631"/>
      <c r="E117" s="2196"/>
      <c r="F117" s="2629"/>
      <c r="G117" s="1813"/>
      <c r="H117" s="2630"/>
    </row>
    <row r="118" spans="1:8">
      <c r="A118" s="2383"/>
      <c r="B118" s="1550"/>
      <c r="C118" s="2632"/>
      <c r="D118" s="2631"/>
      <c r="E118" s="2196"/>
      <c r="F118" s="2629"/>
      <c r="G118" s="1813"/>
      <c r="H118" s="2630"/>
    </row>
    <row r="119" spans="1:8">
      <c r="A119" s="2383"/>
      <c r="B119" s="1550"/>
      <c r="C119" s="2632"/>
      <c r="D119" s="2631"/>
      <c r="E119" s="2196"/>
      <c r="F119" s="2629"/>
      <c r="G119" s="1813"/>
      <c r="H119" s="2630"/>
    </row>
    <row r="120" spans="1:8">
      <c r="A120" s="2383"/>
      <c r="B120" s="1550"/>
      <c r="C120" s="2632"/>
      <c r="D120" s="2631"/>
      <c r="E120" s="2196"/>
      <c r="F120" s="2629"/>
      <c r="G120" s="1813"/>
      <c r="H120" s="2630"/>
    </row>
    <row r="121" spans="1:8">
      <c r="A121" s="2383"/>
      <c r="B121" s="1550"/>
      <c r="C121" s="2632"/>
      <c r="D121" s="2631"/>
      <c r="E121" s="2196"/>
      <c r="F121" s="2629"/>
      <c r="G121" s="1813"/>
      <c r="H121" s="2630"/>
    </row>
    <row r="122" spans="1:8">
      <c r="A122" s="2383"/>
      <c r="B122" s="1550"/>
      <c r="C122" s="2632"/>
      <c r="D122" s="2631"/>
      <c r="E122" s="2196"/>
      <c r="F122" s="2629"/>
      <c r="G122" s="1813"/>
      <c r="H122" s="2630"/>
    </row>
    <row r="123" spans="1:8">
      <c r="A123" s="2383"/>
      <c r="B123" s="1550"/>
      <c r="C123" s="2632"/>
      <c r="D123" s="2631"/>
      <c r="E123" s="2196"/>
      <c r="F123" s="2629"/>
      <c r="G123" s="1813"/>
      <c r="H123" s="2630"/>
    </row>
    <row r="124" spans="1:8">
      <c r="A124" s="2383"/>
      <c r="B124" s="1550"/>
      <c r="C124" s="2632"/>
      <c r="D124" s="2631"/>
      <c r="E124" s="2196"/>
      <c r="F124" s="2629"/>
      <c r="G124" s="1813"/>
      <c r="H124" s="2630"/>
    </row>
    <row r="125" spans="1:8">
      <c r="A125" s="2383"/>
      <c r="B125" s="1550"/>
      <c r="C125" s="2632"/>
      <c r="D125" s="2631"/>
      <c r="E125" s="2196"/>
      <c r="F125" s="2629"/>
      <c r="G125" s="1813"/>
      <c r="H125" s="2630"/>
    </row>
    <row r="126" spans="1:8">
      <c r="A126" s="2383"/>
      <c r="B126" s="1550"/>
      <c r="C126" s="2632"/>
      <c r="D126" s="2631"/>
      <c r="E126" s="2196"/>
      <c r="F126" s="2629"/>
      <c r="G126" s="1813"/>
      <c r="H126" s="2630"/>
    </row>
    <row r="127" spans="1:8">
      <c r="A127" s="2383"/>
      <c r="B127" s="1550"/>
      <c r="C127" s="2632"/>
      <c r="D127" s="2631"/>
      <c r="E127" s="2196"/>
      <c r="F127" s="2629"/>
      <c r="G127" s="1813"/>
      <c r="H127" s="2630"/>
    </row>
    <row r="128" spans="1:8">
      <c r="A128" s="2383"/>
      <c r="B128" s="1550"/>
      <c r="C128" s="2632"/>
      <c r="D128" s="2631"/>
      <c r="E128" s="2196"/>
      <c r="F128" s="2629"/>
      <c r="G128" s="1813"/>
      <c r="H128" s="2630"/>
    </row>
    <row r="129" spans="1:8">
      <c r="A129" s="2383"/>
      <c r="B129" s="2614"/>
      <c r="C129" s="2637"/>
      <c r="D129" s="2356"/>
      <c r="E129" s="2626"/>
      <c r="F129" s="2638"/>
      <c r="G129" s="1813"/>
      <c r="H129" s="2615"/>
    </row>
    <row r="130" spans="1:8">
      <c r="A130" s="2383"/>
      <c r="B130" s="2601"/>
      <c r="C130" s="2637"/>
      <c r="D130" s="2358"/>
      <c r="E130" s="2626"/>
      <c r="F130" s="2040"/>
      <c r="G130" s="1813"/>
      <c r="H130" s="2615"/>
    </row>
    <row r="131" spans="1:8">
      <c r="A131" s="2383"/>
      <c r="B131" s="2601"/>
      <c r="C131" s="2637"/>
      <c r="D131" s="2360"/>
      <c r="E131" s="2626"/>
      <c r="F131" s="2040"/>
      <c r="G131" s="1813"/>
      <c r="H131" s="2615"/>
    </row>
    <row r="132" spans="1:8">
      <c r="A132" s="2383"/>
      <c r="B132" s="2601"/>
      <c r="C132" s="1554"/>
      <c r="D132" s="2358"/>
      <c r="E132" s="2041"/>
      <c r="F132" s="2040"/>
      <c r="G132" s="1813"/>
      <c r="H132" s="2615"/>
    </row>
    <row r="133" spans="1:8">
      <c r="A133" s="2383"/>
      <c r="B133" s="2601"/>
      <c r="C133" s="1554"/>
      <c r="D133" s="1983"/>
      <c r="E133" s="2041"/>
      <c r="F133" s="2040"/>
      <c r="G133" s="2639"/>
      <c r="H133" s="2640"/>
    </row>
    <row r="134" spans="1:8">
      <c r="A134" s="2383"/>
      <c r="B134" s="2601"/>
      <c r="C134" s="1550"/>
      <c r="D134" s="2061"/>
      <c r="E134" s="2041"/>
      <c r="F134" s="2040"/>
      <c r="G134" s="1466"/>
      <c r="H134" s="2604"/>
    </row>
    <row r="135" spans="1:8">
      <c r="A135" s="2383"/>
      <c r="B135" s="2601"/>
      <c r="C135" s="1550"/>
      <c r="D135" s="2061"/>
      <c r="E135" s="2041"/>
      <c r="F135" s="2040"/>
      <c r="G135" s="1466"/>
      <c r="H135" s="2604"/>
    </row>
    <row r="136" spans="1:8">
      <c r="A136" s="2383"/>
      <c r="B136" s="2601"/>
      <c r="C136" s="1550"/>
      <c r="D136" s="2061"/>
      <c r="E136" s="2041"/>
      <c r="F136" s="2040"/>
      <c r="G136" s="1466"/>
      <c r="H136" s="2604"/>
    </row>
    <row r="137" spans="1:8">
      <c r="A137" s="2383"/>
      <c r="B137" s="2601"/>
      <c r="C137" s="1550"/>
      <c r="D137" s="2061"/>
      <c r="E137" s="2041"/>
      <c r="F137" s="2040"/>
      <c r="G137" s="1466"/>
      <c r="H137" s="2604"/>
    </row>
    <row r="138" spans="1:8">
      <c r="A138" s="2383"/>
      <c r="B138" s="2601"/>
      <c r="C138" s="1550"/>
      <c r="D138" s="2061"/>
      <c r="E138" s="2041"/>
      <c r="F138" s="2040"/>
      <c r="G138" s="1466"/>
      <c r="H138" s="2604"/>
    </row>
    <row r="139" spans="1:8">
      <c r="A139" s="2383"/>
      <c r="B139" s="2601"/>
      <c r="C139" s="1550"/>
      <c r="D139" s="2061"/>
      <c r="E139" s="2041"/>
      <c r="F139" s="2040"/>
      <c r="G139" s="1466"/>
      <c r="H139" s="2604"/>
    </row>
    <row r="140" spans="1:8">
      <c r="A140" s="2383"/>
      <c r="B140" s="2601"/>
      <c r="C140" s="1550"/>
      <c r="D140" s="2061"/>
      <c r="E140" s="2041"/>
      <c r="F140" s="2040"/>
      <c r="G140" s="1466"/>
      <c r="H140" s="2604"/>
    </row>
    <row r="141" spans="1:8">
      <c r="A141" s="2383"/>
      <c r="B141" s="2601"/>
      <c r="C141" s="1550"/>
      <c r="D141" s="2061"/>
      <c r="E141" s="2041"/>
      <c r="F141" s="2040"/>
      <c r="G141" s="1466"/>
      <c r="H141" s="2604"/>
    </row>
    <row r="142" spans="1:8">
      <c r="A142" s="2383"/>
      <c r="B142" s="2601"/>
      <c r="C142" s="1554"/>
      <c r="D142" s="2605"/>
      <c r="E142" s="2606"/>
      <c r="F142" s="2603"/>
      <c r="G142" s="1467"/>
      <c r="H142" s="2607"/>
    </row>
    <row r="143" spans="1:8">
      <c r="A143" s="2383"/>
      <c r="B143" s="2601"/>
      <c r="C143" s="1554"/>
      <c r="D143" s="2358"/>
      <c r="E143" s="2041"/>
      <c r="F143" s="2040"/>
      <c r="G143" s="1466"/>
      <c r="H143" s="2604"/>
    </row>
    <row r="144" spans="1:8">
      <c r="A144" s="2383"/>
      <c r="B144" s="585"/>
      <c r="C144" s="1554"/>
      <c r="D144" s="2358"/>
      <c r="E144" s="1550"/>
      <c r="F144" s="2603"/>
      <c r="G144" s="1466"/>
      <c r="H144" s="2604"/>
    </row>
    <row r="145" spans="1:8">
      <c r="A145" s="1754"/>
      <c r="B145" s="428"/>
      <c r="C145" s="502"/>
      <c r="D145" s="429"/>
      <c r="E145" s="428"/>
      <c r="F145" s="432"/>
      <c r="G145" s="1469"/>
      <c r="H145" s="2608"/>
    </row>
    <row r="146" spans="1:8">
      <c r="A146" s="2380"/>
      <c r="B146" s="316"/>
      <c r="C146" s="490"/>
      <c r="D146" s="491" t="s">
        <v>1919</v>
      </c>
      <c r="E146" s="316"/>
      <c r="F146" s="492"/>
      <c r="G146" s="1470"/>
      <c r="H146" s="2500">
        <f>SUM(H69:H144)</f>
        <v>1250000</v>
      </c>
    </row>
  </sheetData>
  <sheetProtection algorithmName="SHA-512" hashValue="I9udwraNXMzbEtZq3WiZsa6L/x8IlcYsKxS0dsEipWtLjSBYREmiifGQ97MzpKtbjqR0yQWdpyPMk6tiIpf/8w==" saltValue="mkwyR4gp0GMF0CVpiIzIxA==" spinCount="100000" sheet="1" objects="1" scenarios="1"/>
  <mergeCells count="1">
    <mergeCell ref="A1:H1"/>
  </mergeCells>
  <phoneticPr fontId="33" type="noConversion"/>
  <pageMargins left="0.59055118110236227" right="0.59055118110236227" top="1.1023622047244095" bottom="0.78740157480314965" header="0.27559055118110237" footer="0.27559055118110237"/>
  <pageSetup paperSize="9" scale="64" firstPageNumber="101" fitToHeight="0" orientation="portrait" useFirstPageNumber="1" r:id="rId1"/>
  <headerFooter alignWithMargins="0">
    <oddHeader>&amp;L&amp;G&amp;CContract JW 14425
Bushkoppie Wastewater Treatment Works:
Infrastructure Renewal Plan
Volume 1 
C 2.2 Bill of Quantities&amp;R&amp;G</oddHeader>
    <oddFooter>&amp;C&amp;12
&amp;G
C.&amp;P</oddFooter>
  </headerFooter>
  <rowBreaks count="1" manualBreakCount="1">
    <brk id="68"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H408"/>
  <sheetViews>
    <sheetView view="pageBreakPreview" zoomScale="90" zoomScaleNormal="90" zoomScaleSheetLayoutView="90" workbookViewId="0">
      <selection activeCell="J12" sqref="J12"/>
    </sheetView>
  </sheetViews>
  <sheetFormatPr defaultColWidth="6.109375" defaultRowHeight="13.2"/>
  <cols>
    <col min="1" max="1" width="8.88671875" style="9" customWidth="1"/>
    <col min="2" max="2" width="9.88671875" style="12" customWidth="1"/>
    <col min="3" max="3" width="58.88671875" style="12" customWidth="1"/>
    <col min="4" max="4" width="8.88671875" style="12" customWidth="1"/>
    <col min="5" max="5" width="10.88671875" style="9" customWidth="1"/>
    <col min="6" max="6" width="14.88671875" style="723" customWidth="1"/>
    <col min="7" max="7" width="20.88671875" style="723" customWidth="1"/>
    <col min="8" max="8" width="10.88671875" style="12" bestFit="1" customWidth="1"/>
    <col min="9" max="16384" width="6.109375" style="12"/>
  </cols>
  <sheetData>
    <row r="1" spans="1:7" s="7" customFormat="1" ht="30" customHeight="1">
      <c r="A1" s="3007" t="s">
        <v>216</v>
      </c>
      <c r="B1" s="3008"/>
      <c r="C1" s="3008"/>
      <c r="D1" s="3008"/>
      <c r="E1" s="3008"/>
      <c r="F1" s="3008"/>
      <c r="G1" s="3009"/>
    </row>
    <row r="2" spans="1:7" s="32" customFormat="1" ht="26.4">
      <c r="A2" s="452" t="s">
        <v>217</v>
      </c>
      <c r="B2" s="453" t="s">
        <v>218</v>
      </c>
      <c r="C2" s="417" t="s">
        <v>219</v>
      </c>
      <c r="D2" s="414" t="s">
        <v>220</v>
      </c>
      <c r="E2" s="454" t="s">
        <v>221</v>
      </c>
      <c r="F2" s="455" t="s">
        <v>222</v>
      </c>
      <c r="G2" s="473" t="s">
        <v>223</v>
      </c>
    </row>
    <row r="3" spans="1:7">
      <c r="A3" s="1667"/>
      <c r="B3" s="1667"/>
      <c r="C3" s="1668"/>
      <c r="D3" s="1669"/>
      <c r="E3" s="1670"/>
      <c r="F3" s="1671"/>
      <c r="G3" s="1510"/>
    </row>
    <row r="4" spans="1:7" ht="26.4">
      <c r="A4" s="1667">
        <v>1.1000000000000001</v>
      </c>
      <c r="B4" s="1672" t="s">
        <v>224</v>
      </c>
      <c r="C4" s="1673" t="s">
        <v>225</v>
      </c>
      <c r="D4" s="1669"/>
      <c r="E4" s="1670"/>
      <c r="F4" s="1671"/>
      <c r="G4" s="1510"/>
    </row>
    <row r="5" spans="1:7">
      <c r="A5" s="1667"/>
      <c r="B5" s="1667"/>
      <c r="C5" s="1668"/>
      <c r="D5" s="1669"/>
      <c r="E5" s="1670"/>
      <c r="F5" s="1671"/>
      <c r="G5" s="1510"/>
    </row>
    <row r="6" spans="1:7">
      <c r="A6" s="1667"/>
      <c r="B6" s="1667" t="s">
        <v>226</v>
      </c>
      <c r="C6" s="1673" t="s">
        <v>227</v>
      </c>
      <c r="D6" s="1669"/>
      <c r="E6" s="1670"/>
      <c r="F6" s="1671"/>
      <c r="G6" s="1510"/>
    </row>
    <row r="7" spans="1:7">
      <c r="A7" s="1667"/>
      <c r="B7" s="1667"/>
      <c r="C7" s="1668"/>
      <c r="D7" s="1669"/>
      <c r="E7" s="1670"/>
      <c r="F7" s="1671"/>
      <c r="G7" s="1510"/>
    </row>
    <row r="8" spans="1:7">
      <c r="A8" s="1667" t="s">
        <v>228</v>
      </c>
      <c r="B8" s="1667"/>
      <c r="C8" s="1668" t="s">
        <v>229</v>
      </c>
      <c r="D8" s="1669" t="s">
        <v>230</v>
      </c>
      <c r="E8" s="1670">
        <v>1</v>
      </c>
      <c r="F8" s="1671"/>
      <c r="G8" s="1510">
        <f>IF(D8="","",ROUND(E8*F8,2))</f>
        <v>0</v>
      </c>
    </row>
    <row r="9" spans="1:7">
      <c r="A9" s="1667"/>
      <c r="B9" s="1667"/>
      <c r="C9" s="1668"/>
      <c r="D9" s="1669"/>
      <c r="E9" s="1670"/>
      <c r="F9" s="1671"/>
      <c r="G9" s="1510" t="str">
        <f t="shared" ref="G9:G61" si="0">IF(D9="","",ROUND(E9*F9,2))</f>
        <v/>
      </c>
    </row>
    <row r="10" spans="1:7">
      <c r="A10" s="1667" t="s">
        <v>231</v>
      </c>
      <c r="B10" s="1667"/>
      <c r="C10" s="1668" t="s">
        <v>232</v>
      </c>
      <c r="D10" s="1669" t="s">
        <v>230</v>
      </c>
      <c r="E10" s="1670">
        <v>1</v>
      </c>
      <c r="F10" s="1671"/>
      <c r="G10" s="1510">
        <f t="shared" si="0"/>
        <v>0</v>
      </c>
    </row>
    <row r="11" spans="1:7">
      <c r="A11" s="1667"/>
      <c r="B11" s="1667"/>
      <c r="C11" s="1668"/>
      <c r="D11" s="1669"/>
      <c r="E11" s="1670"/>
      <c r="F11" s="1671"/>
      <c r="G11" s="1510" t="str">
        <f t="shared" si="0"/>
        <v/>
      </c>
    </row>
    <row r="12" spans="1:7">
      <c r="A12" s="1667" t="s">
        <v>233</v>
      </c>
      <c r="B12" s="1667"/>
      <c r="C12" s="1668" t="s">
        <v>234</v>
      </c>
      <c r="D12" s="1669" t="s">
        <v>230</v>
      </c>
      <c r="E12" s="1670">
        <v>1</v>
      </c>
      <c r="F12" s="1671"/>
      <c r="G12" s="1510">
        <f t="shared" si="0"/>
        <v>0</v>
      </c>
    </row>
    <row r="13" spans="1:7">
      <c r="A13" s="1667"/>
      <c r="B13" s="1667"/>
      <c r="C13" s="1668"/>
      <c r="D13" s="1669"/>
      <c r="E13" s="1670"/>
      <c r="F13" s="1671"/>
      <c r="G13" s="1510" t="str">
        <f t="shared" si="0"/>
        <v/>
      </c>
    </row>
    <row r="14" spans="1:7">
      <c r="A14" s="1667" t="s">
        <v>235</v>
      </c>
      <c r="B14" s="1667"/>
      <c r="C14" s="1668" t="s">
        <v>236</v>
      </c>
      <c r="D14" s="1669" t="s">
        <v>230</v>
      </c>
      <c r="E14" s="1670">
        <v>1</v>
      </c>
      <c r="F14" s="1671"/>
      <c r="G14" s="1510">
        <f t="shared" si="0"/>
        <v>0</v>
      </c>
    </row>
    <row r="15" spans="1:7">
      <c r="A15" s="1667"/>
      <c r="B15" s="1667"/>
      <c r="C15" s="1668"/>
      <c r="D15" s="1669"/>
      <c r="E15" s="1670"/>
      <c r="F15" s="1671"/>
      <c r="G15" s="1510" t="str">
        <f t="shared" si="0"/>
        <v/>
      </c>
    </row>
    <row r="16" spans="1:7">
      <c r="A16" s="1667" t="s">
        <v>237</v>
      </c>
      <c r="B16" s="1667"/>
      <c r="C16" s="1668" t="s">
        <v>238</v>
      </c>
      <c r="D16" s="1669" t="s">
        <v>230</v>
      </c>
      <c r="E16" s="1670">
        <v>1</v>
      </c>
      <c r="F16" s="1671"/>
      <c r="G16" s="1510">
        <f t="shared" si="0"/>
        <v>0</v>
      </c>
    </row>
    <row r="17" spans="1:7">
      <c r="A17" s="1667"/>
      <c r="B17" s="1667"/>
      <c r="C17" s="1668"/>
      <c r="D17" s="1669"/>
      <c r="E17" s="1670"/>
      <c r="F17" s="1671"/>
      <c r="G17" s="1510" t="str">
        <f t="shared" si="0"/>
        <v/>
      </c>
    </row>
    <row r="18" spans="1:7">
      <c r="A18" s="1667" t="s">
        <v>239</v>
      </c>
      <c r="B18" s="1667"/>
      <c r="C18" s="1668" t="s">
        <v>240</v>
      </c>
      <c r="D18" s="1669" t="s">
        <v>230</v>
      </c>
      <c r="E18" s="1670">
        <v>1</v>
      </c>
      <c r="F18" s="1671"/>
      <c r="G18" s="1510">
        <f t="shared" si="0"/>
        <v>0</v>
      </c>
    </row>
    <row r="19" spans="1:7">
      <c r="A19" s="1667"/>
      <c r="B19" s="1667"/>
      <c r="C19" s="1674"/>
      <c r="D19" s="1669"/>
      <c r="E19" s="1670"/>
      <c r="F19" s="1671"/>
      <c r="G19" s="1510" t="str">
        <f t="shared" si="0"/>
        <v/>
      </c>
    </row>
    <row r="20" spans="1:7" ht="26.4">
      <c r="A20" s="1667" t="s">
        <v>241</v>
      </c>
      <c r="B20" s="1667"/>
      <c r="C20" s="1675" t="s">
        <v>242</v>
      </c>
      <c r="D20" s="1669" t="s">
        <v>230</v>
      </c>
      <c r="E20" s="1670">
        <v>1</v>
      </c>
      <c r="F20" s="1671"/>
      <c r="G20" s="1510">
        <f t="shared" si="0"/>
        <v>0</v>
      </c>
    </row>
    <row r="21" spans="1:7">
      <c r="A21" s="1667"/>
      <c r="B21" s="1667"/>
      <c r="C21" s="1675"/>
      <c r="D21" s="1669"/>
      <c r="E21" s="1670"/>
      <c r="F21" s="1671"/>
      <c r="G21" s="1510" t="str">
        <f t="shared" si="0"/>
        <v/>
      </c>
    </row>
    <row r="22" spans="1:7" ht="20.25" customHeight="1">
      <c r="A22" s="1667"/>
      <c r="B22" s="1667"/>
      <c r="C22" s="1676" t="s">
        <v>243</v>
      </c>
      <c r="D22" s="1669"/>
      <c r="E22" s="1670"/>
      <c r="F22" s="1671"/>
      <c r="G22" s="1510" t="str">
        <f t="shared" si="0"/>
        <v/>
      </c>
    </row>
    <row r="23" spans="1:7">
      <c r="A23" s="1667"/>
      <c r="B23" s="1667"/>
      <c r="C23" s="1674"/>
      <c r="D23" s="1669"/>
      <c r="E23" s="1670"/>
      <c r="F23" s="1671"/>
      <c r="G23" s="1510" t="str">
        <f t="shared" si="0"/>
        <v/>
      </c>
    </row>
    <row r="24" spans="1:7" ht="26.4">
      <c r="A24" s="1667" t="s">
        <v>244</v>
      </c>
      <c r="B24" s="1667"/>
      <c r="C24" s="1675" t="s">
        <v>245</v>
      </c>
      <c r="D24" s="1669" t="s">
        <v>230</v>
      </c>
      <c r="E24" s="1670">
        <v>1</v>
      </c>
      <c r="F24" s="1671"/>
      <c r="G24" s="1510">
        <f t="shared" si="0"/>
        <v>0</v>
      </c>
    </row>
    <row r="25" spans="1:7">
      <c r="A25" s="1667"/>
      <c r="B25" s="1667"/>
      <c r="C25" s="1675"/>
      <c r="D25" s="1669"/>
      <c r="E25" s="1670"/>
      <c r="F25" s="1671"/>
      <c r="G25" s="1510" t="str">
        <f t="shared" si="0"/>
        <v/>
      </c>
    </row>
    <row r="26" spans="1:7" s="724" customFormat="1" ht="12.6" customHeight="1">
      <c r="A26" s="1677"/>
      <c r="B26" s="1678"/>
      <c r="C26" s="1679" t="s">
        <v>246</v>
      </c>
      <c r="D26" s="1677"/>
      <c r="E26" s="1680"/>
      <c r="F26" s="1681"/>
      <c r="G26" s="1510" t="str">
        <f t="shared" si="0"/>
        <v/>
      </c>
    </row>
    <row r="27" spans="1:7" s="724" customFormat="1" ht="12.6" customHeight="1">
      <c r="A27" s="1682"/>
      <c r="B27" s="725"/>
      <c r="C27" s="1683"/>
      <c r="D27" s="1684"/>
      <c r="E27" s="1685"/>
      <c r="F27" s="1686"/>
      <c r="G27" s="1510" t="str">
        <f t="shared" si="0"/>
        <v/>
      </c>
    </row>
    <row r="28" spans="1:7" s="724" customFormat="1" ht="26.4">
      <c r="A28" s="1687" t="s">
        <v>247</v>
      </c>
      <c r="B28" s="1687"/>
      <c r="C28" s="1675" t="s">
        <v>248</v>
      </c>
      <c r="D28" s="1687"/>
      <c r="E28" s="1688"/>
      <c r="F28" s="1689"/>
      <c r="G28" s="1510" t="str">
        <f t="shared" si="0"/>
        <v/>
      </c>
    </row>
    <row r="29" spans="1:7" s="724" customFormat="1" ht="24.75" customHeight="1">
      <c r="A29" s="1687"/>
      <c r="B29" s="1687"/>
      <c r="C29" s="1676" t="s">
        <v>249</v>
      </c>
      <c r="D29" s="1687"/>
      <c r="E29" s="1690"/>
      <c r="F29" s="1689"/>
      <c r="G29" s="1510" t="str">
        <f t="shared" si="0"/>
        <v/>
      </c>
    </row>
    <row r="30" spans="1:7" s="724" customFormat="1" ht="12.6" customHeight="1">
      <c r="A30" s="1687"/>
      <c r="B30" s="1691"/>
      <c r="C30" s="1691"/>
      <c r="D30" s="1691"/>
      <c r="E30" s="1692"/>
      <c r="F30" s="1689"/>
      <c r="G30" s="1510" t="str">
        <f t="shared" si="0"/>
        <v/>
      </c>
    </row>
    <row r="31" spans="1:7" s="724" customFormat="1" ht="39.6">
      <c r="A31" s="1687" t="s">
        <v>250</v>
      </c>
      <c r="B31" s="1691"/>
      <c r="C31" s="1691" t="s">
        <v>251</v>
      </c>
      <c r="D31" s="1667" t="s">
        <v>252</v>
      </c>
      <c r="E31" s="1670">
        <v>1</v>
      </c>
      <c r="F31" s="1689"/>
      <c r="G31" s="1510">
        <f t="shared" si="0"/>
        <v>0</v>
      </c>
    </row>
    <row r="32" spans="1:7" s="724" customFormat="1" ht="12.6" customHeight="1">
      <c r="A32" s="1687"/>
      <c r="B32" s="1691"/>
      <c r="C32" s="1691"/>
      <c r="D32" s="1667"/>
      <c r="E32" s="1670"/>
      <c r="F32" s="1689"/>
      <c r="G32" s="1510" t="str">
        <f t="shared" si="0"/>
        <v/>
      </c>
    </row>
    <row r="33" spans="1:7" s="724" customFormat="1" ht="38.25" customHeight="1">
      <c r="A33" s="1687" t="s">
        <v>253</v>
      </c>
      <c r="B33" s="1691"/>
      <c r="C33" s="1691" t="s">
        <v>254</v>
      </c>
      <c r="D33" s="1667" t="s">
        <v>252</v>
      </c>
      <c r="E33" s="1670">
        <v>1</v>
      </c>
      <c r="F33" s="1689"/>
      <c r="G33" s="1510">
        <f t="shared" si="0"/>
        <v>0</v>
      </c>
    </row>
    <row r="34" spans="1:7" s="724" customFormat="1" ht="12.6" customHeight="1">
      <c r="A34" s="1687"/>
      <c r="B34" s="1691"/>
      <c r="C34" s="1691"/>
      <c r="D34" s="1691"/>
      <c r="E34" s="1693"/>
      <c r="F34" s="1689"/>
      <c r="G34" s="1510" t="str">
        <f t="shared" si="0"/>
        <v/>
      </c>
    </row>
    <row r="35" spans="1:7" s="724" customFormat="1" ht="39.6">
      <c r="A35" s="1687" t="s">
        <v>255</v>
      </c>
      <c r="B35" s="1691"/>
      <c r="C35" s="1691" t="s">
        <v>256</v>
      </c>
      <c r="D35" s="1687" t="s">
        <v>257</v>
      </c>
      <c r="E35" s="1694"/>
      <c r="F35" s="1689"/>
      <c r="G35" s="1510">
        <f t="shared" si="0"/>
        <v>0</v>
      </c>
    </row>
    <row r="36" spans="1:7">
      <c r="A36" s="1667"/>
      <c r="B36" s="1667"/>
      <c r="C36" s="1668"/>
      <c r="D36" s="1669"/>
      <c r="E36" s="1670"/>
      <c r="F36" s="1671"/>
      <c r="G36" s="1510" t="str">
        <f t="shared" si="0"/>
        <v/>
      </c>
    </row>
    <row r="37" spans="1:7" ht="26.4">
      <c r="A37" s="1667"/>
      <c r="B37" s="1687" t="s">
        <v>224</v>
      </c>
      <c r="C37" s="1673" t="s">
        <v>258</v>
      </c>
      <c r="D37" s="1669"/>
      <c r="E37" s="1670"/>
      <c r="F37" s="1671"/>
      <c r="G37" s="1510" t="str">
        <f>IF(D37="","",ROUND(E37*F37,2))</f>
        <v/>
      </c>
    </row>
    <row r="38" spans="1:7">
      <c r="A38" s="1667"/>
      <c r="B38" s="1667"/>
      <c r="C38" s="1668"/>
      <c r="D38" s="1669"/>
      <c r="E38" s="1670"/>
      <c r="F38" s="1671"/>
      <c r="G38" s="1510" t="str">
        <f t="shared" si="0"/>
        <v/>
      </c>
    </row>
    <row r="39" spans="1:7">
      <c r="A39" s="1667"/>
      <c r="B39" s="1667" t="s">
        <v>259</v>
      </c>
      <c r="C39" s="1695" t="s">
        <v>260</v>
      </c>
      <c r="D39" s="1669"/>
      <c r="E39" s="1670"/>
      <c r="F39" s="1671"/>
      <c r="G39" s="1510" t="str">
        <f t="shared" si="0"/>
        <v/>
      </c>
    </row>
    <row r="40" spans="1:7">
      <c r="A40" s="1667"/>
      <c r="C40" s="1691"/>
      <c r="D40" s="1667"/>
      <c r="E40" s="1670"/>
      <c r="F40" s="1671"/>
      <c r="G40" s="1510" t="str">
        <f t="shared" si="0"/>
        <v/>
      </c>
    </row>
    <row r="41" spans="1:7">
      <c r="A41" s="1696" t="s">
        <v>261</v>
      </c>
      <c r="B41" s="1667" t="s">
        <v>262</v>
      </c>
      <c r="C41" s="1691" t="s">
        <v>263</v>
      </c>
      <c r="D41" s="1667" t="s">
        <v>230</v>
      </c>
      <c r="E41" s="1670">
        <v>1</v>
      </c>
      <c r="F41" s="1671"/>
      <c r="G41" s="1510">
        <f t="shared" si="0"/>
        <v>0</v>
      </c>
    </row>
    <row r="42" spans="1:7">
      <c r="A42" s="1667"/>
      <c r="B42" s="1667"/>
      <c r="C42" s="1668"/>
      <c r="D42" s="1669"/>
      <c r="E42" s="1670"/>
      <c r="F42" s="1671"/>
      <c r="G42" s="1510" t="str">
        <f t="shared" si="0"/>
        <v/>
      </c>
    </row>
    <row r="43" spans="1:7">
      <c r="A43" s="1667" t="s">
        <v>264</v>
      </c>
      <c r="B43" s="1667" t="s">
        <v>265</v>
      </c>
      <c r="C43" s="1691" t="s">
        <v>266</v>
      </c>
      <c r="D43" s="1667" t="s">
        <v>230</v>
      </c>
      <c r="E43" s="1670">
        <v>1</v>
      </c>
      <c r="F43" s="1671"/>
      <c r="G43" s="1510">
        <f t="shared" si="0"/>
        <v>0</v>
      </c>
    </row>
    <row r="44" spans="1:7">
      <c r="A44" s="1667"/>
      <c r="B44" s="1667"/>
      <c r="C44" s="1668"/>
      <c r="D44" s="1669"/>
      <c r="E44" s="1670"/>
      <c r="F44" s="1671"/>
      <c r="G44" s="1510" t="str">
        <f t="shared" si="0"/>
        <v/>
      </c>
    </row>
    <row r="45" spans="1:7">
      <c r="A45" s="1667" t="s">
        <v>267</v>
      </c>
      <c r="B45" s="1667" t="s">
        <v>268</v>
      </c>
      <c r="C45" s="1697" t="s">
        <v>269</v>
      </c>
      <c r="D45" s="1667" t="s">
        <v>230</v>
      </c>
      <c r="E45" s="1670">
        <v>1</v>
      </c>
      <c r="F45" s="1671"/>
      <c r="G45" s="1510">
        <f t="shared" si="0"/>
        <v>0</v>
      </c>
    </row>
    <row r="46" spans="1:7">
      <c r="A46" s="1667"/>
      <c r="B46" s="1667"/>
      <c r="C46" s="1691"/>
      <c r="D46" s="1669"/>
      <c r="E46" s="1670"/>
      <c r="F46" s="1671"/>
      <c r="G46" s="1510" t="str">
        <f t="shared" si="0"/>
        <v/>
      </c>
    </row>
    <row r="47" spans="1:7">
      <c r="A47" s="1667" t="s">
        <v>270</v>
      </c>
      <c r="B47" s="1667" t="s">
        <v>271</v>
      </c>
      <c r="C47" s="1691" t="s">
        <v>272</v>
      </c>
      <c r="D47" s="1667" t="s">
        <v>273</v>
      </c>
      <c r="E47" s="1670">
        <v>8</v>
      </c>
      <c r="F47" s="1671"/>
      <c r="G47" s="1510">
        <f t="shared" si="0"/>
        <v>0</v>
      </c>
    </row>
    <row r="48" spans="1:7">
      <c r="A48" s="1667"/>
      <c r="B48" s="1667"/>
      <c r="C48" s="1691"/>
      <c r="D48" s="1669"/>
      <c r="E48" s="1670"/>
      <c r="F48" s="1671"/>
      <c r="G48" s="1510" t="str">
        <f t="shared" si="0"/>
        <v/>
      </c>
    </row>
    <row r="49" spans="1:7" ht="26.4">
      <c r="A49" s="1667" t="s">
        <v>274</v>
      </c>
      <c r="B49" s="1687" t="s">
        <v>275</v>
      </c>
      <c r="C49" s="1691" t="s">
        <v>276</v>
      </c>
      <c r="D49" s="1667" t="s">
        <v>230</v>
      </c>
      <c r="E49" s="1670">
        <v>1</v>
      </c>
      <c r="F49" s="1671"/>
      <c r="G49" s="1510">
        <f t="shared" si="0"/>
        <v>0</v>
      </c>
    </row>
    <row r="50" spans="1:7">
      <c r="A50" s="1667"/>
      <c r="B50" s="1667"/>
      <c r="C50" s="1668"/>
      <c r="D50" s="1669"/>
      <c r="E50" s="1670"/>
      <c r="F50" s="1671"/>
      <c r="G50" s="1510" t="str">
        <f t="shared" si="0"/>
        <v/>
      </c>
    </row>
    <row r="51" spans="1:7" ht="26.4">
      <c r="A51" s="1667"/>
      <c r="B51" s="1672" t="s">
        <v>224</v>
      </c>
      <c r="C51" s="1695" t="s">
        <v>277</v>
      </c>
      <c r="D51" s="1667"/>
      <c r="E51" s="1670"/>
      <c r="F51" s="1671"/>
      <c r="G51" s="1510" t="str">
        <f t="shared" si="0"/>
        <v/>
      </c>
    </row>
    <row r="52" spans="1:7">
      <c r="A52" s="1667"/>
      <c r="B52" s="1667"/>
      <c r="C52" s="1668"/>
      <c r="D52" s="1669"/>
      <c r="E52" s="1670"/>
      <c r="F52" s="1671"/>
      <c r="G52" s="1510" t="str">
        <f t="shared" si="0"/>
        <v/>
      </c>
    </row>
    <row r="53" spans="1:7">
      <c r="A53" s="1667" t="s">
        <v>278</v>
      </c>
      <c r="B53" s="1667" t="s">
        <v>279</v>
      </c>
      <c r="C53" s="1691" t="s">
        <v>280</v>
      </c>
      <c r="D53" s="1667" t="s">
        <v>230</v>
      </c>
      <c r="E53" s="1670">
        <v>1</v>
      </c>
      <c r="F53" s="1671"/>
      <c r="G53" s="1510">
        <f t="shared" si="0"/>
        <v>0</v>
      </c>
    </row>
    <row r="54" spans="1:7">
      <c r="A54" s="1667"/>
      <c r="B54" s="1667"/>
      <c r="C54" s="1668"/>
      <c r="D54" s="1669"/>
      <c r="E54" s="1670"/>
      <c r="F54" s="1671"/>
      <c r="G54" s="1510" t="str">
        <f t="shared" si="0"/>
        <v/>
      </c>
    </row>
    <row r="55" spans="1:7">
      <c r="A55" s="1667" t="s">
        <v>281</v>
      </c>
      <c r="B55" s="1667"/>
      <c r="C55" s="1691" t="s">
        <v>282</v>
      </c>
      <c r="D55" s="1667" t="s">
        <v>230</v>
      </c>
      <c r="E55" s="1670">
        <v>1</v>
      </c>
      <c r="F55" s="1671"/>
      <c r="G55" s="1510">
        <f t="shared" si="0"/>
        <v>0</v>
      </c>
    </row>
    <row r="56" spans="1:7">
      <c r="A56" s="1667"/>
      <c r="B56" s="1667"/>
      <c r="C56" s="1668"/>
      <c r="D56" s="1669"/>
      <c r="E56" s="1670"/>
      <c r="F56" s="1671"/>
      <c r="G56" s="1510" t="str">
        <f t="shared" si="0"/>
        <v/>
      </c>
    </row>
    <row r="57" spans="1:7">
      <c r="A57" s="1667" t="s">
        <v>283</v>
      </c>
      <c r="B57" s="1667"/>
      <c r="C57" s="1691" t="s">
        <v>284</v>
      </c>
      <c r="D57" s="1667" t="s">
        <v>230</v>
      </c>
      <c r="E57" s="1670">
        <v>1</v>
      </c>
      <c r="F57" s="1671"/>
      <c r="G57" s="1510">
        <f t="shared" si="0"/>
        <v>0</v>
      </c>
    </row>
    <row r="58" spans="1:7">
      <c r="A58" s="1667"/>
      <c r="B58" s="1667"/>
      <c r="C58" s="1668"/>
      <c r="D58" s="1669"/>
      <c r="E58" s="1670"/>
      <c r="F58" s="1671"/>
      <c r="G58" s="1510" t="str">
        <f t="shared" si="0"/>
        <v/>
      </c>
    </row>
    <row r="59" spans="1:7">
      <c r="A59" s="1667" t="s">
        <v>285</v>
      </c>
      <c r="B59" s="1667"/>
      <c r="C59" s="1691" t="s">
        <v>286</v>
      </c>
      <c r="D59" s="1667" t="s">
        <v>230</v>
      </c>
      <c r="E59" s="1670">
        <v>1</v>
      </c>
      <c r="F59" s="1671"/>
      <c r="G59" s="1510">
        <f t="shared" si="0"/>
        <v>0</v>
      </c>
    </row>
    <row r="60" spans="1:7">
      <c r="A60" s="1667"/>
      <c r="B60" s="1667"/>
      <c r="C60" s="1668"/>
      <c r="D60" s="1669"/>
      <c r="E60" s="1670"/>
      <c r="F60" s="1671"/>
      <c r="G60" s="1510" t="str">
        <f t="shared" si="0"/>
        <v/>
      </c>
    </row>
    <row r="61" spans="1:7">
      <c r="A61" s="1667" t="s">
        <v>287</v>
      </c>
      <c r="B61" s="1667"/>
      <c r="C61" s="1691" t="s">
        <v>288</v>
      </c>
      <c r="D61" s="1667" t="s">
        <v>230</v>
      </c>
      <c r="E61" s="1670">
        <v>1</v>
      </c>
      <c r="F61" s="1671"/>
      <c r="G61" s="1510">
        <f t="shared" si="0"/>
        <v>0</v>
      </c>
    </row>
    <row r="62" spans="1:7">
      <c r="A62" s="1667"/>
      <c r="B62" s="1667"/>
      <c r="C62" s="1668"/>
      <c r="D62" s="1669"/>
      <c r="E62" s="1670"/>
      <c r="F62" s="1671"/>
      <c r="G62" s="1510"/>
    </row>
    <row r="63" spans="1:7">
      <c r="A63" s="869"/>
      <c r="B63" s="801"/>
      <c r="C63" s="801"/>
      <c r="D63" s="801"/>
      <c r="E63" s="800"/>
      <c r="F63" s="1698"/>
      <c r="G63" s="1699"/>
    </row>
    <row r="64" spans="1:7">
      <c r="A64" s="802"/>
      <c r="B64" s="426"/>
      <c r="C64" s="457" t="s">
        <v>289</v>
      </c>
      <c r="D64" s="426"/>
      <c r="E64" s="425"/>
      <c r="F64" s="1492"/>
      <c r="G64" s="1491">
        <f>SUM(G3:G62)</f>
        <v>0</v>
      </c>
    </row>
    <row r="65" spans="1:7">
      <c r="A65" s="1700"/>
      <c r="B65" s="1701"/>
      <c r="C65" s="1702" t="s">
        <v>290</v>
      </c>
      <c r="D65" s="1701"/>
      <c r="E65" s="1271"/>
      <c r="F65" s="1703"/>
      <c r="G65" s="1704">
        <f>G64</f>
        <v>0</v>
      </c>
    </row>
    <row r="66" spans="1:7">
      <c r="A66" s="1667"/>
      <c r="B66" s="1667"/>
      <c r="C66" s="1668"/>
      <c r="D66" s="1669"/>
      <c r="E66" s="1670"/>
      <c r="F66" s="1671"/>
      <c r="G66" s="1510"/>
    </row>
    <row r="67" spans="1:7">
      <c r="A67" s="1667" t="s">
        <v>291</v>
      </c>
      <c r="B67" s="1705"/>
      <c r="C67" s="1706" t="s">
        <v>292</v>
      </c>
      <c r="D67" s="1707" t="s">
        <v>230</v>
      </c>
      <c r="E67" s="1708">
        <v>1</v>
      </c>
      <c r="F67" s="1709"/>
      <c r="G67" s="1510">
        <f t="shared" ref="G67:G128" si="1">IF(D67="","",ROUND(E67*F67,2))</f>
        <v>0</v>
      </c>
    </row>
    <row r="68" spans="1:7">
      <c r="A68" s="52"/>
      <c r="B68" s="1705"/>
      <c r="C68" s="1706"/>
      <c r="D68" s="1707"/>
      <c r="E68" s="1708"/>
      <c r="F68" s="1709"/>
      <c r="G68" s="1510" t="str">
        <f t="shared" si="1"/>
        <v/>
      </c>
    </row>
    <row r="69" spans="1:7">
      <c r="A69" s="1667" t="s">
        <v>293</v>
      </c>
      <c r="B69" s="1705"/>
      <c r="C69" s="1706" t="s">
        <v>294</v>
      </c>
      <c r="D69" s="1707" t="s">
        <v>230</v>
      </c>
      <c r="E69" s="1708">
        <v>1</v>
      </c>
      <c r="F69" s="1709"/>
      <c r="G69" s="1510">
        <f t="shared" si="1"/>
        <v>0</v>
      </c>
    </row>
    <row r="70" spans="1:7">
      <c r="A70" s="1667"/>
      <c r="B70" s="1705"/>
      <c r="C70" s="1706"/>
      <c r="D70" s="1707"/>
      <c r="E70" s="1708"/>
      <c r="F70" s="1709"/>
      <c r="G70" s="1510" t="str">
        <f t="shared" si="1"/>
        <v/>
      </c>
    </row>
    <row r="71" spans="1:7">
      <c r="A71" s="1667" t="s">
        <v>295</v>
      </c>
      <c r="B71" s="1705"/>
      <c r="C71" s="1706" t="s">
        <v>296</v>
      </c>
      <c r="D71" s="1707" t="s">
        <v>230</v>
      </c>
      <c r="E71" s="1708">
        <v>1</v>
      </c>
      <c r="F71" s="1709"/>
      <c r="G71" s="1510">
        <f t="shared" si="1"/>
        <v>0</v>
      </c>
    </row>
    <row r="72" spans="1:7">
      <c r="A72" s="1667"/>
      <c r="B72" s="1705"/>
      <c r="C72" s="1706"/>
      <c r="D72" s="1707"/>
      <c r="E72" s="1708"/>
      <c r="F72" s="1709"/>
      <c r="G72" s="1510" t="str">
        <f t="shared" si="1"/>
        <v/>
      </c>
    </row>
    <row r="73" spans="1:7">
      <c r="A73" s="1667" t="s">
        <v>297</v>
      </c>
      <c r="B73" s="1705"/>
      <c r="C73" s="1706" t="s">
        <v>298</v>
      </c>
      <c r="D73" s="1707" t="s">
        <v>230</v>
      </c>
      <c r="E73" s="1708">
        <v>1</v>
      </c>
      <c r="F73" s="1709"/>
      <c r="G73" s="1510">
        <f t="shared" si="1"/>
        <v>0</v>
      </c>
    </row>
    <row r="74" spans="1:7">
      <c r="A74" s="1667"/>
      <c r="B74" s="1705"/>
      <c r="C74" s="1706"/>
      <c r="D74" s="1707"/>
      <c r="E74" s="1708"/>
      <c r="F74" s="1709"/>
      <c r="G74" s="1510" t="str">
        <f t="shared" si="1"/>
        <v/>
      </c>
    </row>
    <row r="75" spans="1:7">
      <c r="A75" s="1667" t="s">
        <v>299</v>
      </c>
      <c r="B75" s="1705"/>
      <c r="C75" s="1710" t="s">
        <v>300</v>
      </c>
      <c r="D75" s="1707" t="s">
        <v>230</v>
      </c>
      <c r="E75" s="1708">
        <v>1</v>
      </c>
      <c r="F75" s="1709"/>
      <c r="G75" s="1510">
        <f t="shared" si="1"/>
        <v>0</v>
      </c>
    </row>
    <row r="76" spans="1:7">
      <c r="A76" s="1667"/>
      <c r="B76" s="1705"/>
      <c r="C76" s="1706"/>
      <c r="D76" s="1707"/>
      <c r="E76" s="1708"/>
      <c r="F76" s="1709"/>
      <c r="G76" s="1510" t="str">
        <f t="shared" si="1"/>
        <v/>
      </c>
    </row>
    <row r="77" spans="1:7">
      <c r="A77" s="1667" t="s">
        <v>301</v>
      </c>
      <c r="B77" s="1705" t="s">
        <v>302</v>
      </c>
      <c r="C77" s="1710" t="s">
        <v>303</v>
      </c>
      <c r="D77" s="1707" t="s">
        <v>230</v>
      </c>
      <c r="E77" s="1708">
        <v>1</v>
      </c>
      <c r="F77" s="1709"/>
      <c r="G77" s="1510">
        <f t="shared" si="1"/>
        <v>0</v>
      </c>
    </row>
    <row r="78" spans="1:7">
      <c r="A78" s="1667"/>
      <c r="B78" s="1705"/>
      <c r="C78" s="1706"/>
      <c r="D78" s="1707"/>
      <c r="E78" s="1708"/>
      <c r="F78" s="1709"/>
      <c r="G78" s="1510" t="str">
        <f t="shared" si="1"/>
        <v/>
      </c>
    </row>
    <row r="79" spans="1:7">
      <c r="A79" s="1667" t="s">
        <v>304</v>
      </c>
      <c r="B79" s="1705" t="s">
        <v>305</v>
      </c>
      <c r="C79" s="1706" t="s">
        <v>306</v>
      </c>
      <c r="D79" s="1707" t="s">
        <v>230</v>
      </c>
      <c r="E79" s="1708">
        <v>1</v>
      </c>
      <c r="F79" s="1709"/>
      <c r="G79" s="1510">
        <f t="shared" si="1"/>
        <v>0</v>
      </c>
    </row>
    <row r="80" spans="1:7">
      <c r="A80" s="1667"/>
      <c r="B80" s="1705"/>
      <c r="C80" s="1706"/>
      <c r="D80" s="1707"/>
      <c r="E80" s="1708"/>
      <c r="F80" s="1709"/>
      <c r="G80" s="1510" t="str">
        <f t="shared" si="1"/>
        <v/>
      </c>
    </row>
    <row r="81" spans="1:7" ht="26.4">
      <c r="A81" s="1667" t="s">
        <v>307</v>
      </c>
      <c r="B81" s="1705"/>
      <c r="C81" s="1706" t="s">
        <v>308</v>
      </c>
      <c r="D81" s="1707" t="s">
        <v>230</v>
      </c>
      <c r="E81" s="1708">
        <v>1</v>
      </c>
      <c r="F81" s="1709"/>
      <c r="G81" s="1510">
        <f t="shared" si="1"/>
        <v>0</v>
      </c>
    </row>
    <row r="82" spans="1:7">
      <c r="A82" s="1667"/>
      <c r="B82" s="1705"/>
      <c r="C82" s="1706"/>
      <c r="D82" s="1707"/>
      <c r="E82" s="1708"/>
      <c r="F82" s="1709"/>
      <c r="G82" s="1510" t="str">
        <f t="shared" si="1"/>
        <v/>
      </c>
    </row>
    <row r="83" spans="1:7">
      <c r="A83" s="1667" t="s">
        <v>309</v>
      </c>
      <c r="B83" s="1705"/>
      <c r="C83" s="1706" t="s">
        <v>310</v>
      </c>
      <c r="D83" s="1707" t="s">
        <v>230</v>
      </c>
      <c r="E83" s="1708">
        <v>1</v>
      </c>
      <c r="F83" s="1709"/>
      <c r="G83" s="1510">
        <f t="shared" si="1"/>
        <v>0</v>
      </c>
    </row>
    <row r="84" spans="1:7">
      <c r="A84" s="1667"/>
      <c r="B84" s="1705"/>
      <c r="C84" s="1706"/>
      <c r="D84" s="1707"/>
      <c r="E84" s="1708"/>
      <c r="F84" s="1709"/>
      <c r="G84" s="1510" t="str">
        <f t="shared" si="1"/>
        <v/>
      </c>
    </row>
    <row r="85" spans="1:7">
      <c r="A85" s="1667" t="s">
        <v>311</v>
      </c>
      <c r="B85" s="1705"/>
      <c r="C85" s="1706" t="s">
        <v>312</v>
      </c>
      <c r="D85" s="1707" t="s">
        <v>230</v>
      </c>
      <c r="E85" s="1708">
        <v>1</v>
      </c>
      <c r="F85" s="1709"/>
      <c r="G85" s="1510">
        <f t="shared" si="1"/>
        <v>0</v>
      </c>
    </row>
    <row r="86" spans="1:7">
      <c r="A86" s="1667"/>
      <c r="B86" s="1705"/>
      <c r="C86" s="1706"/>
      <c r="D86" s="1707"/>
      <c r="E86" s="1708"/>
      <c r="F86" s="1709"/>
      <c r="G86" s="1510" t="str">
        <f t="shared" si="1"/>
        <v/>
      </c>
    </row>
    <row r="87" spans="1:7">
      <c r="A87" s="1667" t="s">
        <v>313</v>
      </c>
      <c r="B87" s="1705"/>
      <c r="C87" s="1706" t="s">
        <v>314</v>
      </c>
      <c r="D87" s="1707" t="s">
        <v>230</v>
      </c>
      <c r="E87" s="1708">
        <v>1</v>
      </c>
      <c r="F87" s="1709"/>
      <c r="G87" s="1510">
        <f t="shared" si="1"/>
        <v>0</v>
      </c>
    </row>
    <row r="88" spans="1:7">
      <c r="A88" s="1667"/>
      <c r="B88" s="1667"/>
      <c r="C88" s="1668"/>
      <c r="D88" s="1669"/>
      <c r="E88" s="1670"/>
      <c r="F88" s="1671"/>
      <c r="G88" s="1510" t="str">
        <f t="shared" si="1"/>
        <v/>
      </c>
    </row>
    <row r="89" spans="1:7" ht="26.4">
      <c r="A89" s="1667" t="s">
        <v>315</v>
      </c>
      <c r="B89" s="1705"/>
      <c r="C89" s="1706" t="s">
        <v>316</v>
      </c>
      <c r="D89" s="1707" t="s">
        <v>230</v>
      </c>
      <c r="E89" s="1708">
        <v>1</v>
      </c>
      <c r="F89" s="1709"/>
      <c r="G89" s="1510">
        <f t="shared" si="1"/>
        <v>0</v>
      </c>
    </row>
    <row r="90" spans="1:7">
      <c r="A90" s="1667"/>
      <c r="B90" s="1667"/>
      <c r="C90" s="1691"/>
      <c r="D90" s="1667"/>
      <c r="E90" s="1670"/>
      <c r="F90" s="1671"/>
      <c r="G90" s="1510" t="str">
        <f t="shared" si="1"/>
        <v/>
      </c>
    </row>
    <row r="91" spans="1:7">
      <c r="A91" s="1667" t="s">
        <v>317</v>
      </c>
      <c r="B91" s="1667" t="s">
        <v>318</v>
      </c>
      <c r="C91" s="1711" t="s">
        <v>319</v>
      </c>
      <c r="D91" s="1667" t="s">
        <v>230</v>
      </c>
      <c r="E91" s="1670">
        <v>1</v>
      </c>
      <c r="F91" s="1671"/>
      <c r="G91" s="1510">
        <f t="shared" si="1"/>
        <v>0</v>
      </c>
    </row>
    <row r="92" spans="1:7">
      <c r="A92" s="1712"/>
      <c r="B92" s="1271"/>
      <c r="C92" s="1701"/>
      <c r="D92" s="1271"/>
      <c r="E92" s="1271"/>
      <c r="F92" s="1713"/>
      <c r="G92" s="1510" t="str">
        <f t="shared" si="1"/>
        <v/>
      </c>
    </row>
    <row r="93" spans="1:7" ht="39.6">
      <c r="A93" s="1667" t="s">
        <v>320</v>
      </c>
      <c r="B93" s="1667"/>
      <c r="C93" s="1691" t="s">
        <v>321</v>
      </c>
      <c r="D93" s="1667" t="s">
        <v>230</v>
      </c>
      <c r="E93" s="1670">
        <v>1</v>
      </c>
      <c r="F93" s="1714"/>
      <c r="G93" s="1510">
        <f t="shared" si="1"/>
        <v>0</v>
      </c>
    </row>
    <row r="94" spans="1:7">
      <c r="A94" s="1667"/>
      <c r="B94" s="1667"/>
      <c r="C94" s="1697"/>
      <c r="D94" s="1667"/>
      <c r="E94" s="1670"/>
      <c r="F94" s="1714"/>
      <c r="G94" s="1510" t="str">
        <f t="shared" si="1"/>
        <v/>
      </c>
    </row>
    <row r="95" spans="1:7" ht="26.4">
      <c r="A95" s="1667" t="s">
        <v>322</v>
      </c>
      <c r="B95" s="1667"/>
      <c r="C95" s="1697" t="s">
        <v>323</v>
      </c>
      <c r="D95" s="1667" t="s">
        <v>230</v>
      </c>
      <c r="E95" s="1670">
        <v>1</v>
      </c>
      <c r="F95" s="1714"/>
      <c r="G95" s="1510">
        <f t="shared" si="1"/>
        <v>0</v>
      </c>
    </row>
    <row r="96" spans="1:7">
      <c r="A96" s="1667"/>
      <c r="B96" s="1667"/>
      <c r="C96" s="1697"/>
      <c r="D96" s="1667"/>
      <c r="E96" s="1670"/>
      <c r="F96" s="1714"/>
      <c r="G96" s="1510" t="str">
        <f t="shared" si="1"/>
        <v/>
      </c>
    </row>
    <row r="97" spans="1:7">
      <c r="A97" s="1667" t="s">
        <v>324</v>
      </c>
      <c r="B97" s="1667"/>
      <c r="C97" s="1697" t="s">
        <v>325</v>
      </c>
      <c r="D97" s="1667" t="s">
        <v>230</v>
      </c>
      <c r="E97" s="1670">
        <v>1</v>
      </c>
      <c r="F97" s="1714"/>
      <c r="G97" s="1510">
        <f t="shared" si="1"/>
        <v>0</v>
      </c>
    </row>
    <row r="98" spans="1:7">
      <c r="A98" s="1712"/>
      <c r="B98" s="1667"/>
      <c r="C98" s="1715"/>
      <c r="D98" s="1271"/>
      <c r="E98" s="1271"/>
      <c r="F98" s="1713"/>
      <c r="G98" s="1510" t="str">
        <f t="shared" si="1"/>
        <v/>
      </c>
    </row>
    <row r="99" spans="1:7" ht="26.4">
      <c r="A99" s="1667">
        <v>1.2</v>
      </c>
      <c r="B99" s="1672" t="s">
        <v>224</v>
      </c>
      <c r="C99" s="1716" t="s">
        <v>326</v>
      </c>
      <c r="D99" s="1667"/>
      <c r="E99" s="1670"/>
      <c r="F99" s="1714"/>
      <c r="G99" s="1510" t="str">
        <f t="shared" si="1"/>
        <v/>
      </c>
    </row>
    <row r="100" spans="1:7">
      <c r="A100" s="1712"/>
      <c r="B100" s="1667"/>
      <c r="C100" s="1715"/>
      <c r="D100" s="946"/>
      <c r="E100" s="1271"/>
      <c r="F100" s="1713"/>
      <c r="G100" s="1510" t="str">
        <f t="shared" si="1"/>
        <v/>
      </c>
    </row>
    <row r="101" spans="1:7">
      <c r="A101" s="1717"/>
      <c r="B101" s="1707">
        <v>8.4</v>
      </c>
      <c r="C101" s="1718" t="s">
        <v>227</v>
      </c>
      <c r="D101" s="1705"/>
      <c r="E101" s="1708"/>
      <c r="F101" s="1719"/>
      <c r="G101" s="1510" t="str">
        <f t="shared" si="1"/>
        <v/>
      </c>
    </row>
    <row r="102" spans="1:7">
      <c r="A102" s="1712"/>
      <c r="B102" s="1707"/>
      <c r="C102" s="1701"/>
      <c r="D102" s="1271"/>
      <c r="E102" s="1271"/>
      <c r="F102" s="1720"/>
      <c r="G102" s="1510" t="str">
        <f t="shared" si="1"/>
        <v/>
      </c>
    </row>
    <row r="103" spans="1:7">
      <c r="A103" s="1717" t="s">
        <v>327</v>
      </c>
      <c r="B103" s="1707" t="s">
        <v>328</v>
      </c>
      <c r="C103" s="1706" t="s">
        <v>229</v>
      </c>
      <c r="D103" s="1707" t="s">
        <v>230</v>
      </c>
      <c r="E103" s="1708">
        <v>1</v>
      </c>
      <c r="F103" s="1709"/>
      <c r="G103" s="1510">
        <f t="shared" si="1"/>
        <v>0</v>
      </c>
    </row>
    <row r="104" spans="1:7">
      <c r="A104" s="1712"/>
      <c r="B104" s="1271"/>
      <c r="C104" s="1701"/>
      <c r="D104" s="1271"/>
      <c r="E104" s="1271"/>
      <c r="F104" s="1720"/>
      <c r="G104" s="1510" t="str">
        <f t="shared" si="1"/>
        <v/>
      </c>
    </row>
    <row r="105" spans="1:7">
      <c r="A105" s="1717" t="s">
        <v>329</v>
      </c>
      <c r="B105" s="1707"/>
      <c r="C105" s="1706" t="s">
        <v>330</v>
      </c>
      <c r="D105" s="1707" t="s">
        <v>230</v>
      </c>
      <c r="E105" s="1708">
        <v>1</v>
      </c>
      <c r="F105" s="1709"/>
      <c r="G105" s="1510">
        <f t="shared" si="1"/>
        <v>0</v>
      </c>
    </row>
    <row r="106" spans="1:7">
      <c r="A106" s="1712"/>
      <c r="B106" s="1271"/>
      <c r="C106" s="1701"/>
      <c r="D106" s="1271"/>
      <c r="E106" s="1271"/>
      <c r="F106" s="1720"/>
      <c r="G106" s="1510" t="str">
        <f t="shared" si="1"/>
        <v/>
      </c>
    </row>
    <row r="107" spans="1:7">
      <c r="A107" s="1717" t="s">
        <v>331</v>
      </c>
      <c r="B107" s="1707"/>
      <c r="C107" s="1706" t="s">
        <v>234</v>
      </c>
      <c r="D107" s="1707" t="s">
        <v>230</v>
      </c>
      <c r="E107" s="1708">
        <v>1</v>
      </c>
      <c r="F107" s="1709"/>
      <c r="G107" s="1510">
        <f t="shared" si="1"/>
        <v>0</v>
      </c>
    </row>
    <row r="108" spans="1:7">
      <c r="A108" s="1712"/>
      <c r="B108" s="1271"/>
      <c r="C108" s="1701"/>
      <c r="D108" s="1271"/>
      <c r="E108" s="1271"/>
      <c r="F108" s="1720"/>
      <c r="G108" s="1510" t="str">
        <f t="shared" si="1"/>
        <v/>
      </c>
    </row>
    <row r="109" spans="1:7">
      <c r="A109" s="1717" t="s">
        <v>332</v>
      </c>
      <c r="B109" s="1707"/>
      <c r="C109" s="1706" t="s">
        <v>236</v>
      </c>
      <c r="D109" s="1707" t="s">
        <v>230</v>
      </c>
      <c r="E109" s="1708">
        <v>1</v>
      </c>
      <c r="F109" s="1709"/>
      <c r="G109" s="1510">
        <f t="shared" si="1"/>
        <v>0</v>
      </c>
    </row>
    <row r="110" spans="1:7">
      <c r="A110" s="1712"/>
      <c r="B110" s="1271"/>
      <c r="C110" s="1701"/>
      <c r="D110" s="1271"/>
      <c r="E110" s="1271"/>
      <c r="F110" s="1720"/>
      <c r="G110" s="1510" t="str">
        <f t="shared" si="1"/>
        <v/>
      </c>
    </row>
    <row r="111" spans="1:7">
      <c r="A111" s="52" t="s">
        <v>333</v>
      </c>
      <c r="B111" s="52"/>
      <c r="C111" s="1721" t="s">
        <v>238</v>
      </c>
      <c r="D111" s="52" t="s">
        <v>230</v>
      </c>
      <c r="E111" s="1722">
        <v>1</v>
      </c>
      <c r="F111" s="1723"/>
      <c r="G111" s="1510">
        <f t="shared" si="1"/>
        <v>0</v>
      </c>
    </row>
    <row r="112" spans="1:7">
      <c r="A112" s="1724"/>
      <c r="B112" s="1725"/>
      <c r="C112" s="1726"/>
      <c r="D112" s="1725"/>
      <c r="E112" s="1725"/>
      <c r="F112" s="1703"/>
      <c r="G112" s="1510" t="str">
        <f t="shared" si="1"/>
        <v/>
      </c>
    </row>
    <row r="113" spans="1:7">
      <c r="A113" s="52" t="s">
        <v>334</v>
      </c>
      <c r="B113" s="52"/>
      <c r="C113" s="1727" t="s">
        <v>335</v>
      </c>
      <c r="D113" s="52" t="s">
        <v>230</v>
      </c>
      <c r="E113" s="1722">
        <v>1</v>
      </c>
      <c r="F113" s="1723"/>
      <c r="G113" s="1510">
        <f t="shared" si="1"/>
        <v>0</v>
      </c>
    </row>
    <row r="114" spans="1:7" ht="26.4">
      <c r="A114" s="1667"/>
      <c r="B114" s="1667"/>
      <c r="C114" s="1675" t="s">
        <v>336</v>
      </c>
      <c r="D114" s="1667"/>
      <c r="E114" s="1670"/>
      <c r="F114" s="1671"/>
      <c r="G114" s="1510" t="str">
        <f t="shared" si="1"/>
        <v/>
      </c>
    </row>
    <row r="115" spans="1:7">
      <c r="A115" s="52"/>
      <c r="B115" s="52"/>
      <c r="C115" s="1727"/>
      <c r="D115" s="52"/>
      <c r="E115" s="1722"/>
      <c r="F115" s="1723"/>
      <c r="G115" s="1510" t="str">
        <f t="shared" si="1"/>
        <v/>
      </c>
    </row>
    <row r="116" spans="1:7">
      <c r="A116" s="1696"/>
      <c r="B116" s="1667" t="s">
        <v>337</v>
      </c>
      <c r="C116" s="1718" t="s">
        <v>338</v>
      </c>
      <c r="D116" s="1667"/>
      <c r="E116" s="1728"/>
      <c r="F116" s="1729"/>
      <c r="G116" s="1510" t="str">
        <f t="shared" si="1"/>
        <v/>
      </c>
    </row>
    <row r="117" spans="1:7">
      <c r="A117" s="1712"/>
      <c r="B117" s="1271"/>
      <c r="C117" s="1701"/>
      <c r="D117" s="1271"/>
      <c r="E117" s="1271"/>
      <c r="F117" s="1720"/>
      <c r="G117" s="1510" t="str">
        <f t="shared" si="1"/>
        <v/>
      </c>
    </row>
    <row r="118" spans="1:7">
      <c r="A118" s="1696"/>
      <c r="B118" s="1667" t="s">
        <v>339</v>
      </c>
      <c r="C118" s="1718" t="s">
        <v>340</v>
      </c>
      <c r="D118" s="1667"/>
      <c r="E118" s="1728"/>
      <c r="F118" s="1729"/>
      <c r="G118" s="1510" t="str">
        <f t="shared" si="1"/>
        <v/>
      </c>
    </row>
    <row r="119" spans="1:7">
      <c r="A119" s="1712"/>
      <c r="B119" s="1271"/>
      <c r="C119" s="1701"/>
      <c r="D119" s="1271"/>
      <c r="E119" s="1271"/>
      <c r="F119" s="1720"/>
      <c r="G119" s="1510" t="str">
        <f t="shared" si="1"/>
        <v/>
      </c>
    </row>
    <row r="120" spans="1:7">
      <c r="A120" s="1667" t="s">
        <v>341</v>
      </c>
      <c r="B120" s="1667"/>
      <c r="C120" s="1691" t="s">
        <v>342</v>
      </c>
      <c r="D120" s="1667" t="s">
        <v>230</v>
      </c>
      <c r="E120" s="1670">
        <v>1</v>
      </c>
      <c r="F120" s="1671"/>
      <c r="G120" s="1510">
        <f t="shared" si="1"/>
        <v>0</v>
      </c>
    </row>
    <row r="121" spans="1:7">
      <c r="A121" s="1712"/>
      <c r="B121" s="1271"/>
      <c r="C121" s="1701"/>
      <c r="D121" s="1271"/>
      <c r="E121" s="1271"/>
      <c r="F121" s="1720"/>
      <c r="G121" s="1510" t="str">
        <f t="shared" si="1"/>
        <v/>
      </c>
    </row>
    <row r="122" spans="1:7">
      <c r="A122" s="1696" t="s">
        <v>343</v>
      </c>
      <c r="B122" s="1667" t="s">
        <v>344</v>
      </c>
      <c r="C122" s="1697" t="s">
        <v>345</v>
      </c>
      <c r="D122" s="1667" t="s">
        <v>230</v>
      </c>
      <c r="E122" s="1670">
        <v>1</v>
      </c>
      <c r="F122" s="1671"/>
      <c r="G122" s="1510">
        <f t="shared" si="1"/>
        <v>0</v>
      </c>
    </row>
    <row r="123" spans="1:7">
      <c r="A123" s="1712"/>
      <c r="B123" s="1271"/>
      <c r="C123" s="1701"/>
      <c r="D123" s="1271"/>
      <c r="E123" s="1271"/>
      <c r="F123" s="1720"/>
      <c r="G123" s="1510" t="str">
        <f t="shared" si="1"/>
        <v/>
      </c>
    </row>
    <row r="124" spans="1:7">
      <c r="A124" s="1696" t="s">
        <v>346</v>
      </c>
      <c r="B124" s="1667" t="s">
        <v>347</v>
      </c>
      <c r="C124" s="1697" t="s">
        <v>348</v>
      </c>
      <c r="D124" s="1667" t="s">
        <v>230</v>
      </c>
      <c r="E124" s="1670">
        <v>1</v>
      </c>
      <c r="F124" s="1671"/>
      <c r="G124" s="1510">
        <f t="shared" si="1"/>
        <v>0</v>
      </c>
    </row>
    <row r="125" spans="1:7">
      <c r="A125" s="1712"/>
      <c r="B125" s="1271"/>
      <c r="C125" s="1701"/>
      <c r="D125" s="1271"/>
      <c r="E125" s="1271"/>
      <c r="F125" s="1720"/>
      <c r="G125" s="1510" t="str">
        <f t="shared" si="1"/>
        <v/>
      </c>
    </row>
    <row r="126" spans="1:7">
      <c r="A126" s="1696" t="s">
        <v>349</v>
      </c>
      <c r="B126" s="1667" t="s">
        <v>350</v>
      </c>
      <c r="C126" s="1697" t="s">
        <v>269</v>
      </c>
      <c r="D126" s="1667" t="s">
        <v>230</v>
      </c>
      <c r="E126" s="1670">
        <v>1</v>
      </c>
      <c r="F126" s="1671"/>
      <c r="G126" s="1510">
        <f t="shared" si="1"/>
        <v>0</v>
      </c>
    </row>
    <row r="127" spans="1:7">
      <c r="A127" s="1712"/>
      <c r="B127" s="1271"/>
      <c r="C127" s="1701"/>
      <c r="D127" s="1271"/>
      <c r="E127" s="1271"/>
      <c r="F127" s="1720"/>
      <c r="G127" s="1510" t="str">
        <f t="shared" si="1"/>
        <v/>
      </c>
    </row>
    <row r="128" spans="1:7">
      <c r="A128" s="1696" t="s">
        <v>351</v>
      </c>
      <c r="B128" s="1667" t="s">
        <v>352</v>
      </c>
      <c r="C128" s="1697" t="s">
        <v>353</v>
      </c>
      <c r="D128" s="1667" t="s">
        <v>230</v>
      </c>
      <c r="E128" s="1670">
        <v>1</v>
      </c>
      <c r="F128" s="1671"/>
      <c r="G128" s="1510">
        <f t="shared" si="1"/>
        <v>0</v>
      </c>
    </row>
    <row r="129" spans="1:7">
      <c r="A129" s="1696"/>
      <c r="B129" s="1667"/>
      <c r="C129" s="1697"/>
      <c r="D129" s="1667"/>
      <c r="E129" s="1670"/>
      <c r="F129" s="1671"/>
      <c r="G129" s="1510"/>
    </row>
    <row r="130" spans="1:7">
      <c r="A130" s="1696"/>
      <c r="B130" s="1667"/>
      <c r="C130" s="1697"/>
      <c r="D130" s="1667"/>
      <c r="E130" s="1670"/>
      <c r="F130" s="1671"/>
      <c r="G130" s="1510"/>
    </row>
    <row r="131" spans="1:7">
      <c r="A131" s="1730"/>
      <c r="B131" s="1667"/>
      <c r="C131" s="1691"/>
      <c r="D131" s="1667"/>
      <c r="E131" s="1670"/>
      <c r="F131" s="1671"/>
      <c r="G131" s="1510"/>
    </row>
    <row r="132" spans="1:7">
      <c r="A132" s="869"/>
      <c r="B132" s="801"/>
      <c r="C132" s="801"/>
      <c r="D132" s="801"/>
      <c r="E132" s="800"/>
      <c r="F132" s="1698"/>
      <c r="G132" s="1699"/>
    </row>
    <row r="133" spans="1:7">
      <c r="A133" s="802"/>
      <c r="B133" s="426"/>
      <c r="C133" s="457" t="s">
        <v>289</v>
      </c>
      <c r="D133" s="426"/>
      <c r="E133" s="425"/>
      <c r="F133" s="1492"/>
      <c r="G133" s="1491">
        <f>SUM(G65:G131)</f>
        <v>0</v>
      </c>
    </row>
    <row r="134" spans="1:7">
      <c r="A134" s="1712"/>
      <c r="B134" s="1701"/>
      <c r="C134" s="1702" t="s">
        <v>290</v>
      </c>
      <c r="D134" s="1701"/>
      <c r="E134" s="1271"/>
      <c r="F134" s="1720"/>
      <c r="G134" s="1704">
        <f>G133</f>
        <v>0</v>
      </c>
    </row>
    <row r="135" spans="1:7">
      <c r="A135" s="1696"/>
      <c r="B135" s="1667"/>
      <c r="C135" s="1697"/>
      <c r="D135" s="1667"/>
      <c r="E135" s="1670"/>
      <c r="F135" s="1671"/>
      <c r="G135" s="1731"/>
    </row>
    <row r="136" spans="1:7">
      <c r="A136" s="1696"/>
      <c r="B136" s="1667" t="s">
        <v>354</v>
      </c>
      <c r="C136" s="1718" t="s">
        <v>355</v>
      </c>
      <c r="D136" s="1732"/>
      <c r="E136" s="1728"/>
      <c r="F136" s="1729"/>
      <c r="G136" s="1510"/>
    </row>
    <row r="137" spans="1:7">
      <c r="A137" s="1724"/>
      <c r="B137" s="1271"/>
      <c r="C137" s="1701"/>
      <c r="D137" s="1271"/>
      <c r="E137" s="1271"/>
      <c r="F137" s="1703"/>
      <c r="G137" s="1704"/>
    </row>
    <row r="138" spans="1:7">
      <c r="A138" s="52" t="s">
        <v>356</v>
      </c>
      <c r="B138" s="1667"/>
      <c r="C138" s="1691" t="s">
        <v>280</v>
      </c>
      <c r="D138" s="1667" t="s">
        <v>230</v>
      </c>
      <c r="E138" s="1670">
        <v>1</v>
      </c>
      <c r="F138" s="1671"/>
      <c r="G138" s="1510">
        <f t="shared" ref="G138:G196" si="2">IF(D138="","",ROUND(E138*F138,2))</f>
        <v>0</v>
      </c>
    </row>
    <row r="139" spans="1:7">
      <c r="A139" s="1724"/>
      <c r="B139" s="1271"/>
      <c r="C139" s="1701"/>
      <c r="D139" s="1271"/>
      <c r="E139" s="1271"/>
      <c r="F139" s="1703"/>
      <c r="G139" s="1510" t="str">
        <f t="shared" si="2"/>
        <v/>
      </c>
    </row>
    <row r="140" spans="1:7">
      <c r="A140" s="52" t="s">
        <v>357</v>
      </c>
      <c r="B140" s="1667"/>
      <c r="C140" s="1691" t="s">
        <v>282</v>
      </c>
      <c r="D140" s="1667" t="s">
        <v>230</v>
      </c>
      <c r="E140" s="1670">
        <v>1</v>
      </c>
      <c r="F140" s="1671"/>
      <c r="G140" s="1510">
        <f t="shared" si="2"/>
        <v>0</v>
      </c>
    </row>
    <row r="141" spans="1:7">
      <c r="A141" s="52"/>
      <c r="B141" s="52"/>
      <c r="C141" s="1721"/>
      <c r="D141" s="52"/>
      <c r="E141" s="1722"/>
      <c r="F141" s="1723"/>
      <c r="G141" s="1510" t="str">
        <f t="shared" si="2"/>
        <v/>
      </c>
    </row>
    <row r="142" spans="1:7">
      <c r="A142" s="52" t="s">
        <v>358</v>
      </c>
      <c r="B142" s="1667"/>
      <c r="C142" s="1691" t="s">
        <v>284</v>
      </c>
      <c r="D142" s="1667" t="s">
        <v>230</v>
      </c>
      <c r="E142" s="1670">
        <v>1</v>
      </c>
      <c r="F142" s="1671"/>
      <c r="G142" s="1510">
        <f t="shared" si="2"/>
        <v>0</v>
      </c>
    </row>
    <row r="143" spans="1:7">
      <c r="A143" s="52"/>
      <c r="B143" s="1667"/>
      <c r="C143" s="1691"/>
      <c r="D143" s="1667"/>
      <c r="E143" s="1670"/>
      <c r="F143" s="1671"/>
      <c r="G143" s="1510" t="str">
        <f t="shared" si="2"/>
        <v/>
      </c>
    </row>
    <row r="144" spans="1:7">
      <c r="A144" s="52" t="s">
        <v>359</v>
      </c>
      <c r="B144" s="1667"/>
      <c r="C144" s="1691" t="s">
        <v>286</v>
      </c>
      <c r="D144" s="1667" t="s">
        <v>230</v>
      </c>
      <c r="E144" s="1670">
        <v>1</v>
      </c>
      <c r="F144" s="1671"/>
      <c r="G144" s="1510">
        <f t="shared" si="2"/>
        <v>0</v>
      </c>
    </row>
    <row r="145" spans="1:8">
      <c r="A145" s="52"/>
      <c r="B145" s="52"/>
      <c r="C145" s="1721"/>
      <c r="D145" s="52"/>
      <c r="E145" s="1722"/>
      <c r="F145" s="1723"/>
      <c r="G145" s="1510" t="str">
        <f t="shared" si="2"/>
        <v/>
      </c>
    </row>
    <row r="146" spans="1:8">
      <c r="A146" s="52" t="s">
        <v>360</v>
      </c>
      <c r="B146" s="1667"/>
      <c r="C146" s="1691" t="s">
        <v>288</v>
      </c>
      <c r="D146" s="1667" t="s">
        <v>230</v>
      </c>
      <c r="E146" s="1670">
        <v>1</v>
      </c>
      <c r="F146" s="1671"/>
      <c r="G146" s="1510">
        <f t="shared" si="2"/>
        <v>0</v>
      </c>
    </row>
    <row r="147" spans="1:8">
      <c r="A147" s="1696"/>
      <c r="B147" s="52"/>
      <c r="C147" s="1721"/>
      <c r="D147" s="52"/>
      <c r="E147" s="1722"/>
      <c r="F147" s="1723"/>
      <c r="G147" s="1510" t="str">
        <f t="shared" si="2"/>
        <v/>
      </c>
    </row>
    <row r="148" spans="1:8">
      <c r="A148" s="52" t="s">
        <v>361</v>
      </c>
      <c r="B148" s="1667"/>
      <c r="C148" s="1691" t="s">
        <v>292</v>
      </c>
      <c r="D148" s="1667" t="s">
        <v>230</v>
      </c>
      <c r="E148" s="1670">
        <v>1</v>
      </c>
      <c r="F148" s="1671"/>
      <c r="G148" s="1510">
        <f t="shared" si="2"/>
        <v>0</v>
      </c>
    </row>
    <row r="149" spans="1:8">
      <c r="A149" s="52"/>
      <c r="B149" s="1667"/>
      <c r="C149" s="1691"/>
      <c r="D149" s="1667"/>
      <c r="E149" s="1670"/>
      <c r="F149" s="1671"/>
      <c r="G149" s="1510" t="str">
        <f t="shared" si="2"/>
        <v/>
      </c>
      <c r="H149" s="727"/>
    </row>
    <row r="150" spans="1:8" ht="26.4">
      <c r="A150" s="52" t="s">
        <v>362</v>
      </c>
      <c r="B150" s="1667"/>
      <c r="C150" s="1691" t="s">
        <v>363</v>
      </c>
      <c r="D150" s="1667" t="s">
        <v>230</v>
      </c>
      <c r="E150" s="1670">
        <v>1</v>
      </c>
      <c r="F150" s="1671"/>
      <c r="G150" s="1510">
        <f t="shared" si="2"/>
        <v>0</v>
      </c>
    </row>
    <row r="151" spans="1:8">
      <c r="A151" s="52"/>
      <c r="B151" s="1667"/>
      <c r="C151" s="1691"/>
      <c r="D151" s="1667"/>
      <c r="E151" s="1670"/>
      <c r="F151" s="1671"/>
      <c r="G151" s="1510" t="str">
        <f t="shared" si="2"/>
        <v/>
      </c>
    </row>
    <row r="152" spans="1:8">
      <c r="A152" s="52" t="s">
        <v>364</v>
      </c>
      <c r="B152" s="1667"/>
      <c r="C152" s="1691" t="s">
        <v>296</v>
      </c>
      <c r="D152" s="1667" t="s">
        <v>230</v>
      </c>
      <c r="E152" s="1670">
        <v>1</v>
      </c>
      <c r="F152" s="1671"/>
      <c r="G152" s="1510">
        <f t="shared" si="2"/>
        <v>0</v>
      </c>
    </row>
    <row r="153" spans="1:8">
      <c r="A153" s="1724"/>
      <c r="B153" s="1271"/>
      <c r="C153" s="1701"/>
      <c r="D153" s="1271"/>
      <c r="E153" s="1271"/>
      <c r="F153" s="1703"/>
      <c r="G153" s="1510" t="str">
        <f t="shared" si="2"/>
        <v/>
      </c>
    </row>
    <row r="154" spans="1:8">
      <c r="A154" s="52" t="s">
        <v>365</v>
      </c>
      <c r="B154" s="1667"/>
      <c r="C154" s="1691" t="s">
        <v>366</v>
      </c>
      <c r="D154" s="1667" t="s">
        <v>230</v>
      </c>
      <c r="E154" s="1670">
        <v>1</v>
      </c>
      <c r="F154" s="1671"/>
      <c r="G154" s="1510">
        <f t="shared" si="2"/>
        <v>0</v>
      </c>
    </row>
    <row r="155" spans="1:8">
      <c r="A155" s="1724"/>
      <c r="B155" s="1271"/>
      <c r="C155" s="1701"/>
      <c r="D155" s="1271"/>
      <c r="E155" s="1271"/>
      <c r="F155" s="1703"/>
      <c r="G155" s="1510" t="str">
        <f t="shared" si="2"/>
        <v/>
      </c>
    </row>
    <row r="156" spans="1:8">
      <c r="A156" s="52" t="s">
        <v>367</v>
      </c>
      <c r="B156" s="1667"/>
      <c r="C156" s="1691" t="s">
        <v>300</v>
      </c>
      <c r="D156" s="1667" t="s">
        <v>230</v>
      </c>
      <c r="E156" s="1670">
        <v>1</v>
      </c>
      <c r="F156" s="1671"/>
      <c r="G156" s="1510">
        <f t="shared" si="2"/>
        <v>0</v>
      </c>
    </row>
    <row r="157" spans="1:8">
      <c r="A157" s="1667"/>
      <c r="B157" s="1667"/>
      <c r="C157" s="1691"/>
      <c r="D157" s="1667"/>
      <c r="E157" s="1670"/>
      <c r="F157" s="1671"/>
      <c r="G157" s="1510" t="str">
        <f t="shared" si="2"/>
        <v/>
      </c>
    </row>
    <row r="158" spans="1:8">
      <c r="A158" s="1717" t="s">
        <v>368</v>
      </c>
      <c r="B158" s="1667" t="s">
        <v>369</v>
      </c>
      <c r="C158" s="1691" t="s">
        <v>370</v>
      </c>
      <c r="D158" s="1667" t="s">
        <v>230</v>
      </c>
      <c r="E158" s="1670">
        <v>1</v>
      </c>
      <c r="F158" s="1671"/>
      <c r="G158" s="1510">
        <f t="shared" si="2"/>
        <v>0</v>
      </c>
    </row>
    <row r="159" spans="1:8">
      <c r="A159" s="1667"/>
      <c r="B159" s="1271"/>
      <c r="C159" s="1701"/>
      <c r="D159" s="1271"/>
      <c r="E159" s="1271"/>
      <c r="F159" s="1703"/>
      <c r="G159" s="1510" t="str">
        <f t="shared" si="2"/>
        <v/>
      </c>
    </row>
    <row r="160" spans="1:8">
      <c r="A160" s="1696" t="s">
        <v>371</v>
      </c>
      <c r="B160" s="1667"/>
      <c r="C160" s="1733" t="s">
        <v>372</v>
      </c>
      <c r="D160" s="1667"/>
      <c r="E160" s="1670"/>
      <c r="F160" s="1671"/>
      <c r="G160" s="1510" t="str">
        <f t="shared" si="2"/>
        <v/>
      </c>
    </row>
    <row r="161" spans="1:7">
      <c r="A161" s="1696"/>
      <c r="B161" s="1667"/>
      <c r="C161" s="1734"/>
      <c r="D161" s="1667"/>
      <c r="E161" s="1670"/>
      <c r="F161" s="1671"/>
      <c r="G161" s="1510" t="str">
        <f t="shared" si="2"/>
        <v/>
      </c>
    </row>
    <row r="162" spans="1:7">
      <c r="A162" s="1696"/>
      <c r="B162" s="1667"/>
      <c r="C162" s="1735" t="s">
        <v>373</v>
      </c>
      <c r="D162" s="1667" t="s">
        <v>230</v>
      </c>
      <c r="E162" s="1670">
        <v>1</v>
      </c>
      <c r="F162" s="1671"/>
      <c r="G162" s="1510">
        <f t="shared" si="2"/>
        <v>0</v>
      </c>
    </row>
    <row r="163" spans="1:7">
      <c r="A163" s="1696"/>
      <c r="B163" s="52"/>
      <c r="C163" s="1735"/>
      <c r="D163" s="52"/>
      <c r="E163" s="1722"/>
      <c r="F163" s="1723"/>
      <c r="G163" s="1510" t="str">
        <f t="shared" si="2"/>
        <v/>
      </c>
    </row>
    <row r="164" spans="1:7">
      <c r="A164" s="1696"/>
      <c r="B164" s="1667"/>
      <c r="C164" s="1735" t="s">
        <v>373</v>
      </c>
      <c r="D164" s="1667" t="s">
        <v>230</v>
      </c>
      <c r="E164" s="1670">
        <v>1</v>
      </c>
      <c r="F164" s="1671"/>
      <c r="G164" s="1510">
        <f t="shared" si="2"/>
        <v>0</v>
      </c>
    </row>
    <row r="165" spans="1:7">
      <c r="A165" s="1667"/>
      <c r="B165" s="1667"/>
      <c r="C165" s="1675"/>
      <c r="D165" s="1667"/>
      <c r="E165" s="1670"/>
      <c r="F165" s="1671"/>
      <c r="G165" s="1510" t="str">
        <f t="shared" si="2"/>
        <v/>
      </c>
    </row>
    <row r="166" spans="1:7">
      <c r="A166" s="1717" t="s">
        <v>374</v>
      </c>
      <c r="B166" s="1707" t="s">
        <v>375</v>
      </c>
      <c r="C166" s="1736" t="s">
        <v>376</v>
      </c>
      <c r="D166" s="1707" t="s">
        <v>230</v>
      </c>
      <c r="E166" s="1708">
        <v>1</v>
      </c>
      <c r="F166" s="1709"/>
      <c r="G166" s="1510">
        <f t="shared" si="2"/>
        <v>0</v>
      </c>
    </row>
    <row r="167" spans="1:7">
      <c r="A167" s="1667"/>
      <c r="B167" s="1271"/>
      <c r="C167" s="1737"/>
      <c r="D167" s="1271"/>
      <c r="E167" s="1271"/>
      <c r="F167" s="1703"/>
      <c r="G167" s="1510" t="str">
        <f t="shared" si="2"/>
        <v/>
      </c>
    </row>
    <row r="168" spans="1:7">
      <c r="A168" s="1717" t="s">
        <v>377</v>
      </c>
      <c r="B168" s="1271"/>
      <c r="C168" s="1737" t="s">
        <v>378</v>
      </c>
      <c r="D168" s="1271" t="s">
        <v>230</v>
      </c>
      <c r="E168" s="1271">
        <v>1</v>
      </c>
      <c r="F168" s="1703"/>
      <c r="G168" s="1510">
        <f t="shared" si="2"/>
        <v>0</v>
      </c>
    </row>
    <row r="169" spans="1:7">
      <c r="A169" s="1667"/>
      <c r="B169" s="1271"/>
      <c r="C169" s="1737"/>
      <c r="D169" s="1271"/>
      <c r="E169" s="1271"/>
      <c r="F169" s="1703"/>
      <c r="G169" s="1510" t="str">
        <f t="shared" si="2"/>
        <v/>
      </c>
    </row>
    <row r="170" spans="1:7">
      <c r="A170" s="1717" t="s">
        <v>379</v>
      </c>
      <c r="B170" s="1271"/>
      <c r="C170" s="1737" t="s">
        <v>380</v>
      </c>
      <c r="D170" s="1271" t="s">
        <v>230</v>
      </c>
      <c r="E170" s="1271">
        <v>1</v>
      </c>
      <c r="F170" s="1703"/>
      <c r="G170" s="1510">
        <f t="shared" si="2"/>
        <v>0</v>
      </c>
    </row>
    <row r="171" spans="1:7">
      <c r="A171" s="1667"/>
      <c r="B171" s="1271"/>
      <c r="C171" s="1737"/>
      <c r="D171" s="1271"/>
      <c r="E171" s="1271"/>
      <c r="F171" s="1703"/>
      <c r="G171" s="1510" t="str">
        <f t="shared" si="2"/>
        <v/>
      </c>
    </row>
    <row r="172" spans="1:7">
      <c r="A172" s="1717" t="s">
        <v>381</v>
      </c>
      <c r="B172" s="1271"/>
      <c r="C172" s="1737" t="s">
        <v>382</v>
      </c>
      <c r="D172" s="1271" t="s">
        <v>273</v>
      </c>
      <c r="E172" s="1271">
        <v>4</v>
      </c>
      <c r="F172" s="1703"/>
      <c r="G172" s="1510">
        <f t="shared" si="2"/>
        <v>0</v>
      </c>
    </row>
    <row r="173" spans="1:7">
      <c r="A173" s="1712"/>
      <c r="B173" s="1271"/>
      <c r="C173" s="1737"/>
      <c r="D173" s="1271"/>
      <c r="E173" s="1271"/>
      <c r="F173" s="1703"/>
      <c r="G173" s="1510" t="str">
        <f t="shared" si="2"/>
        <v/>
      </c>
    </row>
    <row r="174" spans="1:7" ht="26.4">
      <c r="A174" s="1667" t="s">
        <v>383</v>
      </c>
      <c r="B174" s="1667" t="s">
        <v>384</v>
      </c>
      <c r="C174" s="1675" t="s">
        <v>385</v>
      </c>
      <c r="D174" s="1667" t="s">
        <v>230</v>
      </c>
      <c r="E174" s="1670">
        <v>1</v>
      </c>
      <c r="F174" s="1671"/>
      <c r="G174" s="1510">
        <f t="shared" si="2"/>
        <v>0</v>
      </c>
    </row>
    <row r="175" spans="1:7">
      <c r="A175" s="1712"/>
      <c r="B175" s="1271"/>
      <c r="C175" s="1737"/>
      <c r="D175" s="1271"/>
      <c r="E175" s="1271"/>
      <c r="F175" s="1720"/>
      <c r="G175" s="1510" t="str">
        <f t="shared" si="2"/>
        <v/>
      </c>
    </row>
    <row r="176" spans="1:7">
      <c r="A176" s="1696" t="s">
        <v>386</v>
      </c>
      <c r="B176" s="1667" t="s">
        <v>387</v>
      </c>
      <c r="C176" s="1675" t="s">
        <v>388</v>
      </c>
      <c r="D176" s="1738" t="s">
        <v>230</v>
      </c>
      <c r="E176" s="1670">
        <v>1</v>
      </c>
      <c r="F176" s="1671"/>
      <c r="G176" s="1510">
        <f t="shared" si="2"/>
        <v>0</v>
      </c>
    </row>
    <row r="177" spans="1:7">
      <c r="A177" s="1696"/>
      <c r="B177" s="1667"/>
      <c r="C177" s="1675"/>
      <c r="D177" s="1738"/>
      <c r="E177" s="1670"/>
      <c r="F177" s="1671"/>
      <c r="G177" s="1510" t="str">
        <f t="shared" si="2"/>
        <v/>
      </c>
    </row>
    <row r="178" spans="1:7">
      <c r="A178" s="1696"/>
      <c r="B178" s="1667"/>
      <c r="C178" s="1675" t="s">
        <v>389</v>
      </c>
      <c r="D178" s="1738"/>
      <c r="E178" s="1670"/>
      <c r="F178" s="1671"/>
      <c r="G178" s="1510" t="str">
        <f t="shared" si="2"/>
        <v/>
      </c>
    </row>
    <row r="179" spans="1:7">
      <c r="A179" s="1712"/>
      <c r="B179" s="1667"/>
      <c r="C179" s="1675"/>
      <c r="D179" s="1667"/>
      <c r="E179" s="1670"/>
      <c r="F179" s="1671"/>
      <c r="G179" s="1510" t="str">
        <f t="shared" si="2"/>
        <v/>
      </c>
    </row>
    <row r="180" spans="1:7">
      <c r="A180" s="1730"/>
      <c r="B180" s="1667"/>
      <c r="C180" s="1695" t="s">
        <v>390</v>
      </c>
      <c r="D180" s="1667"/>
      <c r="E180" s="1670"/>
      <c r="F180" s="1671"/>
      <c r="G180" s="1510" t="str">
        <f t="shared" si="2"/>
        <v/>
      </c>
    </row>
    <row r="181" spans="1:7">
      <c r="A181" s="1730"/>
      <c r="B181" s="1667"/>
      <c r="C181" s="1691"/>
      <c r="D181" s="1667"/>
      <c r="E181" s="1670"/>
      <c r="F181" s="1671"/>
      <c r="G181" s="1510" t="str">
        <f t="shared" si="2"/>
        <v/>
      </c>
    </row>
    <row r="182" spans="1:7" ht="39.6">
      <c r="A182" s="1696" t="s">
        <v>391</v>
      </c>
      <c r="B182" s="1667"/>
      <c r="C182" s="1691" t="s">
        <v>392</v>
      </c>
      <c r="D182" s="1667" t="s">
        <v>393</v>
      </c>
      <c r="E182" s="1670">
        <v>36</v>
      </c>
      <c r="F182" s="1671"/>
      <c r="G182" s="1510">
        <f t="shared" si="2"/>
        <v>0</v>
      </c>
    </row>
    <row r="183" spans="1:7">
      <c r="A183" s="1730"/>
      <c r="B183" s="1667"/>
      <c r="C183" s="1691"/>
      <c r="D183" s="1667"/>
      <c r="E183" s="1670"/>
      <c r="F183" s="1671"/>
      <c r="G183" s="1510" t="str">
        <f t="shared" si="2"/>
        <v/>
      </c>
    </row>
    <row r="184" spans="1:7" ht="39.6">
      <c r="A184" s="1696" t="s">
        <v>394</v>
      </c>
      <c r="B184" s="1667"/>
      <c r="C184" s="1691" t="s">
        <v>395</v>
      </c>
      <c r="D184" s="1667" t="s">
        <v>393</v>
      </c>
      <c r="E184" s="1670">
        <v>36</v>
      </c>
      <c r="F184" s="1671"/>
      <c r="G184" s="1510">
        <f t="shared" si="2"/>
        <v>0</v>
      </c>
    </row>
    <row r="185" spans="1:7">
      <c r="A185" s="1696"/>
      <c r="B185" s="1667"/>
      <c r="C185" s="1691"/>
      <c r="D185" s="1667"/>
      <c r="E185" s="1670"/>
      <c r="F185" s="1671"/>
      <c r="G185" s="1510" t="str">
        <f t="shared" si="2"/>
        <v/>
      </c>
    </row>
    <row r="186" spans="1:7" ht="26.4">
      <c r="A186" s="1696" t="s">
        <v>396</v>
      </c>
      <c r="B186" s="1687"/>
      <c r="C186" s="1691" t="s">
        <v>397</v>
      </c>
      <c r="D186" s="1738" t="s">
        <v>230</v>
      </c>
      <c r="E186" s="1670">
        <v>1</v>
      </c>
      <c r="F186" s="1671"/>
      <c r="G186" s="1510">
        <f t="shared" si="2"/>
        <v>0</v>
      </c>
    </row>
    <row r="187" spans="1:7">
      <c r="A187" s="1730"/>
      <c r="B187" s="1687"/>
      <c r="C187" s="1691"/>
      <c r="D187" s="1667"/>
      <c r="E187" s="1670"/>
      <c r="F187" s="1671"/>
      <c r="G187" s="1510" t="str">
        <f t="shared" si="2"/>
        <v/>
      </c>
    </row>
    <row r="188" spans="1:7">
      <c r="A188" s="1696" t="s">
        <v>398</v>
      </c>
      <c r="B188" s="1687"/>
      <c r="C188" s="1691" t="s">
        <v>399</v>
      </c>
      <c r="D188" s="1667" t="s">
        <v>230</v>
      </c>
      <c r="E188" s="1670">
        <v>1</v>
      </c>
      <c r="F188" s="1671"/>
      <c r="G188" s="1510">
        <f t="shared" si="2"/>
        <v>0</v>
      </c>
    </row>
    <row r="189" spans="1:7">
      <c r="A189" s="1730"/>
      <c r="B189" s="1687"/>
      <c r="C189" s="1691"/>
      <c r="D189" s="1667"/>
      <c r="E189" s="1670"/>
      <c r="F189" s="1671"/>
      <c r="G189" s="1510" t="str">
        <f t="shared" si="2"/>
        <v/>
      </c>
    </row>
    <row r="190" spans="1:7">
      <c r="A190" s="1696" t="s">
        <v>400</v>
      </c>
      <c r="B190" s="1687"/>
      <c r="C190" s="1691" t="s">
        <v>312</v>
      </c>
      <c r="D190" s="1667" t="s">
        <v>230</v>
      </c>
      <c r="E190" s="1670">
        <v>1</v>
      </c>
      <c r="F190" s="1671"/>
      <c r="G190" s="1510">
        <f t="shared" si="2"/>
        <v>0</v>
      </c>
    </row>
    <row r="191" spans="1:7">
      <c r="A191" s="1730"/>
      <c r="B191" s="1687"/>
      <c r="C191" s="1691"/>
      <c r="D191" s="1667"/>
      <c r="E191" s="1670"/>
      <c r="F191" s="1671"/>
      <c r="G191" s="1510" t="str">
        <f t="shared" si="2"/>
        <v/>
      </c>
    </row>
    <row r="192" spans="1:7" ht="26.4">
      <c r="A192" s="1696" t="s">
        <v>401</v>
      </c>
      <c r="B192" s="1687"/>
      <c r="C192" s="1691" t="s">
        <v>402</v>
      </c>
      <c r="D192" s="1667" t="s">
        <v>230</v>
      </c>
      <c r="E192" s="1670">
        <v>1</v>
      </c>
      <c r="F192" s="1671"/>
      <c r="G192" s="1510">
        <f t="shared" si="2"/>
        <v>0</v>
      </c>
    </row>
    <row r="193" spans="1:7">
      <c r="A193" s="1730"/>
      <c r="B193" s="1687"/>
      <c r="C193" s="1691"/>
      <c r="D193" s="1667"/>
      <c r="E193" s="1670"/>
      <c r="F193" s="1671"/>
      <c r="G193" s="1510" t="str">
        <f t="shared" si="2"/>
        <v/>
      </c>
    </row>
    <row r="194" spans="1:7">
      <c r="A194" s="1667" t="s">
        <v>403</v>
      </c>
      <c r="B194" s="1687" t="s">
        <v>318</v>
      </c>
      <c r="C194" s="1691" t="s">
        <v>404</v>
      </c>
      <c r="D194" s="1667" t="s">
        <v>230</v>
      </c>
      <c r="E194" s="1670">
        <v>1</v>
      </c>
      <c r="F194" s="1671"/>
      <c r="G194" s="1510">
        <f t="shared" si="2"/>
        <v>0</v>
      </c>
    </row>
    <row r="195" spans="1:7">
      <c r="A195" s="1712"/>
      <c r="B195" s="1687"/>
      <c r="C195" s="1691"/>
      <c r="D195" s="1667"/>
      <c r="E195" s="1670"/>
      <c r="F195" s="1671"/>
      <c r="G195" s="1510" t="str">
        <f t="shared" si="2"/>
        <v/>
      </c>
    </row>
    <row r="196" spans="1:7">
      <c r="A196" s="1667" t="s">
        <v>405</v>
      </c>
      <c r="B196" s="1687"/>
      <c r="C196" s="1691" t="s">
        <v>325</v>
      </c>
      <c r="D196" s="1667" t="s">
        <v>230</v>
      </c>
      <c r="E196" s="1670">
        <v>1</v>
      </c>
      <c r="F196" s="1671"/>
      <c r="G196" s="1510">
        <f t="shared" si="2"/>
        <v>0</v>
      </c>
    </row>
    <row r="197" spans="1:7">
      <c r="A197" s="1667"/>
      <c r="B197" s="1687"/>
      <c r="C197" s="1691"/>
      <c r="D197" s="1667"/>
      <c r="E197" s="1670"/>
      <c r="F197" s="1671"/>
      <c r="G197" s="1731"/>
    </row>
    <row r="198" spans="1:7">
      <c r="A198" s="1667"/>
      <c r="B198" s="1738"/>
      <c r="C198" s="1691"/>
      <c r="D198" s="1667"/>
      <c r="E198" s="1739"/>
      <c r="F198" s="1714"/>
      <c r="G198" s="1731"/>
    </row>
    <row r="199" spans="1:7">
      <c r="A199" s="869"/>
      <c r="B199" s="801"/>
      <c r="C199" s="801"/>
      <c r="D199" s="801"/>
      <c r="E199" s="800"/>
      <c r="F199" s="1698"/>
      <c r="G199" s="1699"/>
    </row>
    <row r="200" spans="1:7">
      <c r="A200" s="802"/>
      <c r="B200" s="426"/>
      <c r="C200" s="457" t="s">
        <v>289</v>
      </c>
      <c r="D200" s="426"/>
      <c r="E200" s="425"/>
      <c r="F200" s="1492"/>
      <c r="G200" s="1491">
        <f>SUM(G134:G198)</f>
        <v>0</v>
      </c>
    </row>
    <row r="201" spans="1:7">
      <c r="A201" s="1712"/>
      <c r="B201" s="1701"/>
      <c r="C201" s="1702" t="s">
        <v>290</v>
      </c>
      <c r="D201" s="1701"/>
      <c r="E201" s="1271"/>
      <c r="F201" s="1720"/>
      <c r="G201" s="1704">
        <f>G200</f>
        <v>0</v>
      </c>
    </row>
    <row r="202" spans="1:7">
      <c r="A202" s="1696"/>
      <c r="B202" s="1687"/>
      <c r="C202" s="1691"/>
      <c r="D202" s="1667"/>
      <c r="E202" s="1670"/>
      <c r="F202" s="1671"/>
      <c r="G202" s="1731"/>
    </row>
    <row r="203" spans="1:7">
      <c r="A203" s="1667"/>
      <c r="B203" s="1667"/>
      <c r="C203" s="1691"/>
      <c r="D203" s="1667"/>
      <c r="E203" s="1670"/>
      <c r="F203" s="1671"/>
      <c r="G203" s="1731"/>
    </row>
    <row r="204" spans="1:7">
      <c r="A204" s="1667">
        <v>1.3</v>
      </c>
      <c r="B204" s="1667">
        <v>8.5</v>
      </c>
      <c r="C204" s="1718" t="s">
        <v>406</v>
      </c>
      <c r="D204" s="1667"/>
      <c r="E204" s="1670"/>
      <c r="F204" s="1671"/>
      <c r="G204" s="1731"/>
    </row>
    <row r="205" spans="1:7">
      <c r="A205" s="1712"/>
      <c r="B205" s="1271"/>
      <c r="C205" s="1701"/>
      <c r="D205" s="1271"/>
      <c r="E205" s="1271"/>
      <c r="F205" s="1720"/>
      <c r="G205" s="1740"/>
    </row>
    <row r="206" spans="1:7" ht="26.4">
      <c r="A206" s="1696" t="s">
        <v>407</v>
      </c>
      <c r="B206" s="1667" t="s">
        <v>408</v>
      </c>
      <c r="C206" s="1691" t="s">
        <v>409</v>
      </c>
      <c r="D206" s="1667" t="s">
        <v>252</v>
      </c>
      <c r="E206" s="1670">
        <v>1</v>
      </c>
      <c r="F206" s="1731">
        <f>5000*36</f>
        <v>180000</v>
      </c>
      <c r="G206" s="1510">
        <f t="shared" ref="G206:G262" si="3">IF(D206="","",ROUND(E206*F206,2))</f>
        <v>180000</v>
      </c>
    </row>
    <row r="207" spans="1:7">
      <c r="A207" s="1712"/>
      <c r="B207" s="1271"/>
      <c r="C207" s="1701"/>
      <c r="D207" s="1271"/>
      <c r="E207" s="1271"/>
      <c r="F207" s="1671"/>
      <c r="G207" s="1510" t="str">
        <f t="shared" si="3"/>
        <v/>
      </c>
    </row>
    <row r="208" spans="1:7" ht="26.4">
      <c r="A208" s="1696" t="s">
        <v>410</v>
      </c>
      <c r="B208" s="1667"/>
      <c r="C208" s="1691" t="s">
        <v>411</v>
      </c>
      <c r="D208" s="1667" t="s">
        <v>252</v>
      </c>
      <c r="E208" s="1670">
        <v>1</v>
      </c>
      <c r="F208" s="1731">
        <v>100000</v>
      </c>
      <c r="G208" s="1510">
        <f t="shared" si="3"/>
        <v>100000</v>
      </c>
    </row>
    <row r="209" spans="1:7">
      <c r="A209" s="1712"/>
      <c r="B209" s="1271"/>
      <c r="C209" s="1701"/>
      <c r="D209" s="946"/>
      <c r="E209" s="1271"/>
      <c r="F209" s="1671"/>
      <c r="G209" s="1510" t="str">
        <f t="shared" si="3"/>
        <v/>
      </c>
    </row>
    <row r="210" spans="1:7" ht="26.4">
      <c r="A210" s="1712"/>
      <c r="B210" s="1271" t="s">
        <v>412</v>
      </c>
      <c r="C210" s="1741" t="s">
        <v>413</v>
      </c>
      <c r="D210" s="946" t="s">
        <v>252</v>
      </c>
      <c r="E210" s="1271">
        <v>1</v>
      </c>
      <c r="F210" s="1731">
        <v>100000</v>
      </c>
      <c r="G210" s="1510">
        <f t="shared" si="3"/>
        <v>100000</v>
      </c>
    </row>
    <row r="211" spans="1:7">
      <c r="A211" s="1712"/>
      <c r="B211" s="1271"/>
      <c r="C211" s="1701"/>
      <c r="D211" s="946"/>
      <c r="E211" s="1271"/>
      <c r="F211" s="1671"/>
      <c r="G211" s="1510" t="str">
        <f t="shared" si="3"/>
        <v/>
      </c>
    </row>
    <row r="212" spans="1:7">
      <c r="A212" s="1712" t="s">
        <v>414</v>
      </c>
      <c r="B212" s="1271"/>
      <c r="C212" s="1701" t="s">
        <v>415</v>
      </c>
      <c r="D212" s="946" t="s">
        <v>252</v>
      </c>
      <c r="E212" s="1271">
        <v>1</v>
      </c>
      <c r="F212" s="1731">
        <v>200000</v>
      </c>
      <c r="G212" s="1510">
        <f t="shared" si="3"/>
        <v>200000</v>
      </c>
    </row>
    <row r="213" spans="1:7">
      <c r="A213" s="1712"/>
      <c r="B213" s="1271"/>
      <c r="C213" s="1701"/>
      <c r="D213" s="946"/>
      <c r="E213" s="1271"/>
      <c r="F213" s="1671"/>
      <c r="G213" s="1510" t="str">
        <f t="shared" si="3"/>
        <v/>
      </c>
    </row>
    <row r="214" spans="1:7">
      <c r="A214" s="1696" t="s">
        <v>416</v>
      </c>
      <c r="B214" s="1667"/>
      <c r="C214" s="728" t="s">
        <v>417</v>
      </c>
      <c r="D214" s="1667" t="s">
        <v>252</v>
      </c>
      <c r="E214" s="1670">
        <v>1</v>
      </c>
      <c r="F214" s="1731">
        <f>36*7500</f>
        <v>270000</v>
      </c>
      <c r="G214" s="1510">
        <f t="shared" si="3"/>
        <v>270000</v>
      </c>
    </row>
    <row r="215" spans="1:7">
      <c r="A215" s="1712"/>
      <c r="B215" s="1271"/>
      <c r="C215" s="1701"/>
      <c r="D215" s="1271"/>
      <c r="E215" s="1271"/>
      <c r="F215" s="1671"/>
      <c r="G215" s="1510" t="str">
        <f t="shared" si="3"/>
        <v/>
      </c>
    </row>
    <row r="216" spans="1:7" ht="26.4">
      <c r="A216" s="1696" t="s">
        <v>418</v>
      </c>
      <c r="B216" s="1667"/>
      <c r="C216" s="728" t="s">
        <v>419</v>
      </c>
      <c r="D216" s="1667" t="s">
        <v>252</v>
      </c>
      <c r="E216" s="1670">
        <v>1</v>
      </c>
      <c r="F216" s="1731">
        <f>10000*36</f>
        <v>360000</v>
      </c>
      <c r="G216" s="1510">
        <f t="shared" si="3"/>
        <v>360000</v>
      </c>
    </row>
    <row r="217" spans="1:7">
      <c r="A217" s="1696"/>
      <c r="B217" s="1667"/>
      <c r="C217" s="728"/>
      <c r="D217" s="1667"/>
      <c r="E217" s="1670"/>
      <c r="F217" s="1671"/>
      <c r="G217" s="1510" t="str">
        <f t="shared" si="3"/>
        <v/>
      </c>
    </row>
    <row r="218" spans="1:7" ht="26.4">
      <c r="A218" s="1696" t="s">
        <v>420</v>
      </c>
      <c r="B218" s="1687" t="s">
        <v>421</v>
      </c>
      <c r="C218" s="1691" t="s">
        <v>422</v>
      </c>
      <c r="D218" s="1667" t="s">
        <v>393</v>
      </c>
      <c r="E218" s="1670">
        <v>36</v>
      </c>
      <c r="F218" s="1731">
        <v>12000</v>
      </c>
      <c r="G218" s="1510">
        <f t="shared" si="3"/>
        <v>432000</v>
      </c>
    </row>
    <row r="219" spans="1:7">
      <c r="A219" s="1712"/>
      <c r="B219" s="1687"/>
      <c r="C219" s="1691"/>
      <c r="D219" s="1667"/>
      <c r="E219" s="1670"/>
      <c r="F219" s="1671"/>
      <c r="G219" s="1510" t="str">
        <f t="shared" si="3"/>
        <v/>
      </c>
    </row>
    <row r="220" spans="1:7">
      <c r="A220" s="1696" t="s">
        <v>423</v>
      </c>
      <c r="B220" s="1667"/>
      <c r="C220" s="1691" t="s">
        <v>424</v>
      </c>
      <c r="D220" s="1667" t="s">
        <v>393</v>
      </c>
      <c r="E220" s="1670">
        <v>36</v>
      </c>
      <c r="F220" s="1731">
        <v>10000</v>
      </c>
      <c r="G220" s="1510">
        <f t="shared" si="3"/>
        <v>360000</v>
      </c>
    </row>
    <row r="221" spans="1:7">
      <c r="A221" s="1696"/>
      <c r="B221" s="1667"/>
      <c r="C221" s="728"/>
      <c r="D221" s="1667"/>
      <c r="E221" s="1670"/>
      <c r="F221" s="1671"/>
      <c r="G221" s="1510" t="str">
        <f t="shared" si="3"/>
        <v/>
      </c>
    </row>
    <row r="222" spans="1:7">
      <c r="A222" s="1696" t="s">
        <v>425</v>
      </c>
      <c r="B222" s="1667"/>
      <c r="C222" s="728" t="s">
        <v>426</v>
      </c>
      <c r="D222" s="1667" t="s">
        <v>393</v>
      </c>
      <c r="E222" s="1670">
        <v>36</v>
      </c>
      <c r="F222" s="1731">
        <v>15000</v>
      </c>
      <c r="G222" s="1510">
        <f t="shared" si="3"/>
        <v>540000</v>
      </c>
    </row>
    <row r="223" spans="1:7">
      <c r="A223" s="1712"/>
      <c r="B223" s="1667"/>
      <c r="C223" s="728"/>
      <c r="D223" s="1667"/>
      <c r="E223" s="1670"/>
      <c r="F223" s="1671"/>
      <c r="G223" s="1510" t="str">
        <f t="shared" si="3"/>
        <v/>
      </c>
    </row>
    <row r="224" spans="1:7">
      <c r="A224" s="1696" t="s">
        <v>427</v>
      </c>
      <c r="B224" s="1667"/>
      <c r="C224" s="728" t="s">
        <v>428</v>
      </c>
      <c r="D224" s="1667" t="s">
        <v>252</v>
      </c>
      <c r="E224" s="1670">
        <v>1</v>
      </c>
      <c r="F224" s="1731">
        <f>12000*2*36</f>
        <v>864000</v>
      </c>
      <c r="G224" s="1510">
        <f t="shared" si="3"/>
        <v>864000</v>
      </c>
    </row>
    <row r="225" spans="1:7">
      <c r="A225" s="1696"/>
      <c r="B225" s="1667"/>
      <c r="C225" s="728"/>
      <c r="D225" s="1667"/>
      <c r="E225" s="1670"/>
      <c r="F225" s="1671"/>
      <c r="G225" s="1510" t="str">
        <f t="shared" si="3"/>
        <v/>
      </c>
    </row>
    <row r="226" spans="1:7">
      <c r="A226" s="1696" t="s">
        <v>429</v>
      </c>
      <c r="B226" s="1717"/>
      <c r="C226" s="1742" t="s">
        <v>430</v>
      </c>
      <c r="D226" s="1667" t="s">
        <v>252</v>
      </c>
      <c r="E226" s="1670">
        <v>1</v>
      </c>
      <c r="F226" s="1731">
        <v>200000</v>
      </c>
      <c r="G226" s="1510">
        <f t="shared" si="3"/>
        <v>200000</v>
      </c>
    </row>
    <row r="227" spans="1:7">
      <c r="A227" s="1712"/>
      <c r="B227" s="1271"/>
      <c r="C227" s="1701"/>
      <c r="D227" s="1271"/>
      <c r="E227" s="1271"/>
      <c r="F227" s="1671"/>
      <c r="G227" s="1510" t="str">
        <f t="shared" si="3"/>
        <v/>
      </c>
    </row>
    <row r="228" spans="1:7">
      <c r="A228" s="1696" t="s">
        <v>431</v>
      </c>
      <c r="B228" s="1717"/>
      <c r="C228" s="1742" t="s">
        <v>432</v>
      </c>
      <c r="D228" s="1667" t="s">
        <v>252</v>
      </c>
      <c r="E228" s="1670">
        <v>1</v>
      </c>
      <c r="F228" s="1731">
        <v>200000</v>
      </c>
      <c r="G228" s="1510">
        <f t="shared" si="3"/>
        <v>200000</v>
      </c>
    </row>
    <row r="229" spans="1:7">
      <c r="A229" s="1696"/>
      <c r="B229" s="1271"/>
      <c r="C229" s="1701"/>
      <c r="D229" s="1271"/>
      <c r="E229" s="1271"/>
      <c r="F229" s="1671"/>
      <c r="G229" s="1510" t="str">
        <f t="shared" si="3"/>
        <v/>
      </c>
    </row>
    <row r="230" spans="1:7">
      <c r="A230" s="1696" t="s">
        <v>433</v>
      </c>
      <c r="B230" s="1717"/>
      <c r="C230" s="1742" t="s">
        <v>434</v>
      </c>
      <c r="D230" s="1667" t="s">
        <v>252</v>
      </c>
      <c r="E230" s="1670">
        <v>1</v>
      </c>
      <c r="F230" s="1731">
        <v>50000</v>
      </c>
      <c r="G230" s="1510">
        <f t="shared" si="3"/>
        <v>50000</v>
      </c>
    </row>
    <row r="231" spans="1:7">
      <c r="A231" s="1712"/>
      <c r="B231" s="1271"/>
      <c r="C231" s="1701"/>
      <c r="D231" s="1271"/>
      <c r="E231" s="1271"/>
      <c r="F231" s="1671"/>
      <c r="G231" s="1510" t="str">
        <f t="shared" si="3"/>
        <v/>
      </c>
    </row>
    <row r="232" spans="1:7">
      <c r="A232" s="1696" t="s">
        <v>435</v>
      </c>
      <c r="B232" s="1707"/>
      <c r="C232" s="1742" t="s">
        <v>436</v>
      </c>
      <c r="D232" s="1667" t="s">
        <v>252</v>
      </c>
      <c r="E232" s="1670">
        <v>1</v>
      </c>
      <c r="F232" s="1731">
        <v>100000</v>
      </c>
      <c r="G232" s="1510">
        <f t="shared" si="3"/>
        <v>100000</v>
      </c>
    </row>
    <row r="233" spans="1:7">
      <c r="A233" s="1696"/>
      <c r="B233" s="1271"/>
      <c r="C233" s="1726"/>
      <c r="D233" s="1271"/>
      <c r="E233" s="1271"/>
      <c r="F233" s="1671"/>
      <c r="G233" s="1510" t="str">
        <f t="shared" si="3"/>
        <v/>
      </c>
    </row>
    <row r="234" spans="1:7">
      <c r="A234" s="1696" t="s">
        <v>437</v>
      </c>
      <c r="B234" s="1667"/>
      <c r="C234" s="1691" t="s">
        <v>438</v>
      </c>
      <c r="D234" s="1667" t="s">
        <v>252</v>
      </c>
      <c r="E234" s="1670">
        <v>1</v>
      </c>
      <c r="F234" s="1731">
        <v>300000</v>
      </c>
      <c r="G234" s="1510">
        <f t="shared" si="3"/>
        <v>300000</v>
      </c>
    </row>
    <row r="235" spans="1:7">
      <c r="A235" s="1712"/>
      <c r="B235" s="1667"/>
      <c r="C235" s="1691"/>
      <c r="D235" s="1667"/>
      <c r="E235" s="1670"/>
      <c r="F235" s="1671"/>
      <c r="G235" s="1510" t="str">
        <f t="shared" si="3"/>
        <v/>
      </c>
    </row>
    <row r="236" spans="1:7" ht="26.4">
      <c r="A236" s="1696" t="s">
        <v>439</v>
      </c>
      <c r="B236" s="1667"/>
      <c r="C236" s="1691" t="s">
        <v>440</v>
      </c>
      <c r="D236" s="1667" t="s">
        <v>252</v>
      </c>
      <c r="E236" s="1670">
        <v>1</v>
      </c>
      <c r="F236" s="1731">
        <v>500000</v>
      </c>
      <c r="G236" s="1510">
        <f t="shared" si="3"/>
        <v>500000</v>
      </c>
    </row>
    <row r="237" spans="1:7">
      <c r="A237" s="1696"/>
      <c r="B237" s="52"/>
      <c r="C237" s="1721"/>
      <c r="D237" s="52"/>
      <c r="E237" s="1722"/>
      <c r="F237" s="1723"/>
      <c r="G237" s="1510" t="str">
        <f t="shared" si="3"/>
        <v/>
      </c>
    </row>
    <row r="238" spans="1:7">
      <c r="A238" s="1696" t="s">
        <v>441</v>
      </c>
      <c r="B238" s="1667"/>
      <c r="C238" s="1691" t="s">
        <v>442</v>
      </c>
      <c r="D238" s="1667" t="s">
        <v>252</v>
      </c>
      <c r="E238" s="1670">
        <v>1</v>
      </c>
      <c r="F238" s="1731">
        <v>500000</v>
      </c>
      <c r="G238" s="1510">
        <f t="shared" si="3"/>
        <v>500000</v>
      </c>
    </row>
    <row r="239" spans="1:7">
      <c r="A239" s="1712"/>
      <c r="B239" s="1667"/>
      <c r="C239" s="1691"/>
      <c r="D239" s="1667"/>
      <c r="E239" s="1670"/>
      <c r="F239" s="1671"/>
      <c r="G239" s="1510" t="str">
        <f t="shared" si="3"/>
        <v/>
      </c>
    </row>
    <row r="240" spans="1:7" ht="26.4">
      <c r="A240" s="1696" t="s">
        <v>443</v>
      </c>
      <c r="B240" s="1667"/>
      <c r="C240" s="1691" t="s">
        <v>444</v>
      </c>
      <c r="D240" s="1667" t="s">
        <v>252</v>
      </c>
      <c r="E240" s="1670">
        <v>1</v>
      </c>
      <c r="F240" s="1731">
        <v>200000</v>
      </c>
      <c r="G240" s="1510">
        <f t="shared" si="3"/>
        <v>200000</v>
      </c>
    </row>
    <row r="241" spans="1:7">
      <c r="A241" s="1696"/>
      <c r="B241" s="1667"/>
      <c r="C241" s="1691"/>
      <c r="D241" s="1738"/>
      <c r="E241" s="1670"/>
      <c r="F241" s="1671"/>
      <c r="G241" s="1510" t="str">
        <f t="shared" si="3"/>
        <v/>
      </c>
    </row>
    <row r="242" spans="1:7">
      <c r="A242" s="1696" t="s">
        <v>445</v>
      </c>
      <c r="B242" s="1667"/>
      <c r="C242" s="1691" t="s">
        <v>446</v>
      </c>
      <c r="D242" s="1667" t="s">
        <v>252</v>
      </c>
      <c r="E242" s="1670">
        <v>1</v>
      </c>
      <c r="F242" s="1731">
        <v>100000</v>
      </c>
      <c r="G242" s="1510">
        <f t="shared" si="3"/>
        <v>100000</v>
      </c>
    </row>
    <row r="243" spans="1:7">
      <c r="A243" s="1712"/>
      <c r="B243" s="1667"/>
      <c r="C243" s="1691"/>
      <c r="D243" s="1738"/>
      <c r="E243" s="1670"/>
      <c r="F243" s="1671"/>
      <c r="G243" s="1510" t="str">
        <f t="shared" si="3"/>
        <v/>
      </c>
    </row>
    <row r="244" spans="1:7">
      <c r="A244" s="1696" t="s">
        <v>447</v>
      </c>
      <c r="B244" s="1667" t="s">
        <v>448</v>
      </c>
      <c r="C244" s="1691" t="s">
        <v>449</v>
      </c>
      <c r="D244" s="1667" t="s">
        <v>252</v>
      </c>
      <c r="E244" s="1670">
        <v>1</v>
      </c>
      <c r="F244" s="1510">
        <v>100000</v>
      </c>
      <c r="G244" s="1510">
        <f t="shared" si="3"/>
        <v>100000</v>
      </c>
    </row>
    <row r="245" spans="1:7">
      <c r="A245" s="1712"/>
      <c r="B245" s="1707"/>
      <c r="C245" s="1742"/>
      <c r="D245" s="1705"/>
      <c r="E245" s="1728"/>
      <c r="F245" s="1729"/>
      <c r="G245" s="1510" t="str">
        <f t="shared" si="3"/>
        <v/>
      </c>
    </row>
    <row r="246" spans="1:7">
      <c r="A246" s="1667" t="s">
        <v>450</v>
      </c>
      <c r="B246" s="1667"/>
      <c r="C246" s="1691" t="s">
        <v>451</v>
      </c>
      <c r="D246" s="1667" t="s">
        <v>252</v>
      </c>
      <c r="E246" s="1670">
        <v>1</v>
      </c>
      <c r="F246" s="1731">
        <v>50000</v>
      </c>
      <c r="G246" s="1510">
        <f t="shared" si="3"/>
        <v>50000</v>
      </c>
    </row>
    <row r="247" spans="1:7">
      <c r="A247" s="1712"/>
      <c r="B247" s="52"/>
      <c r="C247" s="1721"/>
      <c r="D247" s="52"/>
      <c r="E247" s="1722"/>
      <c r="F247" s="1731"/>
      <c r="G247" s="1510" t="str">
        <f t="shared" si="3"/>
        <v/>
      </c>
    </row>
    <row r="248" spans="1:7">
      <c r="A248" s="1667" t="s">
        <v>452</v>
      </c>
      <c r="B248" s="52"/>
      <c r="C248" s="1721" t="s">
        <v>453</v>
      </c>
      <c r="D248" s="1667" t="s">
        <v>252</v>
      </c>
      <c r="E248" s="1722">
        <v>1</v>
      </c>
      <c r="F248" s="1731">
        <v>100000</v>
      </c>
      <c r="G248" s="1510">
        <f t="shared" si="3"/>
        <v>100000</v>
      </c>
    </row>
    <row r="249" spans="1:7">
      <c r="A249" s="1667"/>
      <c r="B249" s="1667"/>
      <c r="C249" s="1691"/>
      <c r="D249" s="1667"/>
      <c r="E249" s="1670"/>
      <c r="F249" s="1714"/>
      <c r="G249" s="1510" t="str">
        <f t="shared" si="3"/>
        <v/>
      </c>
    </row>
    <row r="250" spans="1:7" ht="26.4">
      <c r="A250" s="1667" t="s">
        <v>452</v>
      </c>
      <c r="B250" s="1667" t="s">
        <v>454</v>
      </c>
      <c r="C250" s="1691" t="s">
        <v>455</v>
      </c>
      <c r="D250" s="1667" t="s">
        <v>257</v>
      </c>
      <c r="E250" s="1739">
        <v>5806000</v>
      </c>
      <c r="F250" s="1743"/>
      <c r="G250" s="1510">
        <f t="shared" si="3"/>
        <v>0</v>
      </c>
    </row>
    <row r="251" spans="1:7">
      <c r="A251" s="1667"/>
      <c r="B251" s="1738"/>
      <c r="C251" s="1691"/>
      <c r="D251" s="1667"/>
      <c r="E251" s="1739"/>
      <c r="F251" s="1714"/>
      <c r="G251" s="1510" t="str">
        <f t="shared" si="3"/>
        <v/>
      </c>
    </row>
    <row r="252" spans="1:7">
      <c r="A252" s="1744">
        <v>1.4</v>
      </c>
      <c r="B252" s="1738" t="s">
        <v>456</v>
      </c>
      <c r="C252" s="1745" t="s">
        <v>457</v>
      </c>
      <c r="D252" s="1667"/>
      <c r="E252" s="1670"/>
      <c r="F252" s="1714"/>
      <c r="G252" s="1510" t="str">
        <f t="shared" si="3"/>
        <v/>
      </c>
    </row>
    <row r="253" spans="1:7">
      <c r="A253" s="1712"/>
      <c r="B253" s="946"/>
      <c r="C253" s="1726"/>
      <c r="D253" s="1271"/>
      <c r="E253" s="1271"/>
      <c r="F253" s="1713"/>
      <c r="G253" s="1510" t="str">
        <f t="shared" si="3"/>
        <v/>
      </c>
    </row>
    <row r="254" spans="1:7" ht="39.6">
      <c r="A254" s="1717" t="s">
        <v>458</v>
      </c>
      <c r="B254" s="1746" t="s">
        <v>459</v>
      </c>
      <c r="C254" s="1691" t="s">
        <v>460</v>
      </c>
      <c r="D254" s="1667" t="s">
        <v>252</v>
      </c>
      <c r="E254" s="1728">
        <v>1</v>
      </c>
      <c r="F254" s="1510">
        <v>1000000</v>
      </c>
      <c r="G254" s="1510">
        <f t="shared" si="3"/>
        <v>1000000</v>
      </c>
    </row>
    <row r="255" spans="1:7">
      <c r="A255" s="1712"/>
      <c r="B255" s="1271"/>
      <c r="C255" s="1701"/>
      <c r="D255" s="1271"/>
      <c r="E255" s="1271"/>
      <c r="F255" s="1703"/>
      <c r="G255" s="1510" t="str">
        <f t="shared" si="3"/>
        <v/>
      </c>
    </row>
    <row r="256" spans="1:7" ht="39.6">
      <c r="A256" s="1717"/>
      <c r="B256" s="1707" t="s">
        <v>461</v>
      </c>
      <c r="C256" s="1747" t="s">
        <v>462</v>
      </c>
      <c r="D256" s="1705"/>
      <c r="E256" s="1728"/>
      <c r="F256" s="1729"/>
      <c r="G256" s="1510" t="str">
        <f t="shared" si="3"/>
        <v/>
      </c>
    </row>
    <row r="257" spans="1:7">
      <c r="A257" s="1712"/>
      <c r="B257" s="1271"/>
      <c r="C257" s="1701"/>
      <c r="D257" s="1271"/>
      <c r="E257" s="1271"/>
      <c r="F257" s="1703"/>
      <c r="G257" s="1510" t="str">
        <f t="shared" si="3"/>
        <v/>
      </c>
    </row>
    <row r="258" spans="1:7">
      <c r="A258" s="1717" t="s">
        <v>463</v>
      </c>
      <c r="B258" s="1707"/>
      <c r="C258" s="1742" t="s">
        <v>464</v>
      </c>
      <c r="D258" s="1705" t="s">
        <v>257</v>
      </c>
      <c r="E258" s="1748">
        <v>300000</v>
      </c>
      <c r="F258" s="1743"/>
      <c r="G258" s="1510">
        <f t="shared" si="3"/>
        <v>0</v>
      </c>
    </row>
    <row r="259" spans="1:7">
      <c r="A259" s="1724"/>
      <c r="B259" s="1725"/>
      <c r="C259" s="1726"/>
      <c r="D259" s="1725"/>
      <c r="E259" s="1749"/>
      <c r="F259" s="1703"/>
      <c r="G259" s="1510" t="str">
        <f t="shared" si="3"/>
        <v/>
      </c>
    </row>
    <row r="260" spans="1:7">
      <c r="A260" s="52" t="s">
        <v>465</v>
      </c>
      <c r="B260" s="52"/>
      <c r="C260" s="1721" t="s">
        <v>466</v>
      </c>
      <c r="D260" s="52" t="s">
        <v>257</v>
      </c>
      <c r="E260" s="1748">
        <v>500000</v>
      </c>
      <c r="F260" s="1743"/>
      <c r="G260" s="1510">
        <f t="shared" si="3"/>
        <v>0</v>
      </c>
    </row>
    <row r="261" spans="1:7">
      <c r="A261" s="1724"/>
      <c r="B261" s="1725"/>
      <c r="C261" s="1726"/>
      <c r="D261" s="1725"/>
      <c r="E261" s="1749"/>
      <c r="F261" s="1703"/>
      <c r="G261" s="1510" t="str">
        <f t="shared" si="3"/>
        <v/>
      </c>
    </row>
    <row r="262" spans="1:7">
      <c r="A262" s="52" t="s">
        <v>467</v>
      </c>
      <c r="B262" s="52"/>
      <c r="C262" s="1721" t="s">
        <v>468</v>
      </c>
      <c r="D262" s="52" t="s">
        <v>257</v>
      </c>
      <c r="E262" s="1748">
        <v>200000</v>
      </c>
      <c r="F262" s="1743"/>
      <c r="G262" s="1510">
        <f t="shared" si="3"/>
        <v>0</v>
      </c>
    </row>
    <row r="263" spans="1:7">
      <c r="A263" s="1667"/>
      <c r="B263" s="1738"/>
      <c r="C263" s="1691"/>
      <c r="D263" s="1667"/>
      <c r="E263" s="1739"/>
      <c r="F263" s="1714"/>
      <c r="G263" s="1731"/>
    </row>
    <row r="264" spans="1:7">
      <c r="A264" s="869"/>
      <c r="B264" s="801"/>
      <c r="C264" s="801"/>
      <c r="D264" s="801"/>
      <c r="E264" s="800"/>
      <c r="F264" s="1698"/>
      <c r="G264" s="1699"/>
    </row>
    <row r="265" spans="1:7">
      <c r="A265" s="802"/>
      <c r="B265" s="426"/>
      <c r="C265" s="457" t="s">
        <v>289</v>
      </c>
      <c r="D265" s="426"/>
      <c r="E265" s="425"/>
      <c r="F265" s="1492"/>
      <c r="G265" s="1491">
        <f>SUM(G201:G263)</f>
        <v>6806000</v>
      </c>
    </row>
    <row r="266" spans="1:7">
      <c r="A266" s="1712"/>
      <c r="B266" s="1701"/>
      <c r="C266" s="1702" t="s">
        <v>290</v>
      </c>
      <c r="D266" s="1701"/>
      <c r="E266" s="1271"/>
      <c r="F266" s="1720"/>
      <c r="G266" s="1704">
        <f>G265</f>
        <v>6806000</v>
      </c>
    </row>
    <row r="267" spans="1:7">
      <c r="A267" s="52"/>
      <c r="B267" s="52"/>
      <c r="C267" s="1721"/>
      <c r="D267" s="52"/>
      <c r="E267" s="1722"/>
      <c r="F267" s="1723"/>
      <c r="G267" s="1493"/>
    </row>
    <row r="268" spans="1:7">
      <c r="A268" s="1717"/>
      <c r="B268" s="1707" t="s">
        <v>469</v>
      </c>
      <c r="C268" s="1750" t="s">
        <v>470</v>
      </c>
      <c r="D268" s="1705"/>
      <c r="E268" s="1728"/>
      <c r="F268" s="1729"/>
      <c r="G268" s="1510"/>
    </row>
    <row r="269" spans="1:7">
      <c r="A269" s="1712"/>
      <c r="B269" s="1271"/>
      <c r="C269" s="1701"/>
      <c r="D269" s="1271"/>
      <c r="E269" s="1271"/>
      <c r="F269" s="1703"/>
      <c r="G269" s="1740"/>
    </row>
    <row r="270" spans="1:7" ht="26.4">
      <c r="A270" s="1717"/>
      <c r="B270" s="1707"/>
      <c r="C270" s="1750" t="s">
        <v>471</v>
      </c>
      <c r="D270" s="1705"/>
      <c r="E270" s="1728"/>
      <c r="F270" s="1729"/>
      <c r="G270" s="1510"/>
    </row>
    <row r="271" spans="1:7">
      <c r="A271" s="1712"/>
      <c r="B271" s="1271"/>
      <c r="C271" s="1701"/>
      <c r="D271" s="1271"/>
      <c r="E271" s="1271"/>
      <c r="F271" s="1703"/>
      <c r="G271" s="1740"/>
    </row>
    <row r="272" spans="1:7">
      <c r="A272" s="1717" t="s">
        <v>472</v>
      </c>
      <c r="B272" s="1707"/>
      <c r="C272" s="1735" t="s">
        <v>473</v>
      </c>
      <c r="D272" s="1705" t="s">
        <v>474</v>
      </c>
      <c r="E272" s="1728">
        <v>80</v>
      </c>
      <c r="F272" s="1729"/>
      <c r="G272" s="1510">
        <f t="shared" ref="G272:G328" si="4">IF(D272="","",ROUND(E272*F272,2))</f>
        <v>0</v>
      </c>
    </row>
    <row r="273" spans="1:7">
      <c r="A273" s="1712"/>
      <c r="B273" s="1271"/>
      <c r="C273" s="1737"/>
      <c r="D273" s="1271"/>
      <c r="E273" s="1271"/>
      <c r="F273" s="1703"/>
      <c r="G273" s="1510" t="str">
        <f t="shared" si="4"/>
        <v/>
      </c>
    </row>
    <row r="274" spans="1:7">
      <c r="A274" s="1717" t="s">
        <v>475</v>
      </c>
      <c r="B274" s="1707"/>
      <c r="C274" s="1735" t="s">
        <v>476</v>
      </c>
      <c r="D274" s="1705" t="s">
        <v>474</v>
      </c>
      <c r="E274" s="1728">
        <v>80</v>
      </c>
      <c r="F274" s="1729"/>
      <c r="G274" s="1510">
        <f t="shared" si="4"/>
        <v>0</v>
      </c>
    </row>
    <row r="275" spans="1:7">
      <c r="A275" s="1712"/>
      <c r="B275" s="1271"/>
      <c r="C275" s="1737"/>
      <c r="D275" s="1271"/>
      <c r="E275" s="1271"/>
      <c r="F275" s="1703"/>
      <c r="G275" s="1510" t="str">
        <f t="shared" si="4"/>
        <v/>
      </c>
    </row>
    <row r="276" spans="1:7">
      <c r="A276" s="1717" t="s">
        <v>477</v>
      </c>
      <c r="B276" s="1707"/>
      <c r="C276" s="1735" t="s">
        <v>478</v>
      </c>
      <c r="D276" s="1705" t="s">
        <v>474</v>
      </c>
      <c r="E276" s="1728">
        <v>80</v>
      </c>
      <c r="F276" s="1729"/>
      <c r="G276" s="1510">
        <f t="shared" si="4"/>
        <v>0</v>
      </c>
    </row>
    <row r="277" spans="1:7">
      <c r="A277" s="1712"/>
      <c r="B277" s="1271"/>
      <c r="C277" s="1737"/>
      <c r="D277" s="1271"/>
      <c r="E277" s="1271"/>
      <c r="F277" s="1703"/>
      <c r="G277" s="1510" t="str">
        <f t="shared" si="4"/>
        <v/>
      </c>
    </row>
    <row r="278" spans="1:7">
      <c r="A278" s="1717" t="s">
        <v>479</v>
      </c>
      <c r="B278" s="1707"/>
      <c r="C278" s="1735" t="s">
        <v>480</v>
      </c>
      <c r="D278" s="1705" t="s">
        <v>474</v>
      </c>
      <c r="E278" s="1728">
        <v>40</v>
      </c>
      <c r="F278" s="1729"/>
      <c r="G278" s="1510">
        <f t="shared" si="4"/>
        <v>0</v>
      </c>
    </row>
    <row r="279" spans="1:7">
      <c r="A279" s="1712"/>
      <c r="B279" s="1701"/>
      <c r="C279" s="1498"/>
      <c r="D279" s="1726"/>
      <c r="E279" s="1271"/>
      <c r="F279" s="1703"/>
      <c r="G279" s="1510" t="str">
        <f t="shared" si="4"/>
        <v/>
      </c>
    </row>
    <row r="280" spans="1:7">
      <c r="A280" s="1717" t="s">
        <v>481</v>
      </c>
      <c r="B280" s="1707"/>
      <c r="C280" s="1735" t="s">
        <v>482</v>
      </c>
      <c r="D280" s="1705" t="s">
        <v>474</v>
      </c>
      <c r="E280" s="1728">
        <v>40</v>
      </c>
      <c r="F280" s="1703"/>
      <c r="G280" s="1510">
        <f t="shared" si="4"/>
        <v>0</v>
      </c>
    </row>
    <row r="281" spans="1:7">
      <c r="A281" s="1717"/>
      <c r="B281" s="1707"/>
      <c r="C281" s="1735"/>
      <c r="D281" s="1705"/>
      <c r="E281" s="1728"/>
      <c r="F281" s="1729"/>
      <c r="G281" s="1510" t="str">
        <f t="shared" si="4"/>
        <v/>
      </c>
    </row>
    <row r="282" spans="1:7">
      <c r="A282" s="1717" t="s">
        <v>483</v>
      </c>
      <c r="B282" s="1707"/>
      <c r="C282" s="1735" t="s">
        <v>484</v>
      </c>
      <c r="D282" s="1705" t="s">
        <v>474</v>
      </c>
      <c r="E282" s="1728">
        <v>40</v>
      </c>
      <c r="F282" s="1729"/>
      <c r="G282" s="1510">
        <f t="shared" si="4"/>
        <v>0</v>
      </c>
    </row>
    <row r="283" spans="1:7">
      <c r="A283" s="52"/>
      <c r="B283" s="52"/>
      <c r="C283" s="1727"/>
      <c r="D283" s="52"/>
      <c r="E283" s="1722"/>
      <c r="F283" s="1723"/>
      <c r="G283" s="1510" t="str">
        <f t="shared" si="4"/>
        <v/>
      </c>
    </row>
    <row r="284" spans="1:7">
      <c r="A284" s="1717" t="s">
        <v>485</v>
      </c>
      <c r="B284" s="1707"/>
      <c r="C284" s="1735" t="s">
        <v>486</v>
      </c>
      <c r="D284" s="1705" t="s">
        <v>474</v>
      </c>
      <c r="E284" s="1728">
        <v>40</v>
      </c>
      <c r="F284" s="1729"/>
      <c r="G284" s="1510">
        <f t="shared" si="4"/>
        <v>0</v>
      </c>
    </row>
    <row r="285" spans="1:7">
      <c r="A285" s="1712"/>
      <c r="B285" s="1271"/>
      <c r="C285" s="1737"/>
      <c r="D285" s="1271"/>
      <c r="E285" s="1271"/>
      <c r="F285" s="1703"/>
      <c r="G285" s="1510" t="str">
        <f t="shared" si="4"/>
        <v/>
      </c>
    </row>
    <row r="286" spans="1:7">
      <c r="A286" s="1717" t="s">
        <v>487</v>
      </c>
      <c r="B286" s="1707"/>
      <c r="C286" s="1735" t="s">
        <v>488</v>
      </c>
      <c r="D286" s="1705" t="s">
        <v>474</v>
      </c>
      <c r="E286" s="1728">
        <v>40</v>
      </c>
      <c r="F286" s="1729"/>
      <c r="G286" s="1510">
        <f t="shared" si="4"/>
        <v>0</v>
      </c>
    </row>
    <row r="287" spans="1:7">
      <c r="A287" s="1717"/>
      <c r="B287" s="1707"/>
      <c r="C287" s="1735"/>
      <c r="D287" s="1705"/>
      <c r="E287" s="1728"/>
      <c r="F287" s="1729"/>
      <c r="G287" s="1510" t="str">
        <f t="shared" si="4"/>
        <v/>
      </c>
    </row>
    <row r="288" spans="1:7">
      <c r="A288" s="1717" t="s">
        <v>489</v>
      </c>
      <c r="B288" s="1707"/>
      <c r="C288" s="1735" t="s">
        <v>490</v>
      </c>
      <c r="D288" s="1705" t="s">
        <v>474</v>
      </c>
      <c r="E288" s="1728">
        <v>40</v>
      </c>
      <c r="F288" s="1729"/>
      <c r="G288" s="1510">
        <f t="shared" si="4"/>
        <v>0</v>
      </c>
    </row>
    <row r="289" spans="1:7">
      <c r="A289" s="1717"/>
      <c r="B289" s="1707"/>
      <c r="C289" s="1735"/>
      <c r="D289" s="1705"/>
      <c r="E289" s="1728"/>
      <c r="F289" s="1729"/>
      <c r="G289" s="1510" t="str">
        <f t="shared" si="4"/>
        <v/>
      </c>
    </row>
    <row r="290" spans="1:7">
      <c r="A290" s="1717" t="s">
        <v>491</v>
      </c>
      <c r="B290" s="1707"/>
      <c r="C290" s="1735" t="s">
        <v>492</v>
      </c>
      <c r="D290" s="1705" t="s">
        <v>474</v>
      </c>
      <c r="E290" s="1728">
        <v>80</v>
      </c>
      <c r="F290" s="1729"/>
      <c r="G290" s="1510">
        <f t="shared" si="4"/>
        <v>0</v>
      </c>
    </row>
    <row r="291" spans="1:7">
      <c r="A291" s="1717"/>
      <c r="B291" s="1707"/>
      <c r="C291" s="1735"/>
      <c r="D291" s="1705"/>
      <c r="E291" s="1728"/>
      <c r="F291" s="1729"/>
      <c r="G291" s="1510" t="str">
        <f t="shared" si="4"/>
        <v/>
      </c>
    </row>
    <row r="292" spans="1:7" ht="39.6">
      <c r="A292" s="1717" t="s">
        <v>493</v>
      </c>
      <c r="B292" s="1707"/>
      <c r="C292" s="1735" t="s">
        <v>494</v>
      </c>
      <c r="D292" s="1705" t="s">
        <v>474</v>
      </c>
      <c r="E292" s="1728">
        <v>200</v>
      </c>
      <c r="F292" s="1729"/>
      <c r="G292" s="1510">
        <f t="shared" si="4"/>
        <v>0</v>
      </c>
    </row>
    <row r="293" spans="1:7">
      <c r="A293" s="1717"/>
      <c r="B293" s="1707"/>
      <c r="C293" s="1735"/>
      <c r="D293" s="1705"/>
      <c r="E293" s="1728"/>
      <c r="F293" s="1729"/>
      <c r="G293" s="1510" t="str">
        <f t="shared" si="4"/>
        <v/>
      </c>
    </row>
    <row r="294" spans="1:7">
      <c r="A294" s="1717"/>
      <c r="B294" s="1707"/>
      <c r="C294" s="1751" t="s">
        <v>495</v>
      </c>
      <c r="D294" s="1705"/>
      <c r="E294" s="1728"/>
      <c r="F294" s="1729"/>
      <c r="G294" s="1510" t="str">
        <f t="shared" si="4"/>
        <v/>
      </c>
    </row>
    <row r="295" spans="1:7">
      <c r="A295" s="1717"/>
      <c r="B295" s="1707"/>
      <c r="C295" s="1751"/>
      <c r="D295" s="1705"/>
      <c r="E295" s="1728"/>
      <c r="F295" s="1729"/>
      <c r="G295" s="1510" t="str">
        <f t="shared" si="4"/>
        <v/>
      </c>
    </row>
    <row r="296" spans="1:7">
      <c r="A296" s="1717" t="s">
        <v>496</v>
      </c>
      <c r="B296" s="1707"/>
      <c r="C296" s="1735" t="s">
        <v>373</v>
      </c>
      <c r="D296" s="1705" t="s">
        <v>474</v>
      </c>
      <c r="E296" s="1728">
        <v>40</v>
      </c>
      <c r="F296" s="1729"/>
      <c r="G296" s="1510">
        <f t="shared" si="4"/>
        <v>0</v>
      </c>
    </row>
    <row r="297" spans="1:7">
      <c r="A297" s="1717"/>
      <c r="B297" s="1707"/>
      <c r="C297" s="1735"/>
      <c r="D297" s="1705"/>
      <c r="E297" s="1728"/>
      <c r="F297" s="1729"/>
      <c r="G297" s="1510" t="str">
        <f t="shared" si="4"/>
        <v/>
      </c>
    </row>
    <row r="298" spans="1:7">
      <c r="A298" s="1667" t="s">
        <v>497</v>
      </c>
      <c r="B298" s="1667"/>
      <c r="C298" s="1675" t="s">
        <v>373</v>
      </c>
      <c r="D298" s="1667" t="s">
        <v>474</v>
      </c>
      <c r="E298" s="1728">
        <v>40</v>
      </c>
      <c r="F298" s="1729"/>
      <c r="G298" s="1510">
        <f t="shared" si="4"/>
        <v>0</v>
      </c>
    </row>
    <row r="299" spans="1:7">
      <c r="A299" s="1717"/>
      <c r="B299" s="1707"/>
      <c r="C299" s="1742"/>
      <c r="D299" s="1705"/>
      <c r="E299" s="1728"/>
      <c r="F299" s="1729"/>
      <c r="G299" s="1510" t="str">
        <f t="shared" si="4"/>
        <v/>
      </c>
    </row>
    <row r="300" spans="1:7">
      <c r="A300" s="1752">
        <v>1.5</v>
      </c>
      <c r="B300" s="1707">
        <v>8.8000000000000007</v>
      </c>
      <c r="C300" s="1750" t="s">
        <v>498</v>
      </c>
      <c r="D300" s="1705"/>
      <c r="E300" s="1728"/>
      <c r="F300" s="1671"/>
      <c r="G300" s="1510" t="str">
        <f t="shared" si="4"/>
        <v/>
      </c>
    </row>
    <row r="301" spans="1:7">
      <c r="A301" s="1717"/>
      <c r="B301" s="1707"/>
      <c r="C301" s="1742"/>
      <c r="D301" s="1705"/>
      <c r="E301" s="1728"/>
      <c r="F301" s="1671"/>
      <c r="G301" s="1510" t="str">
        <f t="shared" si="4"/>
        <v/>
      </c>
    </row>
    <row r="302" spans="1:7">
      <c r="A302" s="1717" t="s">
        <v>499</v>
      </c>
      <c r="B302" s="1707" t="s">
        <v>500</v>
      </c>
      <c r="C302" s="1742" t="s">
        <v>501</v>
      </c>
      <c r="D302" s="1705" t="s">
        <v>230</v>
      </c>
      <c r="E302" s="1728">
        <v>1</v>
      </c>
      <c r="F302" s="1671"/>
      <c r="G302" s="1510">
        <f t="shared" si="4"/>
        <v>0</v>
      </c>
    </row>
    <row r="303" spans="1:7">
      <c r="A303" s="1717"/>
      <c r="B303" s="1707"/>
      <c r="C303" s="1742"/>
      <c r="D303" s="1705"/>
      <c r="E303" s="1728"/>
      <c r="F303" s="1671"/>
      <c r="G303" s="1510" t="str">
        <f t="shared" si="4"/>
        <v/>
      </c>
    </row>
    <row r="304" spans="1:7">
      <c r="A304" s="1717"/>
      <c r="B304" s="1707" t="s">
        <v>502</v>
      </c>
      <c r="C304" s="1750" t="s">
        <v>503</v>
      </c>
      <c r="D304" s="1705"/>
      <c r="E304" s="1728"/>
      <c r="F304" s="1671"/>
      <c r="G304" s="1510" t="str">
        <f t="shared" si="4"/>
        <v/>
      </c>
    </row>
    <row r="305" spans="1:7">
      <c r="A305" s="1667"/>
      <c r="B305" s="1667"/>
      <c r="C305" s="1691"/>
      <c r="D305" s="1667"/>
      <c r="E305" s="1670"/>
      <c r="F305" s="1671"/>
      <c r="G305" s="1510" t="str">
        <f t="shared" si="4"/>
        <v/>
      </c>
    </row>
    <row r="306" spans="1:7">
      <c r="A306" s="1667" t="s">
        <v>504</v>
      </c>
      <c r="B306" s="1667"/>
      <c r="C306" s="1691" t="s">
        <v>505</v>
      </c>
      <c r="D306" s="1667" t="s">
        <v>252</v>
      </c>
      <c r="E306" s="1670">
        <v>1</v>
      </c>
      <c r="F306" s="1731">
        <v>250000</v>
      </c>
      <c r="G306" s="1510">
        <f t="shared" si="4"/>
        <v>250000</v>
      </c>
    </row>
    <row r="307" spans="1:7">
      <c r="A307" s="1717"/>
      <c r="B307" s="1707"/>
      <c r="C307" s="1742"/>
      <c r="D307" s="1705"/>
      <c r="E307" s="1728"/>
      <c r="F307" s="1729"/>
      <c r="G307" s="1510" t="str">
        <f t="shared" si="4"/>
        <v/>
      </c>
    </row>
    <row r="308" spans="1:7">
      <c r="A308" s="1667" t="s">
        <v>506</v>
      </c>
      <c r="B308" s="1667"/>
      <c r="C308" s="1691" t="s">
        <v>507</v>
      </c>
      <c r="D308" s="1667" t="s">
        <v>508</v>
      </c>
      <c r="E308" s="1670">
        <v>200</v>
      </c>
      <c r="F308" s="1671"/>
      <c r="G308" s="1510">
        <f t="shared" si="4"/>
        <v>0</v>
      </c>
    </row>
    <row r="309" spans="1:7">
      <c r="A309" s="1667"/>
      <c r="B309" s="1667"/>
      <c r="C309" s="1691"/>
      <c r="D309" s="1667"/>
      <c r="E309" s="1670"/>
      <c r="F309" s="1671"/>
      <c r="G309" s="1510" t="str">
        <f t="shared" si="4"/>
        <v/>
      </c>
    </row>
    <row r="310" spans="1:7">
      <c r="A310" s="1667"/>
      <c r="B310" s="1667" t="s">
        <v>509</v>
      </c>
      <c r="C310" s="1691" t="s">
        <v>510</v>
      </c>
      <c r="D310" s="1667"/>
      <c r="E310" s="1670"/>
      <c r="F310" s="1671"/>
      <c r="G310" s="1510" t="str">
        <f t="shared" si="4"/>
        <v/>
      </c>
    </row>
    <row r="311" spans="1:7">
      <c r="A311" s="1667"/>
      <c r="B311" s="1667"/>
      <c r="C311" s="1691"/>
      <c r="D311" s="1667"/>
      <c r="E311" s="1670"/>
      <c r="F311" s="1671"/>
      <c r="G311" s="1510" t="str">
        <f t="shared" si="4"/>
        <v/>
      </c>
    </row>
    <row r="312" spans="1:7" ht="26.4">
      <c r="A312" s="1667"/>
      <c r="B312" s="1667"/>
      <c r="C312" s="1691" t="s">
        <v>511</v>
      </c>
      <c r="D312" s="1667"/>
      <c r="E312" s="1670"/>
      <c r="F312" s="1671"/>
      <c r="G312" s="1510" t="str">
        <f t="shared" si="4"/>
        <v/>
      </c>
    </row>
    <row r="313" spans="1:7">
      <c r="A313" s="1667"/>
      <c r="B313" s="1667"/>
      <c r="C313" s="1691"/>
      <c r="D313" s="1667"/>
      <c r="E313" s="1670"/>
      <c r="F313" s="1671"/>
      <c r="G313" s="1510" t="str">
        <f t="shared" si="4"/>
        <v/>
      </c>
    </row>
    <row r="314" spans="1:7">
      <c r="A314" s="1667"/>
      <c r="B314" s="1667"/>
      <c r="C314" s="1695" t="s">
        <v>512</v>
      </c>
      <c r="D314" s="1667"/>
      <c r="E314" s="1670"/>
      <c r="F314" s="1671"/>
      <c r="G314" s="1510" t="str">
        <f t="shared" si="4"/>
        <v/>
      </c>
    </row>
    <row r="315" spans="1:7">
      <c r="A315" s="1667"/>
      <c r="B315" s="1667"/>
      <c r="C315" s="1691"/>
      <c r="D315" s="1667"/>
      <c r="E315" s="1670"/>
      <c r="F315" s="1671"/>
      <c r="G315" s="1510" t="str">
        <f t="shared" si="4"/>
        <v/>
      </c>
    </row>
    <row r="316" spans="1:7">
      <c r="A316" s="1667" t="s">
        <v>513</v>
      </c>
      <c r="B316" s="1667"/>
      <c r="C316" s="1668" t="s">
        <v>514</v>
      </c>
      <c r="D316" s="1667" t="s">
        <v>508</v>
      </c>
      <c r="E316" s="1670">
        <v>60</v>
      </c>
      <c r="F316" s="1671"/>
      <c r="G316" s="1510">
        <f t="shared" si="4"/>
        <v>0</v>
      </c>
    </row>
    <row r="317" spans="1:7">
      <c r="A317" s="1667"/>
      <c r="B317" s="1667"/>
      <c r="C317" s="1668"/>
      <c r="D317" s="1667"/>
      <c r="E317" s="1670"/>
      <c r="F317" s="1671"/>
      <c r="G317" s="1510" t="str">
        <f t="shared" si="4"/>
        <v/>
      </c>
    </row>
    <row r="318" spans="1:7">
      <c r="A318" s="1667" t="s">
        <v>515</v>
      </c>
      <c r="B318" s="1667"/>
      <c r="C318" s="1668" t="s">
        <v>516</v>
      </c>
      <c r="D318" s="1667" t="s">
        <v>508</v>
      </c>
      <c r="E318" s="1670">
        <v>180</v>
      </c>
      <c r="F318" s="1671"/>
      <c r="G318" s="1510">
        <f t="shared" si="4"/>
        <v>0</v>
      </c>
    </row>
    <row r="319" spans="1:7">
      <c r="A319" s="1667"/>
      <c r="B319" s="1667"/>
      <c r="C319" s="1668"/>
      <c r="D319" s="1667"/>
      <c r="E319" s="1670"/>
      <c r="F319" s="1671"/>
      <c r="G319" s="1510" t="str">
        <f t="shared" si="4"/>
        <v/>
      </c>
    </row>
    <row r="320" spans="1:7">
      <c r="A320" s="1667" t="s">
        <v>517</v>
      </c>
      <c r="B320" s="1667"/>
      <c r="C320" s="1668" t="s">
        <v>518</v>
      </c>
      <c r="D320" s="1667" t="s">
        <v>508</v>
      </c>
      <c r="E320" s="1670">
        <v>60</v>
      </c>
      <c r="F320" s="1671"/>
      <c r="G320" s="1510">
        <f t="shared" si="4"/>
        <v>0</v>
      </c>
    </row>
    <row r="321" spans="1:7">
      <c r="A321" s="1667"/>
      <c r="B321" s="1667"/>
      <c r="C321" s="1691"/>
      <c r="D321" s="1667"/>
      <c r="E321" s="1670"/>
      <c r="F321" s="1671"/>
      <c r="G321" s="1510" t="str">
        <f t="shared" si="4"/>
        <v/>
      </c>
    </row>
    <row r="322" spans="1:7">
      <c r="A322" s="1667"/>
      <c r="B322" s="1667"/>
      <c r="C322" s="1695" t="s">
        <v>519</v>
      </c>
      <c r="D322" s="1667"/>
      <c r="E322" s="1670"/>
      <c r="F322" s="1671"/>
      <c r="G322" s="1510" t="str">
        <f t="shared" si="4"/>
        <v/>
      </c>
    </row>
    <row r="323" spans="1:7">
      <c r="A323" s="1667"/>
      <c r="B323" s="1667"/>
      <c r="C323" s="1691"/>
      <c r="D323" s="1667"/>
      <c r="E323" s="1670"/>
      <c r="F323" s="1671"/>
      <c r="G323" s="1510" t="str">
        <f t="shared" si="4"/>
        <v/>
      </c>
    </row>
    <row r="324" spans="1:7">
      <c r="A324" s="1667" t="s">
        <v>520</v>
      </c>
      <c r="B324" s="1667"/>
      <c r="C324" s="1668" t="s">
        <v>514</v>
      </c>
      <c r="D324" s="1667" t="s">
        <v>508</v>
      </c>
      <c r="E324" s="1670">
        <v>64</v>
      </c>
      <c r="F324" s="1671"/>
      <c r="G324" s="1510">
        <f t="shared" si="4"/>
        <v>0</v>
      </c>
    </row>
    <row r="325" spans="1:7">
      <c r="A325" s="1667"/>
      <c r="B325" s="1667"/>
      <c r="C325" s="1668"/>
      <c r="D325" s="1667"/>
      <c r="E325" s="1670"/>
      <c r="F325" s="1671"/>
      <c r="G325" s="1510" t="str">
        <f t="shared" si="4"/>
        <v/>
      </c>
    </row>
    <row r="326" spans="1:7">
      <c r="A326" s="1667" t="s">
        <v>521</v>
      </c>
      <c r="B326" s="1667"/>
      <c r="C326" s="1668" t="s">
        <v>516</v>
      </c>
      <c r="D326" s="1667" t="s">
        <v>508</v>
      </c>
      <c r="E326" s="1670">
        <v>192</v>
      </c>
      <c r="F326" s="1671"/>
      <c r="G326" s="1510">
        <f t="shared" si="4"/>
        <v>0</v>
      </c>
    </row>
    <row r="327" spans="1:7">
      <c r="A327" s="1667"/>
      <c r="B327" s="1667"/>
      <c r="C327" s="1668"/>
      <c r="D327" s="1667"/>
      <c r="E327" s="1670"/>
      <c r="F327" s="1671"/>
      <c r="G327" s="1510" t="str">
        <f t="shared" si="4"/>
        <v/>
      </c>
    </row>
    <row r="328" spans="1:7">
      <c r="A328" s="1667" t="s">
        <v>522</v>
      </c>
      <c r="B328" s="1667"/>
      <c r="C328" s="1668" t="s">
        <v>523</v>
      </c>
      <c r="D328" s="1667" t="s">
        <v>508</v>
      </c>
      <c r="E328" s="1670">
        <v>64</v>
      </c>
      <c r="F328" s="1671"/>
      <c r="G328" s="1510">
        <f t="shared" si="4"/>
        <v>0</v>
      </c>
    </row>
    <row r="329" spans="1:7">
      <c r="A329" s="1667"/>
      <c r="B329" s="1667"/>
      <c r="C329" s="1668"/>
      <c r="D329" s="1667"/>
      <c r="E329" s="1670"/>
      <c r="F329" s="1671"/>
      <c r="G329" s="1731"/>
    </row>
    <row r="330" spans="1:7">
      <c r="A330" s="1667"/>
      <c r="B330" s="1667"/>
      <c r="C330" s="1668"/>
      <c r="D330" s="1667"/>
      <c r="E330" s="1670"/>
      <c r="F330" s="1671"/>
      <c r="G330" s="1731"/>
    </row>
    <row r="331" spans="1:7">
      <c r="A331" s="1667"/>
      <c r="B331" s="1667"/>
      <c r="C331" s="1668"/>
      <c r="D331" s="1667"/>
      <c r="E331" s="1670"/>
      <c r="F331" s="1671"/>
      <c r="G331" s="1731"/>
    </row>
    <row r="332" spans="1:7">
      <c r="A332" s="1667"/>
      <c r="B332" s="1667"/>
      <c r="C332" s="1668"/>
      <c r="D332" s="1667"/>
      <c r="E332" s="1670"/>
      <c r="F332" s="1671"/>
      <c r="G332" s="1731"/>
    </row>
    <row r="333" spans="1:7">
      <c r="A333" s="1667"/>
      <c r="B333" s="1667"/>
      <c r="C333" s="1668"/>
      <c r="D333" s="1667"/>
      <c r="E333" s="1670"/>
      <c r="F333" s="1671"/>
      <c r="G333" s="1731"/>
    </row>
    <row r="334" spans="1:7">
      <c r="A334" s="731"/>
      <c r="B334" s="731"/>
      <c r="C334" s="732"/>
      <c r="D334" s="731"/>
      <c r="E334" s="733"/>
      <c r="F334" s="1494"/>
      <c r="G334" s="1495"/>
    </row>
    <row r="335" spans="1:7">
      <c r="A335" s="869"/>
      <c r="B335" s="801"/>
      <c r="C335" s="801"/>
      <c r="D335" s="801"/>
      <c r="E335" s="800"/>
      <c r="F335" s="1698"/>
      <c r="G335" s="1699"/>
    </row>
    <row r="336" spans="1:7">
      <c r="A336" s="802"/>
      <c r="B336" s="426"/>
      <c r="C336" s="457" t="s">
        <v>289</v>
      </c>
      <c r="D336" s="426"/>
      <c r="E336" s="425"/>
      <c r="F336" s="1492"/>
      <c r="G336" s="1491">
        <f>SUM(G266:G334)</f>
        <v>7056000</v>
      </c>
    </row>
    <row r="337" spans="1:7">
      <c r="A337" s="1712"/>
      <c r="B337" s="1701"/>
      <c r="C337" s="1702" t="s">
        <v>290</v>
      </c>
      <c r="D337" s="1701"/>
      <c r="E337" s="1271"/>
      <c r="F337" s="1720"/>
      <c r="G337" s="1704">
        <f>G336</f>
        <v>7056000</v>
      </c>
    </row>
    <row r="338" spans="1:7">
      <c r="A338" s="1667"/>
      <c r="B338" s="1667"/>
      <c r="C338" s="1691"/>
      <c r="D338" s="1667"/>
      <c r="E338" s="1670"/>
      <c r="F338" s="1671"/>
      <c r="G338" s="1731"/>
    </row>
    <row r="339" spans="1:7">
      <c r="A339" s="1667">
        <v>1.6</v>
      </c>
      <c r="B339" s="1667" t="s">
        <v>524</v>
      </c>
      <c r="C339" s="1695" t="s">
        <v>525</v>
      </c>
      <c r="D339" s="1667"/>
      <c r="E339" s="1670"/>
      <c r="F339" s="1671"/>
      <c r="G339" s="1731"/>
    </row>
    <row r="340" spans="1:7">
      <c r="A340" s="1667"/>
      <c r="B340" s="1667"/>
      <c r="C340" s="1691"/>
      <c r="D340" s="1667"/>
      <c r="E340" s="1670"/>
      <c r="F340" s="1671"/>
      <c r="G340" s="1731"/>
    </row>
    <row r="341" spans="1:7" ht="39.6">
      <c r="A341" s="1667" t="s">
        <v>526</v>
      </c>
      <c r="B341" s="1667" t="s">
        <v>527</v>
      </c>
      <c r="C341" s="1691" t="s">
        <v>528</v>
      </c>
      <c r="D341" s="1667" t="s">
        <v>529</v>
      </c>
      <c r="E341" s="1670">
        <v>1</v>
      </c>
      <c r="F341" s="1731">
        <v>500000</v>
      </c>
      <c r="G341" s="1510">
        <f t="shared" ref="G341:G349" si="5">IF(D341="","",ROUND(E341*F341,2))</f>
        <v>500000</v>
      </c>
    </row>
    <row r="342" spans="1:7">
      <c r="A342" s="1667"/>
      <c r="B342" s="1667"/>
      <c r="C342" s="1691"/>
      <c r="D342" s="1667"/>
      <c r="E342" s="1670"/>
      <c r="F342" s="1671"/>
      <c r="G342" s="1510" t="str">
        <f t="shared" si="5"/>
        <v/>
      </c>
    </row>
    <row r="343" spans="1:7">
      <c r="A343" s="1696"/>
      <c r="B343" s="1667"/>
      <c r="C343" s="728"/>
      <c r="D343" s="1667"/>
      <c r="E343" s="1670"/>
      <c r="F343" s="1671"/>
      <c r="G343" s="1510" t="str">
        <f t="shared" si="5"/>
        <v/>
      </c>
    </row>
    <row r="344" spans="1:7">
      <c r="A344" s="1696"/>
      <c r="B344" s="1271" t="s">
        <v>530</v>
      </c>
      <c r="C344" s="728"/>
      <c r="D344" s="1667"/>
      <c r="E344" s="1670"/>
      <c r="F344" s="1671"/>
      <c r="G344" s="1510" t="str">
        <f t="shared" si="5"/>
        <v/>
      </c>
    </row>
    <row r="345" spans="1:7">
      <c r="A345" s="1696" t="s">
        <v>531</v>
      </c>
      <c r="B345" s="1271" t="s">
        <v>532</v>
      </c>
      <c r="C345" s="728" t="s">
        <v>533</v>
      </c>
      <c r="D345" s="1667" t="s">
        <v>252</v>
      </c>
      <c r="E345" s="1670">
        <v>1</v>
      </c>
      <c r="F345" s="1731">
        <v>1000000</v>
      </c>
      <c r="G345" s="1510">
        <f t="shared" si="5"/>
        <v>1000000</v>
      </c>
    </row>
    <row r="346" spans="1:7">
      <c r="A346" s="1667"/>
      <c r="B346" s="1667"/>
      <c r="C346" s="1691"/>
      <c r="D346" s="1667"/>
      <c r="E346" s="1670"/>
      <c r="F346" s="1671"/>
      <c r="G346" s="1510" t="str">
        <f t="shared" si="5"/>
        <v/>
      </c>
    </row>
    <row r="347" spans="1:7">
      <c r="A347" s="1696">
        <v>1.7</v>
      </c>
      <c r="B347" s="1667" t="s">
        <v>534</v>
      </c>
      <c r="C347" s="729" t="s">
        <v>535</v>
      </c>
      <c r="D347" s="1667"/>
      <c r="E347" s="1670"/>
      <c r="F347" s="1671"/>
      <c r="G347" s="1510" t="str">
        <f t="shared" si="5"/>
        <v/>
      </c>
    </row>
    <row r="348" spans="1:7">
      <c r="A348" s="1696"/>
      <c r="B348" s="1667"/>
      <c r="C348" s="728"/>
      <c r="D348" s="1667"/>
      <c r="E348" s="1670"/>
      <c r="F348" s="1671"/>
      <c r="G348" s="1510" t="str">
        <f t="shared" si="5"/>
        <v/>
      </c>
    </row>
    <row r="349" spans="1:7" ht="52.8">
      <c r="A349" s="1696" t="s">
        <v>536</v>
      </c>
      <c r="B349" s="1667"/>
      <c r="C349" s="728" t="s">
        <v>537</v>
      </c>
      <c r="D349" s="1667" t="s">
        <v>538</v>
      </c>
      <c r="E349" s="1670">
        <v>30</v>
      </c>
      <c r="F349" s="1671"/>
      <c r="G349" s="1510">
        <f t="shared" si="5"/>
        <v>0</v>
      </c>
    </row>
    <row r="350" spans="1:7">
      <c r="A350" s="1667"/>
      <c r="B350" s="1667"/>
      <c r="C350" s="1691"/>
      <c r="D350" s="1667"/>
      <c r="E350" s="1670"/>
      <c r="F350" s="1671"/>
      <c r="G350" s="1731"/>
    </row>
    <row r="351" spans="1:7">
      <c r="A351" s="52"/>
      <c r="B351" s="52"/>
      <c r="C351" s="1721"/>
      <c r="D351" s="52"/>
      <c r="E351" s="1722"/>
      <c r="F351" s="1671"/>
      <c r="G351" s="1493"/>
    </row>
    <row r="352" spans="1:7">
      <c r="A352" s="1753"/>
      <c r="B352" s="52"/>
      <c r="C352" s="1695"/>
      <c r="D352" s="52"/>
      <c r="E352" s="1722"/>
      <c r="F352" s="1671"/>
      <c r="G352" s="1493"/>
    </row>
    <row r="353" spans="1:7">
      <c r="A353" s="52"/>
      <c r="B353" s="52"/>
      <c r="C353" s="1721"/>
      <c r="D353" s="52"/>
      <c r="E353" s="1722"/>
      <c r="F353" s="1671"/>
      <c r="G353" s="1493"/>
    </row>
    <row r="354" spans="1:7">
      <c r="A354" s="52"/>
      <c r="B354" s="52"/>
      <c r="C354" s="1721"/>
      <c r="D354" s="1667"/>
      <c r="E354" s="1722"/>
      <c r="F354" s="1671"/>
      <c r="G354" s="1493"/>
    </row>
    <row r="355" spans="1:7">
      <c r="A355" s="52"/>
      <c r="B355" s="1707"/>
      <c r="C355" s="1742"/>
      <c r="D355" s="1705"/>
      <c r="E355" s="1728"/>
      <c r="F355" s="1729"/>
      <c r="G355" s="1510"/>
    </row>
    <row r="356" spans="1:7">
      <c r="A356" s="52"/>
      <c r="B356" s="52"/>
      <c r="C356" s="1721"/>
      <c r="D356" s="1667"/>
      <c r="E356" s="1722"/>
      <c r="F356" s="1671"/>
      <c r="G356" s="1493"/>
    </row>
    <row r="357" spans="1:7">
      <c r="A357" s="52"/>
      <c r="B357" s="52"/>
      <c r="C357" s="1721"/>
      <c r="D357" s="52"/>
      <c r="E357" s="1722"/>
      <c r="F357" s="1671"/>
      <c r="G357" s="1493"/>
    </row>
    <row r="358" spans="1:7">
      <c r="A358" s="52"/>
      <c r="B358" s="52"/>
      <c r="C358" s="1721"/>
      <c r="D358" s="1667"/>
      <c r="E358" s="1722"/>
      <c r="F358" s="1671"/>
      <c r="G358" s="1493"/>
    </row>
    <row r="359" spans="1:7">
      <c r="A359" s="1667"/>
      <c r="B359" s="1667"/>
      <c r="C359" s="1691"/>
      <c r="D359" s="1667"/>
      <c r="E359" s="1670"/>
      <c r="F359" s="1671"/>
      <c r="G359" s="1731"/>
    </row>
    <row r="360" spans="1:7">
      <c r="A360" s="1667"/>
      <c r="B360" s="1667"/>
      <c r="C360" s="1691"/>
      <c r="D360" s="1667"/>
      <c r="E360" s="1670"/>
      <c r="F360" s="1671"/>
      <c r="G360" s="1731"/>
    </row>
    <row r="361" spans="1:7">
      <c r="A361" s="1667"/>
      <c r="B361" s="1667"/>
      <c r="C361" s="1691"/>
      <c r="D361" s="1667"/>
      <c r="E361" s="1670"/>
      <c r="F361" s="1671"/>
      <c r="G361" s="1731"/>
    </row>
    <row r="362" spans="1:7">
      <c r="A362" s="1667"/>
      <c r="B362" s="1667"/>
      <c r="C362" s="1691"/>
      <c r="D362" s="1667"/>
      <c r="E362" s="1670"/>
      <c r="F362" s="1671"/>
      <c r="G362" s="1731"/>
    </row>
    <row r="363" spans="1:7">
      <c r="A363" s="1667"/>
      <c r="B363" s="1667"/>
      <c r="C363" s="1691"/>
      <c r="D363" s="1667"/>
      <c r="E363" s="1670"/>
      <c r="F363" s="1671"/>
      <c r="G363" s="1731"/>
    </row>
    <row r="364" spans="1:7">
      <c r="A364" s="1667"/>
      <c r="B364" s="1667"/>
      <c r="C364" s="1691"/>
      <c r="D364" s="1667"/>
      <c r="E364" s="1670"/>
      <c r="F364" s="1671"/>
      <c r="G364" s="1731"/>
    </row>
    <row r="365" spans="1:7">
      <c r="A365" s="1667"/>
      <c r="B365" s="1667"/>
      <c r="C365" s="1691"/>
      <c r="D365" s="1667"/>
      <c r="E365" s="1670"/>
      <c r="F365" s="1671"/>
      <c r="G365" s="1731"/>
    </row>
    <row r="366" spans="1:7">
      <c r="A366" s="1667"/>
      <c r="B366" s="1667"/>
      <c r="C366" s="1691"/>
      <c r="D366" s="1667"/>
      <c r="E366" s="1670"/>
      <c r="F366" s="1671"/>
      <c r="G366" s="1731"/>
    </row>
    <row r="367" spans="1:7">
      <c r="A367" s="1667"/>
      <c r="B367" s="1667"/>
      <c r="C367" s="1691"/>
      <c r="D367" s="1667"/>
      <c r="E367" s="1670"/>
      <c r="F367" s="1671"/>
      <c r="G367" s="1731"/>
    </row>
    <row r="368" spans="1:7">
      <c r="A368" s="1667"/>
      <c r="B368" s="1667"/>
      <c r="C368" s="1691"/>
      <c r="D368" s="1667"/>
      <c r="E368" s="1670"/>
      <c r="F368" s="1671"/>
      <c r="G368" s="1731"/>
    </row>
    <row r="369" spans="1:7">
      <c r="A369" s="1667"/>
      <c r="B369" s="1667"/>
      <c r="C369" s="1691"/>
      <c r="D369" s="1667"/>
      <c r="E369" s="1670"/>
      <c r="F369" s="1671"/>
      <c r="G369" s="1731"/>
    </row>
    <row r="370" spans="1:7">
      <c r="A370" s="1667"/>
      <c r="B370" s="1667"/>
      <c r="C370" s="1691"/>
      <c r="D370" s="1667"/>
      <c r="E370" s="1670"/>
      <c r="F370" s="1671"/>
      <c r="G370" s="1731"/>
    </row>
    <row r="371" spans="1:7">
      <c r="A371" s="1667"/>
      <c r="B371" s="1667"/>
      <c r="C371" s="1691"/>
      <c r="D371" s="1667"/>
      <c r="E371" s="1670"/>
      <c r="F371" s="1671"/>
      <c r="G371" s="1731"/>
    </row>
    <row r="372" spans="1:7">
      <c r="A372" s="1667"/>
      <c r="B372" s="1667"/>
      <c r="C372" s="1691"/>
      <c r="D372" s="1667"/>
      <c r="E372" s="1670"/>
      <c r="F372" s="1671"/>
      <c r="G372" s="1731"/>
    </row>
    <row r="373" spans="1:7">
      <c r="A373" s="1667"/>
      <c r="B373" s="1667"/>
      <c r="C373" s="1691"/>
      <c r="D373" s="1667"/>
      <c r="E373" s="1670"/>
      <c r="F373" s="1671"/>
      <c r="G373" s="1731"/>
    </row>
    <row r="374" spans="1:7">
      <c r="A374" s="1667"/>
      <c r="B374" s="1667"/>
      <c r="C374" s="1691"/>
      <c r="D374" s="1667"/>
      <c r="E374" s="1670"/>
      <c r="F374" s="1671"/>
      <c r="G374" s="1731"/>
    </row>
    <row r="375" spans="1:7">
      <c r="A375" s="1667"/>
      <c r="B375" s="1667"/>
      <c r="C375" s="1691"/>
      <c r="D375" s="1667"/>
      <c r="E375" s="1670"/>
      <c r="F375" s="1671"/>
      <c r="G375" s="1731"/>
    </row>
    <row r="376" spans="1:7">
      <c r="A376" s="1667"/>
      <c r="B376" s="1667"/>
      <c r="C376" s="1691"/>
      <c r="D376" s="1667"/>
      <c r="E376" s="1670"/>
      <c r="F376" s="1671"/>
      <c r="G376" s="1731"/>
    </row>
    <row r="377" spans="1:7">
      <c r="A377" s="1667"/>
      <c r="B377" s="1667"/>
      <c r="C377" s="1691"/>
      <c r="D377" s="1667"/>
      <c r="E377" s="1670"/>
      <c r="F377" s="1671"/>
      <c r="G377" s="1731"/>
    </row>
    <row r="378" spans="1:7">
      <c r="A378" s="1667"/>
      <c r="B378" s="1667"/>
      <c r="C378" s="1691"/>
      <c r="D378" s="1667"/>
      <c r="E378" s="1670"/>
      <c r="F378" s="1671"/>
      <c r="G378" s="1731"/>
    </row>
    <row r="379" spans="1:7">
      <c r="A379" s="1667"/>
      <c r="B379" s="1667"/>
      <c r="C379" s="1691"/>
      <c r="D379" s="1667"/>
      <c r="E379" s="1670"/>
      <c r="F379" s="1671"/>
      <c r="G379" s="1731"/>
    </row>
    <row r="380" spans="1:7">
      <c r="A380" s="1667"/>
      <c r="B380" s="1667"/>
      <c r="C380" s="1691"/>
      <c r="D380" s="1667"/>
      <c r="E380" s="1670"/>
      <c r="F380" s="1671"/>
      <c r="G380" s="1731"/>
    </row>
    <row r="381" spans="1:7">
      <c r="A381" s="1667"/>
      <c r="B381" s="1667"/>
      <c r="C381" s="1691"/>
      <c r="D381" s="1667"/>
      <c r="E381" s="1670"/>
      <c r="F381" s="1671"/>
      <c r="G381" s="1731"/>
    </row>
    <row r="382" spans="1:7">
      <c r="A382" s="1667"/>
      <c r="B382" s="1667"/>
      <c r="C382" s="1691"/>
      <c r="D382" s="1667"/>
      <c r="E382" s="1670"/>
      <c r="F382" s="1671"/>
      <c r="G382" s="1731"/>
    </row>
    <row r="383" spans="1:7">
      <c r="A383" s="1667"/>
      <c r="B383" s="1667"/>
      <c r="C383" s="1691"/>
      <c r="D383" s="1667"/>
      <c r="E383" s="1670"/>
      <c r="F383" s="1671"/>
      <c r="G383" s="1731"/>
    </row>
    <row r="384" spans="1:7">
      <c r="A384" s="1667"/>
      <c r="B384" s="1667"/>
      <c r="C384" s="1691"/>
      <c r="D384" s="1667"/>
      <c r="E384" s="1670"/>
      <c r="F384" s="1671"/>
      <c r="G384" s="1731"/>
    </row>
    <row r="385" spans="1:7">
      <c r="A385" s="1667"/>
      <c r="B385" s="1667"/>
      <c r="C385" s="1691"/>
      <c r="D385" s="1667"/>
      <c r="E385" s="1670"/>
      <c r="F385" s="1671"/>
      <c r="G385" s="1731"/>
    </row>
    <row r="386" spans="1:7">
      <c r="A386" s="1667"/>
      <c r="B386" s="1667"/>
      <c r="C386" s="1691"/>
      <c r="D386" s="1667"/>
      <c r="E386" s="1670"/>
      <c r="F386" s="1671"/>
      <c r="G386" s="1731"/>
    </row>
    <row r="387" spans="1:7">
      <c r="A387" s="1667"/>
      <c r="B387" s="1667"/>
      <c r="C387" s="1691"/>
      <c r="D387" s="1667"/>
      <c r="E387" s="1670"/>
      <c r="F387" s="1671"/>
      <c r="G387" s="1731"/>
    </row>
    <row r="388" spans="1:7">
      <c r="A388" s="1667"/>
      <c r="B388" s="1667"/>
      <c r="C388" s="1691"/>
      <c r="D388" s="1667"/>
      <c r="E388" s="1670"/>
      <c r="F388" s="1671"/>
      <c r="G388" s="1731"/>
    </row>
    <row r="389" spans="1:7">
      <c r="A389" s="1667"/>
      <c r="B389" s="1667"/>
      <c r="C389" s="1691"/>
      <c r="D389" s="1667"/>
      <c r="E389" s="1670"/>
      <c r="F389" s="1671"/>
      <c r="G389" s="1731"/>
    </row>
    <row r="390" spans="1:7">
      <c r="A390" s="1667"/>
      <c r="B390" s="1667"/>
      <c r="C390" s="1691"/>
      <c r="D390" s="1667"/>
      <c r="E390" s="1670"/>
      <c r="F390" s="1671"/>
      <c r="G390" s="1731"/>
    </row>
    <row r="391" spans="1:7">
      <c r="A391" s="1667"/>
      <c r="B391" s="1667"/>
      <c r="C391" s="1691"/>
      <c r="D391" s="1667"/>
      <c r="E391" s="1670"/>
      <c r="F391" s="1671"/>
      <c r="G391" s="1731"/>
    </row>
    <row r="392" spans="1:7">
      <c r="A392" s="1667"/>
      <c r="B392" s="1667"/>
      <c r="C392" s="1691"/>
      <c r="D392" s="1667"/>
      <c r="E392" s="1670"/>
      <c r="F392" s="1671"/>
      <c r="G392" s="1731"/>
    </row>
    <row r="393" spans="1:7">
      <c r="A393" s="1667"/>
      <c r="B393" s="1667"/>
      <c r="C393" s="1691"/>
      <c r="D393" s="1667"/>
      <c r="E393" s="1670"/>
      <c r="F393" s="1671"/>
      <c r="G393" s="1731"/>
    </row>
    <row r="394" spans="1:7">
      <c r="A394" s="1667"/>
      <c r="B394" s="1667"/>
      <c r="C394" s="1691"/>
      <c r="D394" s="1667"/>
      <c r="E394" s="1670"/>
      <c r="F394" s="1671"/>
      <c r="G394" s="1731"/>
    </row>
    <row r="395" spans="1:7">
      <c r="A395" s="1667"/>
      <c r="B395" s="1667"/>
      <c r="C395" s="1691"/>
      <c r="D395" s="1667"/>
      <c r="E395" s="1670"/>
      <c r="F395" s="1671"/>
      <c r="G395" s="1731"/>
    </row>
    <row r="396" spans="1:7">
      <c r="A396" s="1667"/>
      <c r="B396" s="1667"/>
      <c r="C396" s="1691"/>
      <c r="D396" s="1667"/>
      <c r="E396" s="1670"/>
      <c r="F396" s="1671"/>
      <c r="G396" s="1731"/>
    </row>
    <row r="397" spans="1:7">
      <c r="A397" s="1667"/>
      <c r="B397" s="1667"/>
      <c r="C397" s="1691"/>
      <c r="D397" s="1667"/>
      <c r="E397" s="1670"/>
      <c r="F397" s="1671"/>
      <c r="G397" s="1731"/>
    </row>
    <row r="398" spans="1:7">
      <c r="A398" s="1667"/>
      <c r="B398" s="1667"/>
      <c r="C398" s="1691"/>
      <c r="D398" s="1667"/>
      <c r="E398" s="1670"/>
      <c r="F398" s="1671"/>
      <c r="G398" s="1731"/>
    </row>
    <row r="399" spans="1:7">
      <c r="A399" s="1667"/>
      <c r="B399" s="1667"/>
      <c r="C399" s="1691"/>
      <c r="D399" s="1667"/>
      <c r="E399" s="1670"/>
      <c r="F399" s="1671"/>
      <c r="G399" s="1731"/>
    </row>
    <row r="400" spans="1:7">
      <c r="A400" s="1667"/>
      <c r="B400" s="1667"/>
      <c r="C400" s="1691"/>
      <c r="D400" s="1667"/>
      <c r="E400" s="1670"/>
      <c r="F400" s="1671"/>
      <c r="G400" s="1731"/>
    </row>
    <row r="401" spans="1:7">
      <c r="A401" s="1667"/>
      <c r="B401" s="1667"/>
      <c r="C401" s="1691"/>
      <c r="D401" s="1667"/>
      <c r="E401" s="1670"/>
      <c r="F401" s="1671"/>
      <c r="G401" s="1731"/>
    </row>
    <row r="402" spans="1:7">
      <c r="A402" s="1667"/>
      <c r="B402" s="1667"/>
      <c r="C402" s="1691"/>
      <c r="D402" s="1667"/>
      <c r="E402" s="1670"/>
      <c r="F402" s="1671"/>
      <c r="G402" s="1731"/>
    </row>
    <row r="403" spans="1:7">
      <c r="A403" s="1667"/>
      <c r="B403" s="1667"/>
      <c r="C403" s="1691"/>
      <c r="D403" s="1667"/>
      <c r="E403" s="1670"/>
      <c r="F403" s="1671"/>
      <c r="G403" s="1731"/>
    </row>
    <row r="404" spans="1:7">
      <c r="A404" s="52"/>
      <c r="B404" s="52"/>
      <c r="C404" s="1721"/>
      <c r="D404" s="52"/>
      <c r="E404" s="1722"/>
      <c r="F404" s="1671"/>
      <c r="G404" s="1493"/>
    </row>
    <row r="405" spans="1:7">
      <c r="A405" s="1754"/>
      <c r="B405" s="428"/>
      <c r="C405" s="563"/>
      <c r="D405" s="428"/>
      <c r="E405" s="524"/>
      <c r="F405" s="1496"/>
      <c r="G405" s="1755"/>
    </row>
    <row r="406" spans="1:7">
      <c r="A406" s="424"/>
      <c r="B406" s="427"/>
      <c r="C406" s="730" t="s">
        <v>539</v>
      </c>
      <c r="D406" s="427"/>
      <c r="E406" s="23"/>
      <c r="F406" s="1497"/>
      <c r="G406" s="1490">
        <f>SUM(G337:G404)</f>
        <v>8556000</v>
      </c>
    </row>
    <row r="408" spans="1:7">
      <c r="D408" s="370"/>
      <c r="E408" s="690"/>
    </row>
  </sheetData>
  <sheetProtection algorithmName="SHA-512" hashValue="RUHKHQr5z9NXdgKOED2Ji5kMW0eZjMhdTSpZp3y4OKG7F/OLX3HyvusPgN5jHYJ5Bhgv5VzaNTNUmgBQoVz/kA==" saltValue="2M8IeMvwi6KZ2HiS6J5xIg==" spinCount="100000" sheet="1" objects="1" scenarios="1"/>
  <mergeCells count="1">
    <mergeCell ref="A1:G1"/>
  </mergeCells>
  <phoneticPr fontId="33" type="noConversion"/>
  <pageMargins left="0.59055118110236227" right="0.59055118110236227" top="1.1023622047244095" bottom="0.78740157480314965" header="0.27559055118110237" footer="0.27559055118110237"/>
  <pageSetup paperSize="9" scale="69" firstPageNumber="52" fitToHeight="0" orientation="portrait" useFirstPageNumber="1" copies="2" r:id="rId1"/>
  <headerFooter alignWithMargins="0">
    <oddHeader>&amp;L&amp;G&amp;CContract JW 14425
Bushkoppie Wastewater Treatment Works:
Infrastructure Renewal Plan
Volume 1 
C 2.2 Bill of Quantities&amp;R&amp;G</oddHeader>
    <oddFooter>&amp;C&amp;12
&amp;G
C.&amp;[&amp;P</oddFooter>
  </headerFooter>
  <rowBreaks count="5" manualBreakCount="5">
    <brk id="64" max="6" man="1"/>
    <brk id="133" max="6" man="1"/>
    <brk id="200" max="6" man="1"/>
    <brk id="265" max="6" man="1"/>
    <brk id="336" max="6" man="1"/>
  </rowBreaks>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6E20F-7C7D-42B5-9800-9179DBFB4D69}">
  <sheetPr codeName="Sheet16">
    <pageSetUpPr fitToPage="1"/>
  </sheetPr>
  <dimension ref="A1:H212"/>
  <sheetViews>
    <sheetView view="pageBreakPreview" zoomScaleNormal="100" zoomScaleSheetLayoutView="100" workbookViewId="0">
      <selection activeCell="L9" sqref="L9"/>
    </sheetView>
  </sheetViews>
  <sheetFormatPr defaultColWidth="6.109375" defaultRowHeight="13.2"/>
  <cols>
    <col min="1" max="1" width="9.109375" style="335" customWidth="1"/>
    <col min="2" max="2" width="8.88671875" style="335" customWidth="1"/>
    <col min="3" max="3" width="9.88671875" style="32" customWidth="1"/>
    <col min="4" max="4" width="58.88671875" style="32" customWidth="1"/>
    <col min="5" max="5" width="9.5546875" style="32" customWidth="1"/>
    <col min="6" max="6" width="10.88671875" style="337" customWidth="1"/>
    <col min="7" max="7" width="14.88671875" style="213" customWidth="1"/>
    <col min="8" max="8" width="20.88671875" style="213" customWidth="1"/>
    <col min="9" max="11" width="6.109375" style="32" customWidth="1"/>
    <col min="12" max="12" width="8" style="32" customWidth="1"/>
    <col min="13" max="16384" width="6.109375" style="32"/>
  </cols>
  <sheetData>
    <row r="1" spans="1:8" s="514" customFormat="1" ht="15">
      <c r="A1" s="3035" t="s">
        <v>1920</v>
      </c>
      <c r="B1" s="3035"/>
      <c r="C1" s="3035"/>
      <c r="D1" s="3035"/>
      <c r="E1" s="3035"/>
      <c r="F1" s="3035"/>
      <c r="G1" s="3035"/>
      <c r="H1" s="3035"/>
    </row>
    <row r="2" spans="1:8" ht="25.5" customHeight="1">
      <c r="A2" s="488" t="s">
        <v>541</v>
      </c>
      <c r="B2" s="452" t="s">
        <v>217</v>
      </c>
      <c r="C2" s="453" t="s">
        <v>218</v>
      </c>
      <c r="D2" s="417" t="s">
        <v>219</v>
      </c>
      <c r="E2" s="414" t="s">
        <v>220</v>
      </c>
      <c r="F2" s="415" t="s">
        <v>221</v>
      </c>
      <c r="G2" s="416" t="s">
        <v>222</v>
      </c>
      <c r="H2" s="525" t="s">
        <v>223</v>
      </c>
    </row>
    <row r="3" spans="1:8">
      <c r="A3" s="17"/>
      <c r="B3" s="1667"/>
      <c r="C3" s="1667"/>
      <c r="D3" s="1668"/>
      <c r="E3" s="1669"/>
      <c r="F3" s="1816"/>
      <c r="G3" s="1813"/>
      <c r="H3" s="2641"/>
    </row>
    <row r="4" spans="1:8" s="513" customFormat="1" ht="13.8">
      <c r="A4" s="2642">
        <v>17</v>
      </c>
      <c r="B4" s="2578"/>
      <c r="C4" s="2579"/>
      <c r="D4" s="2594" t="s">
        <v>1921</v>
      </c>
      <c r="E4" s="2616"/>
      <c r="F4" s="2581"/>
      <c r="G4" s="2643"/>
      <c r="H4" s="2644"/>
    </row>
    <row r="5" spans="1:8">
      <c r="A5" s="17"/>
      <c r="B5" s="1667"/>
      <c r="C5" s="1667"/>
      <c r="D5" s="1668"/>
      <c r="E5" s="2645"/>
      <c r="F5" s="1816"/>
      <c r="G5" s="1813"/>
      <c r="H5" s="2641"/>
    </row>
    <row r="6" spans="1:8" s="10" customFormat="1">
      <c r="A6" s="2646">
        <f>$A$4</f>
        <v>17</v>
      </c>
      <c r="B6" s="1888">
        <v>1</v>
      </c>
      <c r="C6" s="1792" t="s">
        <v>1922</v>
      </c>
      <c r="D6" s="2647" t="s">
        <v>1923</v>
      </c>
      <c r="E6" s="2618"/>
      <c r="F6" s="1577"/>
      <c r="G6" s="1578"/>
      <c r="H6" s="2619"/>
    </row>
    <row r="7" spans="1:8" s="10" customFormat="1">
      <c r="A7" s="433"/>
      <c r="B7" s="1271"/>
      <c r="C7" s="1575"/>
      <c r="D7" s="2648"/>
      <c r="E7" s="2618"/>
      <c r="F7" s="1577"/>
      <c r="G7" s="1578"/>
      <c r="H7" s="2619"/>
    </row>
    <row r="8" spans="1:8" s="10" customFormat="1">
      <c r="A8" s="433"/>
      <c r="B8" s="1888"/>
      <c r="C8" s="1575"/>
      <c r="D8" s="2647" t="s">
        <v>1924</v>
      </c>
      <c r="E8" s="2618"/>
      <c r="F8" s="1577"/>
      <c r="G8" s="1578"/>
      <c r="H8" s="2619"/>
    </row>
    <row r="9" spans="1:8" s="10" customFormat="1">
      <c r="A9" s="433"/>
      <c r="B9" s="1271"/>
      <c r="C9" s="1575"/>
      <c r="D9" s="2648"/>
      <c r="E9" s="2618"/>
      <c r="F9" s="1577"/>
      <c r="G9" s="1578"/>
      <c r="H9" s="2619"/>
    </row>
    <row r="10" spans="1:8" s="10" customFormat="1" ht="26.4">
      <c r="A10" s="433"/>
      <c r="B10" s="1888"/>
      <c r="C10" s="1575"/>
      <c r="D10" s="2647" t="s">
        <v>1925</v>
      </c>
      <c r="E10" s="2618"/>
      <c r="F10" s="1577"/>
      <c r="G10" s="1578"/>
      <c r="H10" s="2619"/>
    </row>
    <row r="11" spans="1:8" s="10" customFormat="1">
      <c r="A11" s="433"/>
      <c r="B11" s="1271"/>
      <c r="C11" s="1575"/>
      <c r="D11" s="1584"/>
      <c r="E11" s="2618"/>
      <c r="F11" s="1577"/>
      <c r="G11" s="1578"/>
      <c r="H11" s="2619"/>
    </row>
    <row r="12" spans="1:8" s="10" customFormat="1">
      <c r="A12" s="433">
        <f>$A$4</f>
        <v>17</v>
      </c>
      <c r="B12" s="1271">
        <v>1.1000000000000001</v>
      </c>
      <c r="C12" s="1575"/>
      <c r="D12" s="1584" t="s">
        <v>1926</v>
      </c>
      <c r="E12" s="2618" t="s">
        <v>230</v>
      </c>
      <c r="F12" s="1577">
        <v>1</v>
      </c>
      <c r="G12" s="1578"/>
      <c r="H12" s="1501">
        <f t="shared" ref="H12:H61" si="0">IF(E12="","",ROUND(F12*G12,2))</f>
        <v>0</v>
      </c>
    </row>
    <row r="13" spans="1:8" s="10" customFormat="1">
      <c r="A13" s="433"/>
      <c r="B13" s="1271"/>
      <c r="C13" s="1575"/>
      <c r="D13" s="1584"/>
      <c r="E13" s="2618"/>
      <c r="F13" s="1577"/>
      <c r="G13" s="1578"/>
      <c r="H13" s="1501" t="str">
        <f t="shared" si="0"/>
        <v/>
      </c>
    </row>
    <row r="14" spans="1:8" s="10" customFormat="1">
      <c r="A14" s="433">
        <f>$A$4</f>
        <v>17</v>
      </c>
      <c r="B14" s="1271">
        <v>1.2</v>
      </c>
      <c r="C14" s="1575"/>
      <c r="D14" s="1584" t="s">
        <v>1927</v>
      </c>
      <c r="E14" s="2618" t="s">
        <v>230</v>
      </c>
      <c r="F14" s="1577">
        <v>1</v>
      </c>
      <c r="G14" s="1578"/>
      <c r="H14" s="1501">
        <f t="shared" si="0"/>
        <v>0</v>
      </c>
    </row>
    <row r="15" spans="1:8" s="10" customFormat="1">
      <c r="A15" s="433"/>
      <c r="B15" s="1271"/>
      <c r="C15" s="1575"/>
      <c r="D15" s="1584"/>
      <c r="E15" s="2618"/>
      <c r="F15" s="1577"/>
      <c r="G15" s="1578"/>
      <c r="H15" s="1501" t="str">
        <f t="shared" si="0"/>
        <v/>
      </c>
    </row>
    <row r="16" spans="1:8" s="10" customFormat="1">
      <c r="A16" s="433">
        <f>$A$4</f>
        <v>17</v>
      </c>
      <c r="B16" s="1271">
        <v>1.3</v>
      </c>
      <c r="C16" s="1575"/>
      <c r="D16" s="1584" t="s">
        <v>1928</v>
      </c>
      <c r="E16" s="2618" t="s">
        <v>230</v>
      </c>
      <c r="F16" s="1577">
        <v>1</v>
      </c>
      <c r="G16" s="1578"/>
      <c r="H16" s="1501">
        <f t="shared" si="0"/>
        <v>0</v>
      </c>
    </row>
    <row r="17" spans="1:8" s="10" customFormat="1">
      <c r="A17" s="433"/>
      <c r="B17" s="1271"/>
      <c r="C17" s="2592"/>
      <c r="D17" s="1584"/>
      <c r="E17" s="2624"/>
      <c r="F17" s="1585"/>
      <c r="G17" s="1581"/>
      <c r="H17" s="1501" t="str">
        <f t="shared" si="0"/>
        <v/>
      </c>
    </row>
    <row r="18" spans="1:8" s="10" customFormat="1">
      <c r="A18" s="433">
        <f>$A$4</f>
        <v>17</v>
      </c>
      <c r="B18" s="1271">
        <v>1.4</v>
      </c>
      <c r="C18" s="2592"/>
      <c r="D18" s="1584" t="s">
        <v>1929</v>
      </c>
      <c r="E18" s="2624" t="s">
        <v>230</v>
      </c>
      <c r="F18" s="1585">
        <v>1</v>
      </c>
      <c r="G18" s="1581"/>
      <c r="H18" s="1501">
        <f t="shared" si="0"/>
        <v>0</v>
      </c>
    </row>
    <row r="19" spans="1:8" s="10" customFormat="1">
      <c r="A19" s="433"/>
      <c r="B19" s="1271"/>
      <c r="C19" s="2592"/>
      <c r="D19" s="1584"/>
      <c r="E19" s="2624"/>
      <c r="F19" s="1585"/>
      <c r="G19" s="1581"/>
      <c r="H19" s="1501" t="str">
        <f t="shared" si="0"/>
        <v/>
      </c>
    </row>
    <row r="20" spans="1:8" s="10" customFormat="1">
      <c r="A20" s="433">
        <f>$A$4</f>
        <v>17</v>
      </c>
      <c r="B20" s="1271">
        <v>1.5</v>
      </c>
      <c r="C20" s="2592"/>
      <c r="D20" s="1584" t="s">
        <v>1930</v>
      </c>
      <c r="E20" s="2624" t="s">
        <v>230</v>
      </c>
      <c r="F20" s="1585">
        <v>1</v>
      </c>
      <c r="G20" s="1581"/>
      <c r="H20" s="1501">
        <f t="shared" si="0"/>
        <v>0</v>
      </c>
    </row>
    <row r="21" spans="1:8" s="10" customFormat="1">
      <c r="A21" s="433"/>
      <c r="B21" s="1888"/>
      <c r="C21" s="1575"/>
      <c r="D21" s="2647"/>
      <c r="E21" s="2618"/>
      <c r="F21" s="1577"/>
      <c r="G21" s="1578"/>
      <c r="H21" s="1501" t="str">
        <f t="shared" si="0"/>
        <v/>
      </c>
    </row>
    <row r="22" spans="1:8" s="10" customFormat="1" ht="26.4">
      <c r="A22" s="433"/>
      <c r="B22" s="1271"/>
      <c r="C22" s="1575"/>
      <c r="D22" s="2647" t="s">
        <v>1931</v>
      </c>
      <c r="E22" s="2618"/>
      <c r="F22" s="1577"/>
      <c r="G22" s="1578"/>
      <c r="H22" s="1501" t="str">
        <f t="shared" si="0"/>
        <v/>
      </c>
    </row>
    <row r="23" spans="1:8" s="10" customFormat="1" ht="12.75" customHeight="1">
      <c r="A23" s="433"/>
      <c r="B23" s="1271"/>
      <c r="C23" s="1575"/>
      <c r="D23" s="1584"/>
      <c r="E23" s="2618"/>
      <c r="F23" s="1577"/>
      <c r="G23" s="1578"/>
      <c r="H23" s="1501" t="str">
        <f t="shared" si="0"/>
        <v/>
      </c>
    </row>
    <row r="24" spans="1:8" s="10" customFormat="1" ht="39.6">
      <c r="A24" s="433"/>
      <c r="B24" s="1271"/>
      <c r="C24" s="1575"/>
      <c r="D24" s="2647" t="s">
        <v>1932</v>
      </c>
      <c r="E24" s="2618"/>
      <c r="F24" s="1577"/>
      <c r="G24" s="1578"/>
      <c r="H24" s="1501" t="str">
        <f t="shared" si="0"/>
        <v/>
      </c>
    </row>
    <row r="25" spans="1:8" s="10" customFormat="1" ht="12.75" customHeight="1">
      <c r="A25" s="433"/>
      <c r="B25" s="1271"/>
      <c r="C25" s="1575"/>
      <c r="D25" s="1584"/>
      <c r="E25" s="2618"/>
      <c r="F25" s="1577"/>
      <c r="G25" s="1578"/>
      <c r="H25" s="1501" t="str">
        <f t="shared" si="0"/>
        <v/>
      </c>
    </row>
    <row r="26" spans="1:8" s="10" customFormat="1" ht="26.4">
      <c r="A26" s="433"/>
      <c r="B26" s="1888"/>
      <c r="C26" s="1575"/>
      <c r="D26" s="2647" t="s">
        <v>1933</v>
      </c>
      <c r="E26" s="2618"/>
      <c r="F26" s="1577"/>
      <c r="G26" s="1578"/>
      <c r="H26" s="1501" t="str">
        <f t="shared" si="0"/>
        <v/>
      </c>
    </row>
    <row r="27" spans="1:8" s="10" customFormat="1">
      <c r="A27" s="433"/>
      <c r="B27" s="1271"/>
      <c r="C27" s="1575"/>
      <c r="D27" s="1584"/>
      <c r="E27" s="2618"/>
      <c r="F27" s="1577"/>
      <c r="G27" s="1578"/>
      <c r="H27" s="1501" t="str">
        <f t="shared" si="0"/>
        <v/>
      </c>
    </row>
    <row r="28" spans="1:8" s="10" customFormat="1" ht="26.4">
      <c r="A28" s="433">
        <f>$A$4</f>
        <v>17</v>
      </c>
      <c r="B28" s="1271">
        <v>1.6</v>
      </c>
      <c r="C28" s="1575"/>
      <c r="D28" s="1584" t="s">
        <v>1934</v>
      </c>
      <c r="E28" s="2618" t="s">
        <v>273</v>
      </c>
      <c r="F28" s="1577">
        <v>2</v>
      </c>
      <c r="G28" s="1578"/>
      <c r="H28" s="1501">
        <f t="shared" si="0"/>
        <v>0</v>
      </c>
    </row>
    <row r="29" spans="1:8" s="10" customFormat="1">
      <c r="A29" s="433"/>
      <c r="B29" s="1271"/>
      <c r="C29" s="1575"/>
      <c r="D29" s="1584"/>
      <c r="E29" s="2618"/>
      <c r="F29" s="1577"/>
      <c r="G29" s="1578"/>
      <c r="H29" s="1501" t="str">
        <f t="shared" si="0"/>
        <v/>
      </c>
    </row>
    <row r="30" spans="1:8" s="10" customFormat="1" ht="26.4">
      <c r="A30" s="433">
        <f>$A$4</f>
        <v>17</v>
      </c>
      <c r="B30" s="1271">
        <v>1.7</v>
      </c>
      <c r="C30" s="1575"/>
      <c r="D30" s="1584" t="s">
        <v>1935</v>
      </c>
      <c r="E30" s="2618" t="s">
        <v>1735</v>
      </c>
      <c r="F30" s="1577">
        <v>1</v>
      </c>
      <c r="G30" s="1578"/>
      <c r="H30" s="1501">
        <f t="shared" si="0"/>
        <v>0</v>
      </c>
    </row>
    <row r="31" spans="1:8" s="10" customFormat="1">
      <c r="A31" s="433"/>
      <c r="B31" s="1271"/>
      <c r="C31" s="1575"/>
      <c r="D31" s="1584"/>
      <c r="E31" s="2618"/>
      <c r="F31" s="1577"/>
      <c r="G31" s="1578"/>
      <c r="H31" s="1501" t="str">
        <f t="shared" si="0"/>
        <v/>
      </c>
    </row>
    <row r="32" spans="1:8" s="10" customFormat="1" ht="26.4">
      <c r="A32" s="433">
        <f>$A$4</f>
        <v>17</v>
      </c>
      <c r="B32" s="1271">
        <v>1.8</v>
      </c>
      <c r="C32" s="1575"/>
      <c r="D32" s="1584" t="s">
        <v>1936</v>
      </c>
      <c r="E32" s="2618" t="s">
        <v>954</v>
      </c>
      <c r="F32" s="1577">
        <v>4</v>
      </c>
      <c r="G32" s="1578"/>
      <c r="H32" s="1501">
        <f t="shared" si="0"/>
        <v>0</v>
      </c>
    </row>
    <row r="33" spans="1:8" s="10" customFormat="1">
      <c r="A33" s="433"/>
      <c r="B33" s="1271"/>
      <c r="C33" s="1575"/>
      <c r="D33" s="1584"/>
      <c r="E33" s="2618"/>
      <c r="F33" s="1577"/>
      <c r="G33" s="1578"/>
      <c r="H33" s="1501" t="str">
        <f t="shared" si="0"/>
        <v/>
      </c>
    </row>
    <row r="34" spans="1:8" s="10" customFormat="1" ht="26.4">
      <c r="A34" s="433">
        <f>$A$4</f>
        <v>17</v>
      </c>
      <c r="B34" s="1271">
        <v>1.9</v>
      </c>
      <c r="C34" s="1575"/>
      <c r="D34" s="1584" t="s">
        <v>1937</v>
      </c>
      <c r="E34" s="2618" t="s">
        <v>954</v>
      </c>
      <c r="F34" s="1577">
        <v>2</v>
      </c>
      <c r="G34" s="1578"/>
      <c r="H34" s="1501">
        <f t="shared" si="0"/>
        <v>0</v>
      </c>
    </row>
    <row r="35" spans="1:8" s="10" customFormat="1">
      <c r="A35" s="433"/>
      <c r="B35" s="1271"/>
      <c r="C35" s="1575"/>
      <c r="D35" s="1584"/>
      <c r="E35" s="2618"/>
      <c r="F35" s="1577"/>
      <c r="G35" s="1578"/>
      <c r="H35" s="1501" t="str">
        <f t="shared" si="0"/>
        <v/>
      </c>
    </row>
    <row r="36" spans="1:8" s="10" customFormat="1" ht="39.6">
      <c r="A36" s="433">
        <f>$A$4</f>
        <v>17</v>
      </c>
      <c r="B36" s="1582">
        <v>1.1000000000000001</v>
      </c>
      <c r="C36" s="1575"/>
      <c r="D36" s="1584" t="s">
        <v>1938</v>
      </c>
      <c r="E36" s="2618" t="s">
        <v>273</v>
      </c>
      <c r="F36" s="1577">
        <v>1</v>
      </c>
      <c r="G36" s="1578"/>
      <c r="H36" s="1501">
        <f t="shared" si="0"/>
        <v>0</v>
      </c>
    </row>
    <row r="37" spans="1:8" s="10" customFormat="1">
      <c r="A37" s="433"/>
      <c r="B37" s="1271"/>
      <c r="C37" s="1575"/>
      <c r="D37" s="2647"/>
      <c r="E37" s="2618"/>
      <c r="F37" s="1577"/>
      <c r="G37" s="1578"/>
      <c r="H37" s="1501" t="str">
        <f t="shared" si="0"/>
        <v/>
      </c>
    </row>
    <row r="38" spans="1:8" s="10" customFormat="1" ht="26.4">
      <c r="A38" s="433">
        <f>$A$4</f>
        <v>17</v>
      </c>
      <c r="B38" s="1271">
        <v>1.1100000000000001</v>
      </c>
      <c r="C38" s="1575"/>
      <c r="D38" s="1584" t="s">
        <v>1939</v>
      </c>
      <c r="E38" s="2618" t="s">
        <v>273</v>
      </c>
      <c r="F38" s="1577">
        <v>3</v>
      </c>
      <c r="G38" s="1578"/>
      <c r="H38" s="1501">
        <f t="shared" si="0"/>
        <v>0</v>
      </c>
    </row>
    <row r="39" spans="1:8" s="10" customFormat="1">
      <c r="A39" s="433"/>
      <c r="B39" s="1271"/>
      <c r="C39" s="1575"/>
      <c r="D39" s="2647"/>
      <c r="E39" s="2618"/>
      <c r="F39" s="1577"/>
      <c r="G39" s="1578"/>
      <c r="H39" s="1501" t="str">
        <f t="shared" si="0"/>
        <v/>
      </c>
    </row>
    <row r="40" spans="1:8" s="10" customFormat="1" ht="26.4">
      <c r="A40" s="433">
        <f>$A$4</f>
        <v>17</v>
      </c>
      <c r="B40" s="1271">
        <v>1.1200000000000001</v>
      </c>
      <c r="C40" s="1575"/>
      <c r="D40" s="1584" t="s">
        <v>1940</v>
      </c>
      <c r="E40" s="2618" t="s">
        <v>1735</v>
      </c>
      <c r="F40" s="1577">
        <v>1</v>
      </c>
      <c r="G40" s="1578"/>
      <c r="H40" s="1501">
        <f t="shared" si="0"/>
        <v>0</v>
      </c>
    </row>
    <row r="41" spans="1:8" s="10" customFormat="1">
      <c r="A41" s="433"/>
      <c r="B41" s="1271"/>
      <c r="C41" s="1575"/>
      <c r="D41" s="2647"/>
      <c r="E41" s="2618"/>
      <c r="F41" s="1577"/>
      <c r="G41" s="1578"/>
      <c r="H41" s="1501" t="str">
        <f t="shared" si="0"/>
        <v/>
      </c>
    </row>
    <row r="42" spans="1:8" s="10" customFormat="1" ht="26.4">
      <c r="A42" s="433">
        <f>$A$4</f>
        <v>17</v>
      </c>
      <c r="B42" s="1271">
        <v>1.1299999999999999</v>
      </c>
      <c r="C42" s="1575"/>
      <c r="D42" s="1584" t="s">
        <v>1941</v>
      </c>
      <c r="E42" s="2618" t="s">
        <v>273</v>
      </c>
      <c r="F42" s="1577">
        <v>1</v>
      </c>
      <c r="G42" s="1578"/>
      <c r="H42" s="1501">
        <f t="shared" si="0"/>
        <v>0</v>
      </c>
    </row>
    <row r="43" spans="1:8" s="10" customFormat="1">
      <c r="A43" s="433"/>
      <c r="B43" s="1271"/>
      <c r="C43" s="1575"/>
      <c r="D43" s="2647"/>
      <c r="E43" s="2618"/>
      <c r="F43" s="1577"/>
      <c r="G43" s="1578"/>
      <c r="H43" s="1501" t="str">
        <f t="shared" si="0"/>
        <v/>
      </c>
    </row>
    <row r="44" spans="1:8" s="10" customFormat="1" ht="33.75" customHeight="1">
      <c r="A44" s="433">
        <f>$A$4</f>
        <v>17</v>
      </c>
      <c r="B44" s="1271">
        <v>1.1399999999999999</v>
      </c>
      <c r="C44" s="1575"/>
      <c r="D44" s="1584" t="s">
        <v>1942</v>
      </c>
      <c r="E44" s="2618" t="s">
        <v>1735</v>
      </c>
      <c r="F44" s="1585">
        <v>1</v>
      </c>
      <c r="G44" s="1578"/>
      <c r="H44" s="1501">
        <f t="shared" si="0"/>
        <v>0</v>
      </c>
    </row>
    <row r="45" spans="1:8" s="10" customFormat="1">
      <c r="A45" s="433"/>
      <c r="B45" s="1271"/>
      <c r="C45" s="1575"/>
      <c r="D45" s="1584"/>
      <c r="E45" s="2618"/>
      <c r="F45" s="1577"/>
      <c r="G45" s="1578"/>
      <c r="H45" s="1501" t="str">
        <f t="shared" si="0"/>
        <v/>
      </c>
    </row>
    <row r="46" spans="1:8" s="10" customFormat="1" ht="26.4">
      <c r="A46" s="433">
        <f>$A$4</f>
        <v>17</v>
      </c>
      <c r="B46" s="1271">
        <v>1.1499999999999999</v>
      </c>
      <c r="C46" s="1575"/>
      <c r="D46" s="1778" t="s">
        <v>1943</v>
      </c>
      <c r="E46" s="2618" t="s">
        <v>1735</v>
      </c>
      <c r="F46" s="1577">
        <v>1</v>
      </c>
      <c r="G46" s="1578"/>
      <c r="H46" s="1501">
        <f t="shared" si="0"/>
        <v>0</v>
      </c>
    </row>
    <row r="47" spans="1:8" s="10" customFormat="1">
      <c r="A47" s="433"/>
      <c r="B47" s="1271"/>
      <c r="C47" s="1575"/>
      <c r="D47" s="2647"/>
      <c r="E47" s="2618"/>
      <c r="F47" s="1577"/>
      <c r="G47" s="1578"/>
      <c r="H47" s="1501" t="str">
        <f t="shared" si="0"/>
        <v/>
      </c>
    </row>
    <row r="48" spans="1:8" s="10" customFormat="1" ht="34.5" customHeight="1">
      <c r="A48" s="433">
        <f>$A$4</f>
        <v>17</v>
      </c>
      <c r="B48" s="1271">
        <v>1.1599999999999999</v>
      </c>
      <c r="C48" s="1575"/>
      <c r="D48" s="1584" t="s">
        <v>1944</v>
      </c>
      <c r="E48" s="2618" t="s">
        <v>1735</v>
      </c>
      <c r="F48" s="1577">
        <v>1</v>
      </c>
      <c r="G48" s="1578"/>
      <c r="H48" s="1501">
        <f t="shared" si="0"/>
        <v>0</v>
      </c>
    </row>
    <row r="49" spans="1:8" s="10" customFormat="1">
      <c r="A49" s="433"/>
      <c r="B49" s="1271"/>
      <c r="C49" s="1575"/>
      <c r="D49" s="1584"/>
      <c r="E49" s="2618"/>
      <c r="F49" s="1577"/>
      <c r="G49" s="1578"/>
      <c r="H49" s="1501" t="str">
        <f t="shared" si="0"/>
        <v/>
      </c>
    </row>
    <row r="50" spans="1:8" s="10" customFormat="1" ht="26.4">
      <c r="A50" s="433">
        <f>$A$4</f>
        <v>17</v>
      </c>
      <c r="B50" s="1271">
        <v>1.17</v>
      </c>
      <c r="C50" s="1575"/>
      <c r="D50" s="1778" t="s">
        <v>1945</v>
      </c>
      <c r="E50" s="2618" t="s">
        <v>1735</v>
      </c>
      <c r="F50" s="1577">
        <v>1</v>
      </c>
      <c r="G50" s="1578"/>
      <c r="H50" s="1501">
        <f t="shared" si="0"/>
        <v>0</v>
      </c>
    </row>
    <row r="51" spans="1:8" s="10" customFormat="1">
      <c r="A51" s="433"/>
      <c r="B51" s="1271"/>
      <c r="C51" s="1575"/>
      <c r="D51" s="2647"/>
      <c r="E51" s="2618"/>
      <c r="F51" s="1577"/>
      <c r="G51" s="1578"/>
      <c r="H51" s="1501" t="str">
        <f t="shared" si="0"/>
        <v/>
      </c>
    </row>
    <row r="52" spans="1:8" s="10" customFormat="1" ht="26.4">
      <c r="A52" s="433">
        <f>$A$4</f>
        <v>17</v>
      </c>
      <c r="B52" s="1271">
        <v>1.18</v>
      </c>
      <c r="C52" s="1575"/>
      <c r="D52" s="1584" t="s">
        <v>1946</v>
      </c>
      <c r="E52" s="2618" t="s">
        <v>1735</v>
      </c>
      <c r="F52" s="1577">
        <v>1</v>
      </c>
      <c r="G52" s="1578"/>
      <c r="H52" s="1501">
        <f t="shared" si="0"/>
        <v>0</v>
      </c>
    </row>
    <row r="53" spans="1:8" s="10" customFormat="1">
      <c r="A53" s="433"/>
      <c r="B53" s="1271"/>
      <c r="C53" s="1575"/>
      <c r="D53" s="2649"/>
      <c r="E53" s="147"/>
      <c r="F53" s="1577"/>
      <c r="G53" s="1578"/>
      <c r="H53" s="1501" t="str">
        <f t="shared" si="0"/>
        <v/>
      </c>
    </row>
    <row r="54" spans="1:8" s="10" customFormat="1" ht="52.8">
      <c r="A54" s="433"/>
      <c r="B54" s="1888"/>
      <c r="C54" s="147"/>
      <c r="D54" s="2647" t="s">
        <v>1752</v>
      </c>
      <c r="E54" s="433"/>
      <c r="F54" s="1577"/>
      <c r="G54" s="1578"/>
      <c r="H54" s="1501" t="str">
        <f t="shared" si="0"/>
        <v/>
      </c>
    </row>
    <row r="55" spans="1:8" s="10" customFormat="1">
      <c r="A55" s="433"/>
      <c r="B55" s="1888"/>
      <c r="C55" s="147"/>
      <c r="D55" s="2647"/>
      <c r="E55" s="433"/>
      <c r="F55" s="1577"/>
      <c r="G55" s="1578"/>
      <c r="H55" s="1501" t="str">
        <f t="shared" si="0"/>
        <v/>
      </c>
    </row>
    <row r="56" spans="1:8" s="10" customFormat="1">
      <c r="A56" s="433">
        <f>$A$4</f>
        <v>17</v>
      </c>
      <c r="B56" s="1271">
        <v>1.19</v>
      </c>
      <c r="C56" s="147"/>
      <c r="D56" s="1583" t="s">
        <v>1947</v>
      </c>
      <c r="E56" s="147" t="s">
        <v>230</v>
      </c>
      <c r="F56" s="1577">
        <v>1</v>
      </c>
      <c r="G56" s="1578"/>
      <c r="H56" s="1501">
        <f t="shared" si="0"/>
        <v>0</v>
      </c>
    </row>
    <row r="57" spans="1:8" s="10" customFormat="1">
      <c r="A57" s="433"/>
      <c r="B57" s="1888"/>
      <c r="C57" s="147"/>
      <c r="D57" s="1583"/>
      <c r="E57" s="147"/>
      <c r="F57" s="1577"/>
      <c r="G57" s="1578"/>
      <c r="H57" s="1501" t="str">
        <f t="shared" si="0"/>
        <v/>
      </c>
    </row>
    <row r="58" spans="1:8" s="10" customFormat="1">
      <c r="A58" s="433">
        <f>$A$4</f>
        <v>17</v>
      </c>
      <c r="B58" s="1582">
        <v>1.2</v>
      </c>
      <c r="C58" s="147"/>
      <c r="D58" s="1583" t="s">
        <v>1948</v>
      </c>
      <c r="E58" s="147" t="s">
        <v>230</v>
      </c>
      <c r="F58" s="1577">
        <v>1</v>
      </c>
      <c r="G58" s="1578"/>
      <c r="H58" s="1501">
        <f t="shared" si="0"/>
        <v>0</v>
      </c>
    </row>
    <row r="59" spans="1:8" s="10" customFormat="1">
      <c r="A59" s="433"/>
      <c r="B59" s="1888"/>
      <c r="C59" s="147"/>
      <c r="D59" s="1583"/>
      <c r="E59" s="433"/>
      <c r="F59" s="1577"/>
      <c r="G59" s="1578"/>
      <c r="H59" s="1501" t="str">
        <f t="shared" si="0"/>
        <v/>
      </c>
    </row>
    <row r="60" spans="1:8" s="10" customFormat="1">
      <c r="A60" s="433">
        <f>$A$4</f>
        <v>17</v>
      </c>
      <c r="B60" s="1271">
        <v>1.21</v>
      </c>
      <c r="C60" s="147"/>
      <c r="D60" s="1583" t="s">
        <v>1949</v>
      </c>
      <c r="E60" s="147" t="s">
        <v>230</v>
      </c>
      <c r="F60" s="1577">
        <v>1</v>
      </c>
      <c r="G60" s="1578"/>
      <c r="H60" s="1501">
        <f t="shared" si="0"/>
        <v>0</v>
      </c>
    </row>
    <row r="61" spans="1:8" s="10" customFormat="1">
      <c r="A61" s="433"/>
      <c r="B61" s="1271"/>
      <c r="C61" s="147"/>
      <c r="D61" s="1583"/>
      <c r="E61" s="147"/>
      <c r="F61" s="1577"/>
      <c r="G61" s="1578"/>
      <c r="H61" s="1501" t="str">
        <f t="shared" si="0"/>
        <v/>
      </c>
    </row>
    <row r="62" spans="1:8" s="10" customFormat="1">
      <c r="A62" s="433"/>
      <c r="B62" s="1271"/>
      <c r="C62" s="147"/>
      <c r="D62" s="2247"/>
      <c r="E62" s="147"/>
      <c r="F62" s="1577"/>
      <c r="G62" s="1578"/>
      <c r="H62" s="2620"/>
    </row>
    <row r="63" spans="1:8" s="10" customFormat="1">
      <c r="A63" s="2333"/>
      <c r="B63" s="822"/>
      <c r="C63" s="837"/>
      <c r="D63" s="837"/>
      <c r="E63" s="837"/>
      <c r="F63" s="838"/>
      <c r="G63" s="2650"/>
      <c r="H63" s="2651"/>
    </row>
    <row r="64" spans="1:8" s="10" customFormat="1">
      <c r="A64" s="2336"/>
      <c r="B64" s="823"/>
      <c r="C64" s="515"/>
      <c r="D64" s="457" t="s">
        <v>289</v>
      </c>
      <c r="E64" s="426"/>
      <c r="F64" s="24"/>
      <c r="G64" s="1471"/>
      <c r="H64" s="2652">
        <f>SUM(H3:H62)</f>
        <v>0</v>
      </c>
    </row>
    <row r="65" spans="1:8" s="10" customFormat="1">
      <c r="A65" s="433"/>
      <c r="B65" s="1271"/>
      <c r="C65" s="147"/>
      <c r="D65" s="1702" t="s">
        <v>290</v>
      </c>
      <c r="E65" s="147"/>
      <c r="F65" s="1577"/>
      <c r="G65" s="1578"/>
      <c r="H65" s="2653">
        <f>H64</f>
        <v>0</v>
      </c>
    </row>
    <row r="66" spans="1:8" s="10" customFormat="1">
      <c r="A66" s="433"/>
      <c r="B66" s="1888"/>
      <c r="C66" s="147"/>
      <c r="D66" s="1583"/>
      <c r="E66" s="433"/>
      <c r="F66" s="1577"/>
      <c r="G66" s="1578"/>
      <c r="H66" s="2620"/>
    </row>
    <row r="67" spans="1:8" s="10" customFormat="1">
      <c r="A67" s="433">
        <f>$A$4</f>
        <v>17</v>
      </c>
      <c r="B67" s="1271">
        <v>1.22</v>
      </c>
      <c r="C67" s="147"/>
      <c r="D67" s="1583" t="s">
        <v>1950</v>
      </c>
      <c r="E67" s="147" t="s">
        <v>230</v>
      </c>
      <c r="F67" s="1577">
        <v>1</v>
      </c>
      <c r="G67" s="1578"/>
      <c r="H67" s="1501">
        <f t="shared" ref="H67:H125" si="1">IF(E67="","",ROUND(F67*G67,2))</f>
        <v>0</v>
      </c>
    </row>
    <row r="68" spans="1:8" s="10" customFormat="1">
      <c r="A68" s="433"/>
      <c r="B68" s="1888"/>
      <c r="C68" s="147"/>
      <c r="D68" s="1583"/>
      <c r="E68" s="433"/>
      <c r="F68" s="1577"/>
      <c r="G68" s="1578"/>
      <c r="H68" s="1501" t="str">
        <f t="shared" si="1"/>
        <v/>
      </c>
    </row>
    <row r="69" spans="1:8" s="10" customFormat="1">
      <c r="A69" s="433">
        <f>$A$4</f>
        <v>17</v>
      </c>
      <c r="B69" s="1271">
        <v>1.23</v>
      </c>
      <c r="C69" s="147"/>
      <c r="D69" s="1583" t="s">
        <v>1951</v>
      </c>
      <c r="E69" s="147" t="s">
        <v>230</v>
      </c>
      <c r="F69" s="1577">
        <v>1</v>
      </c>
      <c r="G69" s="1578"/>
      <c r="H69" s="1501">
        <f t="shared" si="1"/>
        <v>0</v>
      </c>
    </row>
    <row r="70" spans="1:8" s="10" customFormat="1">
      <c r="A70" s="433"/>
      <c r="B70" s="1888"/>
      <c r="C70" s="147"/>
      <c r="D70" s="1583"/>
      <c r="E70" s="433"/>
      <c r="F70" s="1577"/>
      <c r="G70" s="1578"/>
      <c r="H70" s="1501" t="str">
        <f t="shared" si="1"/>
        <v/>
      </c>
    </row>
    <row r="71" spans="1:8" s="10" customFormat="1">
      <c r="A71" s="433">
        <f>$A$4</f>
        <v>17</v>
      </c>
      <c r="B71" s="1271">
        <v>1.24</v>
      </c>
      <c r="C71" s="147"/>
      <c r="D71" s="1583" t="s">
        <v>1952</v>
      </c>
      <c r="E71" s="147" t="s">
        <v>230</v>
      </c>
      <c r="F71" s="1577">
        <v>1</v>
      </c>
      <c r="G71" s="1578"/>
      <c r="H71" s="1501">
        <f t="shared" si="1"/>
        <v>0</v>
      </c>
    </row>
    <row r="72" spans="1:8" s="10" customFormat="1">
      <c r="A72" s="433"/>
      <c r="B72" s="1888"/>
      <c r="C72" s="147"/>
      <c r="D72" s="1583"/>
      <c r="E72" s="433"/>
      <c r="F72" s="1577"/>
      <c r="G72" s="1578"/>
      <c r="H72" s="1501" t="str">
        <f t="shared" si="1"/>
        <v/>
      </c>
    </row>
    <row r="73" spans="1:8" s="10" customFormat="1">
      <c r="A73" s="433">
        <f>$A$4</f>
        <v>17</v>
      </c>
      <c r="B73" s="1271">
        <v>1.25</v>
      </c>
      <c r="C73" s="147"/>
      <c r="D73" s="1583" t="s">
        <v>1953</v>
      </c>
      <c r="E73" s="147" t="s">
        <v>230</v>
      </c>
      <c r="F73" s="1577">
        <v>1</v>
      </c>
      <c r="G73" s="1578"/>
      <c r="H73" s="1501">
        <f t="shared" si="1"/>
        <v>0</v>
      </c>
    </row>
    <row r="74" spans="1:8" s="10" customFormat="1">
      <c r="A74" s="433"/>
      <c r="B74" s="1888"/>
      <c r="C74" s="147"/>
      <c r="D74" s="1583"/>
      <c r="E74" s="433"/>
      <c r="F74" s="1577"/>
      <c r="G74" s="1578"/>
      <c r="H74" s="1501" t="str">
        <f t="shared" si="1"/>
        <v/>
      </c>
    </row>
    <row r="75" spans="1:8" s="10" customFormat="1">
      <c r="A75" s="433">
        <f>$A$4</f>
        <v>17</v>
      </c>
      <c r="B75" s="1271">
        <v>1.26</v>
      </c>
      <c r="C75" s="147"/>
      <c r="D75" s="1583" t="s">
        <v>1954</v>
      </c>
      <c r="E75" s="147" t="s">
        <v>230</v>
      </c>
      <c r="F75" s="1577">
        <v>1</v>
      </c>
      <c r="G75" s="1578"/>
      <c r="H75" s="1501">
        <f t="shared" si="1"/>
        <v>0</v>
      </c>
    </row>
    <row r="76" spans="1:8" s="10" customFormat="1">
      <c r="A76" s="433"/>
      <c r="B76" s="1888"/>
      <c r="C76" s="147"/>
      <c r="D76" s="1583"/>
      <c r="E76" s="433"/>
      <c r="F76" s="1577"/>
      <c r="G76" s="1578"/>
      <c r="H76" s="1501" t="str">
        <f t="shared" si="1"/>
        <v/>
      </c>
    </row>
    <row r="77" spans="1:8" s="10" customFormat="1">
      <c r="A77" s="433">
        <f>$A$4</f>
        <v>17</v>
      </c>
      <c r="B77" s="1271">
        <v>1.27</v>
      </c>
      <c r="C77" s="147"/>
      <c r="D77" s="1583" t="s">
        <v>1955</v>
      </c>
      <c r="E77" s="147" t="s">
        <v>230</v>
      </c>
      <c r="F77" s="1577">
        <v>1</v>
      </c>
      <c r="G77" s="1578"/>
      <c r="H77" s="1501">
        <f t="shared" si="1"/>
        <v>0</v>
      </c>
    </row>
    <row r="78" spans="1:8" s="10" customFormat="1">
      <c r="A78" s="433"/>
      <c r="B78" s="1271"/>
      <c r="C78" s="147"/>
      <c r="D78" s="2647"/>
      <c r="E78" s="147"/>
      <c r="F78" s="1577"/>
      <c r="G78" s="1578"/>
      <c r="H78" s="1501" t="str">
        <f t="shared" si="1"/>
        <v/>
      </c>
    </row>
    <row r="79" spans="1:8" s="10" customFormat="1" ht="52.8">
      <c r="A79" s="433"/>
      <c r="B79" s="1888"/>
      <c r="C79" s="1575"/>
      <c r="D79" s="2647" t="s">
        <v>1784</v>
      </c>
      <c r="E79" s="433"/>
      <c r="F79" s="2223"/>
      <c r="G79" s="1578"/>
      <c r="H79" s="1501" t="str">
        <f t="shared" si="1"/>
        <v/>
      </c>
    </row>
    <row r="80" spans="1:8" s="10" customFormat="1">
      <c r="A80" s="433"/>
      <c r="B80" s="1271"/>
      <c r="C80" s="147"/>
      <c r="D80" s="1778"/>
      <c r="E80" s="433"/>
      <c r="F80" s="1577"/>
      <c r="G80" s="1578"/>
      <c r="H80" s="1501" t="str">
        <f t="shared" si="1"/>
        <v/>
      </c>
    </row>
    <row r="81" spans="1:8" s="10" customFormat="1">
      <c r="A81" s="433">
        <f>$A$4</f>
        <v>17</v>
      </c>
      <c r="B81" s="1271">
        <v>1.28</v>
      </c>
      <c r="C81" s="147"/>
      <c r="D81" s="1583" t="s">
        <v>1956</v>
      </c>
      <c r="E81" s="147" t="s">
        <v>230</v>
      </c>
      <c r="F81" s="1577">
        <v>1</v>
      </c>
      <c r="G81" s="1578"/>
      <c r="H81" s="1501">
        <f t="shared" si="1"/>
        <v>0</v>
      </c>
    </row>
    <row r="82" spans="1:8" s="10" customFormat="1">
      <c r="A82" s="433"/>
      <c r="B82" s="1271"/>
      <c r="C82" s="147"/>
      <c r="D82" s="1583"/>
      <c r="E82" s="433"/>
      <c r="F82" s="1577"/>
      <c r="G82" s="1578"/>
      <c r="H82" s="1501" t="str">
        <f t="shared" si="1"/>
        <v/>
      </c>
    </row>
    <row r="83" spans="1:8" s="10" customFormat="1">
      <c r="A83" s="433">
        <f>$A$4</f>
        <v>17</v>
      </c>
      <c r="B83" s="1271">
        <v>1.29</v>
      </c>
      <c r="C83" s="147"/>
      <c r="D83" s="1583" t="s">
        <v>1957</v>
      </c>
      <c r="E83" s="147" t="s">
        <v>230</v>
      </c>
      <c r="F83" s="1577">
        <v>1</v>
      </c>
      <c r="G83" s="1578"/>
      <c r="H83" s="1501">
        <f t="shared" si="1"/>
        <v>0</v>
      </c>
    </row>
    <row r="84" spans="1:8" s="10" customFormat="1">
      <c r="A84" s="433"/>
      <c r="B84" s="1271"/>
      <c r="C84" s="147"/>
      <c r="D84" s="1583"/>
      <c r="E84" s="147"/>
      <c r="F84" s="1577"/>
      <c r="G84" s="1578"/>
      <c r="H84" s="1501" t="str">
        <f t="shared" si="1"/>
        <v/>
      </c>
    </row>
    <row r="85" spans="1:8" s="10" customFormat="1">
      <c r="A85" s="433">
        <f>$A$4</f>
        <v>17</v>
      </c>
      <c r="B85" s="1582">
        <v>1.3</v>
      </c>
      <c r="C85" s="147"/>
      <c r="D85" s="1583" t="s">
        <v>1958</v>
      </c>
      <c r="E85" s="147" t="s">
        <v>230</v>
      </c>
      <c r="F85" s="1577">
        <v>1</v>
      </c>
      <c r="G85" s="1578"/>
      <c r="H85" s="1501">
        <f t="shared" si="1"/>
        <v>0</v>
      </c>
    </row>
    <row r="86" spans="1:8" s="10" customFormat="1">
      <c r="A86" s="433"/>
      <c r="B86" s="1271"/>
      <c r="C86" s="147"/>
      <c r="D86" s="1583"/>
      <c r="E86" s="147"/>
      <c r="F86" s="1577"/>
      <c r="G86" s="1578"/>
      <c r="H86" s="1501" t="str">
        <f t="shared" si="1"/>
        <v/>
      </c>
    </row>
    <row r="87" spans="1:8" s="10" customFormat="1">
      <c r="A87" s="433">
        <f>$A$4</f>
        <v>17</v>
      </c>
      <c r="B87" s="1271">
        <v>1.31</v>
      </c>
      <c r="C87" s="147"/>
      <c r="D87" s="1583" t="s">
        <v>1959</v>
      </c>
      <c r="E87" s="147" t="s">
        <v>230</v>
      </c>
      <c r="F87" s="1577">
        <v>1</v>
      </c>
      <c r="G87" s="1578"/>
      <c r="H87" s="1501">
        <f t="shared" si="1"/>
        <v>0</v>
      </c>
    </row>
    <row r="88" spans="1:8">
      <c r="A88" s="17"/>
      <c r="B88" s="1271"/>
      <c r="C88" s="147"/>
      <c r="D88" s="1583"/>
      <c r="E88" s="147"/>
      <c r="F88" s="1577"/>
      <c r="G88" s="1578"/>
      <c r="H88" s="1501" t="str">
        <f t="shared" si="1"/>
        <v/>
      </c>
    </row>
    <row r="89" spans="1:8" s="10" customFormat="1">
      <c r="A89" s="433">
        <f>$A$4</f>
        <v>17</v>
      </c>
      <c r="B89" s="1271">
        <v>1.32</v>
      </c>
      <c r="C89" s="147"/>
      <c r="D89" s="1583" t="s">
        <v>1960</v>
      </c>
      <c r="E89" s="147" t="s">
        <v>230</v>
      </c>
      <c r="F89" s="1577">
        <v>1</v>
      </c>
      <c r="G89" s="1578"/>
      <c r="H89" s="1501">
        <f t="shared" si="1"/>
        <v>0</v>
      </c>
    </row>
    <row r="90" spans="1:8">
      <c r="A90" s="17"/>
      <c r="B90" s="1271"/>
      <c r="C90" s="147"/>
      <c r="D90" s="1583"/>
      <c r="E90" s="147"/>
      <c r="F90" s="1577"/>
      <c r="G90" s="1578"/>
      <c r="H90" s="1501" t="str">
        <f t="shared" si="1"/>
        <v/>
      </c>
    </row>
    <row r="91" spans="1:8" s="10" customFormat="1">
      <c r="A91" s="433">
        <f>$A$4</f>
        <v>17</v>
      </c>
      <c r="B91" s="1271">
        <v>1.33</v>
      </c>
      <c r="C91" s="147"/>
      <c r="D91" s="1583" t="s">
        <v>1961</v>
      </c>
      <c r="E91" s="147" t="s">
        <v>230</v>
      </c>
      <c r="F91" s="1577">
        <v>1</v>
      </c>
      <c r="G91" s="1578"/>
      <c r="H91" s="1501">
        <f t="shared" si="1"/>
        <v>0</v>
      </c>
    </row>
    <row r="92" spans="1:8" s="10" customFormat="1">
      <c r="A92" s="433"/>
      <c r="B92" s="1271"/>
      <c r="C92" s="147"/>
      <c r="D92" s="1583"/>
      <c r="E92" s="147"/>
      <c r="F92" s="1577"/>
      <c r="G92" s="1578"/>
      <c r="H92" s="1501" t="str">
        <f t="shared" si="1"/>
        <v/>
      </c>
    </row>
    <row r="93" spans="1:8" s="10" customFormat="1">
      <c r="A93" s="433">
        <f>$A$4</f>
        <v>17</v>
      </c>
      <c r="B93" s="1271">
        <v>1.34</v>
      </c>
      <c r="C93" s="147"/>
      <c r="D93" s="1583" t="s">
        <v>1962</v>
      </c>
      <c r="E93" s="147" t="s">
        <v>230</v>
      </c>
      <c r="F93" s="1577">
        <v>1</v>
      </c>
      <c r="G93" s="1578"/>
      <c r="H93" s="1501">
        <f t="shared" si="1"/>
        <v>0</v>
      </c>
    </row>
    <row r="94" spans="1:8" s="10" customFormat="1">
      <c r="A94" s="433"/>
      <c r="B94" s="1271"/>
      <c r="C94" s="1575"/>
      <c r="D94" s="2649"/>
      <c r="E94" s="147"/>
      <c r="F94" s="1577"/>
      <c r="G94" s="1578"/>
      <c r="H94" s="1501" t="str">
        <f t="shared" si="1"/>
        <v/>
      </c>
    </row>
    <row r="95" spans="1:8" s="10" customFormat="1">
      <c r="A95" s="433">
        <f>$A$4</f>
        <v>17</v>
      </c>
      <c r="B95" s="1271">
        <v>1.35</v>
      </c>
      <c r="C95" s="1575"/>
      <c r="D95" s="694" t="s">
        <v>1013</v>
      </c>
      <c r="E95" s="1818" t="s">
        <v>252</v>
      </c>
      <c r="F95" s="1577">
        <v>1</v>
      </c>
      <c r="G95" s="2654">
        <v>500000</v>
      </c>
      <c r="H95" s="1501">
        <f t="shared" si="1"/>
        <v>500000</v>
      </c>
    </row>
    <row r="96" spans="1:8" s="10" customFormat="1">
      <c r="A96" s="433"/>
      <c r="B96" s="2328"/>
      <c r="C96" s="1783"/>
      <c r="D96" s="871"/>
      <c r="E96" s="1809"/>
      <c r="F96" s="2034"/>
      <c r="G96" s="1813"/>
      <c r="H96" s="1501" t="str">
        <f t="shared" si="1"/>
        <v/>
      </c>
    </row>
    <row r="97" spans="1:8" s="10" customFormat="1">
      <c r="A97" s="2646">
        <f>$A$4</f>
        <v>17</v>
      </c>
      <c r="B97" s="1888">
        <v>2</v>
      </c>
      <c r="C97" s="1792" t="s">
        <v>1963</v>
      </c>
      <c r="D97" s="2648" t="s">
        <v>1964</v>
      </c>
      <c r="E97" s="2618"/>
      <c r="F97" s="1577"/>
      <c r="G97" s="1578"/>
      <c r="H97" s="1501" t="str">
        <f t="shared" si="1"/>
        <v/>
      </c>
    </row>
    <row r="98" spans="1:8" s="10" customFormat="1">
      <c r="A98" s="433"/>
      <c r="B98" s="1271"/>
      <c r="C98" s="1575"/>
      <c r="D98" s="2648"/>
      <c r="E98" s="2618"/>
      <c r="F98" s="1577"/>
      <c r="G98" s="1578"/>
      <c r="H98" s="1501" t="str">
        <f t="shared" si="1"/>
        <v/>
      </c>
    </row>
    <row r="99" spans="1:8" s="10" customFormat="1" ht="26.4">
      <c r="A99" s="433"/>
      <c r="B99" s="1271"/>
      <c r="C99" s="1575"/>
      <c r="D99" s="2647" t="s">
        <v>1965</v>
      </c>
      <c r="E99" s="2618"/>
      <c r="F99" s="1577"/>
      <c r="G99" s="1578"/>
      <c r="H99" s="1501" t="str">
        <f t="shared" si="1"/>
        <v/>
      </c>
    </row>
    <row r="100" spans="1:8" s="10" customFormat="1">
      <c r="A100" s="433"/>
      <c r="B100" s="1271"/>
      <c r="C100" s="1575"/>
      <c r="D100" s="1584"/>
      <c r="E100" s="2618"/>
      <c r="F100" s="1577"/>
      <c r="G100" s="1578"/>
      <c r="H100" s="1501" t="str">
        <f t="shared" si="1"/>
        <v/>
      </c>
    </row>
    <row r="101" spans="1:8" s="10" customFormat="1" ht="39.6">
      <c r="A101" s="433"/>
      <c r="B101" s="1271"/>
      <c r="C101" s="1575"/>
      <c r="D101" s="2647" t="s">
        <v>1932</v>
      </c>
      <c r="E101" s="2618"/>
      <c r="F101" s="1577"/>
      <c r="G101" s="1578"/>
      <c r="H101" s="1501" t="str">
        <f t="shared" si="1"/>
        <v/>
      </c>
    </row>
    <row r="102" spans="1:8" s="10" customFormat="1">
      <c r="A102" s="433"/>
      <c r="B102" s="1271"/>
      <c r="C102" s="1575"/>
      <c r="D102" s="1584"/>
      <c r="E102" s="2618"/>
      <c r="F102" s="1577"/>
      <c r="G102" s="1578"/>
      <c r="H102" s="1501" t="str">
        <f t="shared" si="1"/>
        <v/>
      </c>
    </row>
    <row r="103" spans="1:8" s="10" customFormat="1" ht="26.4">
      <c r="A103" s="433"/>
      <c r="B103" s="1888"/>
      <c r="C103" s="1575"/>
      <c r="D103" s="2647" t="s">
        <v>1933</v>
      </c>
      <c r="E103" s="2618"/>
      <c r="F103" s="1577"/>
      <c r="G103" s="1578"/>
      <c r="H103" s="1501" t="str">
        <f t="shared" si="1"/>
        <v/>
      </c>
    </row>
    <row r="104" spans="1:8" s="10" customFormat="1">
      <c r="A104" s="433"/>
      <c r="B104" s="1271"/>
      <c r="C104" s="1575"/>
      <c r="D104" s="1584"/>
      <c r="E104" s="2618"/>
      <c r="F104" s="1577"/>
      <c r="G104" s="1578"/>
      <c r="H104" s="1501" t="str">
        <f t="shared" si="1"/>
        <v/>
      </c>
    </row>
    <row r="105" spans="1:8" s="10" customFormat="1" ht="26.4">
      <c r="A105" s="433">
        <f>$A$4</f>
        <v>17</v>
      </c>
      <c r="B105" s="1271">
        <v>2.1</v>
      </c>
      <c r="C105" s="1575"/>
      <c r="D105" s="1584" t="s">
        <v>1966</v>
      </c>
      <c r="E105" s="2618" t="s">
        <v>273</v>
      </c>
      <c r="F105" s="1577">
        <v>2</v>
      </c>
      <c r="G105" s="1578"/>
      <c r="H105" s="1501">
        <f t="shared" si="1"/>
        <v>0</v>
      </c>
    </row>
    <row r="106" spans="1:8" s="10" customFormat="1">
      <c r="A106" s="433"/>
      <c r="B106" s="1271"/>
      <c r="C106" s="1575"/>
      <c r="D106" s="1584"/>
      <c r="E106" s="2618"/>
      <c r="F106" s="1577"/>
      <c r="G106" s="1578"/>
      <c r="H106" s="1501" t="str">
        <f t="shared" si="1"/>
        <v/>
      </c>
    </row>
    <row r="107" spans="1:8" s="10" customFormat="1" ht="26.4">
      <c r="A107" s="433">
        <f>$A$4</f>
        <v>17</v>
      </c>
      <c r="B107" s="1271">
        <v>2.2000000000000002</v>
      </c>
      <c r="C107" s="1575"/>
      <c r="D107" s="1584" t="s">
        <v>1935</v>
      </c>
      <c r="E107" s="2618" t="s">
        <v>1735</v>
      </c>
      <c r="F107" s="1577">
        <v>1</v>
      </c>
      <c r="G107" s="1578"/>
      <c r="H107" s="1501">
        <f t="shared" si="1"/>
        <v>0</v>
      </c>
    </row>
    <row r="108" spans="1:8" s="10" customFormat="1">
      <c r="A108" s="433"/>
      <c r="B108" s="1271"/>
      <c r="C108" s="1575"/>
      <c r="D108" s="1584"/>
      <c r="E108" s="2618"/>
      <c r="F108" s="1577"/>
      <c r="G108" s="1578"/>
      <c r="H108" s="1501" t="str">
        <f t="shared" si="1"/>
        <v/>
      </c>
    </row>
    <row r="109" spans="1:8" s="10" customFormat="1" ht="26.4">
      <c r="A109" s="433">
        <f>$A$4</f>
        <v>17</v>
      </c>
      <c r="B109" s="1271">
        <v>2.2999999999999998</v>
      </c>
      <c r="C109" s="1575"/>
      <c r="D109" s="1584" t="s">
        <v>1967</v>
      </c>
      <c r="E109" s="2618" t="s">
        <v>954</v>
      </c>
      <c r="F109" s="1577">
        <v>4</v>
      </c>
      <c r="G109" s="1578"/>
      <c r="H109" s="1501">
        <f t="shared" si="1"/>
        <v>0</v>
      </c>
    </row>
    <row r="110" spans="1:8" s="10" customFormat="1">
      <c r="A110" s="433"/>
      <c r="B110" s="1271"/>
      <c r="C110" s="1575"/>
      <c r="D110" s="1584"/>
      <c r="E110" s="2618"/>
      <c r="F110" s="1577"/>
      <c r="G110" s="1578"/>
      <c r="H110" s="1501" t="str">
        <f t="shared" si="1"/>
        <v/>
      </c>
    </row>
    <row r="111" spans="1:8" s="10" customFormat="1" ht="26.4">
      <c r="A111" s="433">
        <f>$A$4</f>
        <v>17</v>
      </c>
      <c r="B111" s="1271">
        <v>2.4</v>
      </c>
      <c r="C111" s="1575"/>
      <c r="D111" s="1584" t="s">
        <v>1968</v>
      </c>
      <c r="E111" s="2618" t="s">
        <v>954</v>
      </c>
      <c r="F111" s="1577">
        <v>2</v>
      </c>
      <c r="G111" s="1578"/>
      <c r="H111" s="1501">
        <f t="shared" si="1"/>
        <v>0</v>
      </c>
    </row>
    <row r="112" spans="1:8" s="10" customFormat="1">
      <c r="A112" s="433"/>
      <c r="B112" s="1271"/>
      <c r="C112" s="1575"/>
      <c r="D112" s="1584"/>
      <c r="E112" s="2618"/>
      <c r="F112" s="1577"/>
      <c r="G112" s="1578"/>
      <c r="H112" s="1501" t="str">
        <f t="shared" si="1"/>
        <v/>
      </c>
    </row>
    <row r="113" spans="1:8" s="10" customFormat="1">
      <c r="A113" s="433">
        <f>$A$4</f>
        <v>17</v>
      </c>
      <c r="B113" s="1271">
        <v>2.5</v>
      </c>
      <c r="C113" s="1575"/>
      <c r="D113" s="1584" t="s">
        <v>1969</v>
      </c>
      <c r="E113" s="2618" t="s">
        <v>954</v>
      </c>
      <c r="F113" s="1577">
        <v>2</v>
      </c>
      <c r="G113" s="1578"/>
      <c r="H113" s="1501">
        <f t="shared" si="1"/>
        <v>0</v>
      </c>
    </row>
    <row r="114" spans="1:8" s="10" customFormat="1">
      <c r="A114" s="433"/>
      <c r="B114" s="1271"/>
      <c r="C114" s="1575"/>
      <c r="D114" s="1584"/>
      <c r="E114" s="2618"/>
      <c r="F114" s="1577"/>
      <c r="G114" s="1578"/>
      <c r="H114" s="1501" t="str">
        <f t="shared" si="1"/>
        <v/>
      </c>
    </row>
    <row r="115" spans="1:8" s="10" customFormat="1" ht="52.8">
      <c r="A115" s="433"/>
      <c r="B115" s="1888"/>
      <c r="C115" s="147"/>
      <c r="D115" s="2647" t="s">
        <v>1752</v>
      </c>
      <c r="E115" s="433"/>
      <c r="F115" s="1577"/>
      <c r="G115" s="1578"/>
      <c r="H115" s="1501" t="str">
        <f t="shared" si="1"/>
        <v/>
      </c>
    </row>
    <row r="116" spans="1:8" s="10" customFormat="1">
      <c r="A116" s="433"/>
      <c r="B116" s="1271"/>
      <c r="C116" s="147"/>
      <c r="D116" s="1583"/>
      <c r="E116" s="147"/>
      <c r="F116" s="1577"/>
      <c r="G116" s="1578"/>
      <c r="H116" s="1501" t="str">
        <f t="shared" si="1"/>
        <v/>
      </c>
    </row>
    <row r="117" spans="1:8" s="10" customFormat="1">
      <c r="A117" s="433"/>
      <c r="B117" s="1271"/>
      <c r="C117" s="147"/>
      <c r="D117" s="1778"/>
      <c r="E117" s="433"/>
      <c r="F117" s="1577"/>
      <c r="G117" s="1578"/>
      <c r="H117" s="1501" t="str">
        <f t="shared" si="1"/>
        <v/>
      </c>
    </row>
    <row r="118" spans="1:8" s="10" customFormat="1">
      <c r="A118" s="433">
        <f>$A$4</f>
        <v>17</v>
      </c>
      <c r="B118" s="1271">
        <v>2.6</v>
      </c>
      <c r="C118" s="147"/>
      <c r="D118" s="1583" t="s">
        <v>1970</v>
      </c>
      <c r="E118" s="147" t="s">
        <v>230</v>
      </c>
      <c r="F118" s="1577">
        <v>1</v>
      </c>
      <c r="G118" s="1578"/>
      <c r="H118" s="1501">
        <f t="shared" si="1"/>
        <v>0</v>
      </c>
    </row>
    <row r="119" spans="1:8" s="10" customFormat="1">
      <c r="A119" s="433"/>
      <c r="B119" s="1271"/>
      <c r="C119" s="147"/>
      <c r="D119" s="1583"/>
      <c r="E119" s="433"/>
      <c r="F119" s="1577"/>
      <c r="G119" s="1578"/>
      <c r="H119" s="1501" t="str">
        <f t="shared" si="1"/>
        <v/>
      </c>
    </row>
    <row r="120" spans="1:8" s="10" customFormat="1">
      <c r="A120" s="433">
        <f>$A$4</f>
        <v>17</v>
      </c>
      <c r="B120" s="1271">
        <v>2.7</v>
      </c>
      <c r="C120" s="147"/>
      <c r="D120" s="1583" t="s">
        <v>1971</v>
      </c>
      <c r="E120" s="147" t="s">
        <v>230</v>
      </c>
      <c r="F120" s="1577">
        <v>1</v>
      </c>
      <c r="G120" s="1578"/>
      <c r="H120" s="1501">
        <f t="shared" si="1"/>
        <v>0</v>
      </c>
    </row>
    <row r="121" spans="1:8" s="10" customFormat="1">
      <c r="A121" s="433"/>
      <c r="B121" s="1271"/>
      <c r="C121" s="147"/>
      <c r="D121" s="1583"/>
      <c r="E121" s="433"/>
      <c r="F121" s="1577"/>
      <c r="G121" s="1578"/>
      <c r="H121" s="1501" t="str">
        <f t="shared" si="1"/>
        <v/>
      </c>
    </row>
    <row r="122" spans="1:8" s="10" customFormat="1">
      <c r="A122" s="433">
        <f>$A$4</f>
        <v>17</v>
      </c>
      <c r="B122" s="1271">
        <v>2.8</v>
      </c>
      <c r="C122" s="147"/>
      <c r="D122" s="1583" t="s">
        <v>1972</v>
      </c>
      <c r="E122" s="147" t="s">
        <v>230</v>
      </c>
      <c r="F122" s="1577">
        <v>1</v>
      </c>
      <c r="G122" s="1578"/>
      <c r="H122" s="1501">
        <f t="shared" si="1"/>
        <v>0</v>
      </c>
    </row>
    <row r="123" spans="1:8" s="10" customFormat="1">
      <c r="A123" s="433"/>
      <c r="B123" s="1271"/>
      <c r="C123" s="147"/>
      <c r="D123" s="1583"/>
      <c r="E123" s="147"/>
      <c r="F123" s="1577"/>
      <c r="G123" s="1578"/>
      <c r="H123" s="1501" t="str">
        <f t="shared" si="1"/>
        <v/>
      </c>
    </row>
    <row r="124" spans="1:8" s="10" customFormat="1">
      <c r="A124" s="433">
        <f>$A$4</f>
        <v>17</v>
      </c>
      <c r="B124" s="1271">
        <v>2.9</v>
      </c>
      <c r="C124" s="147"/>
      <c r="D124" s="1583" t="s">
        <v>1973</v>
      </c>
      <c r="E124" s="147" t="s">
        <v>230</v>
      </c>
      <c r="F124" s="1577">
        <v>1</v>
      </c>
      <c r="G124" s="1578"/>
      <c r="H124" s="1501">
        <f t="shared" si="1"/>
        <v>0</v>
      </c>
    </row>
    <row r="125" spans="1:8" s="10" customFormat="1">
      <c r="A125" s="433"/>
      <c r="B125" s="1271"/>
      <c r="C125" s="147"/>
      <c r="D125" s="1583"/>
      <c r="E125" s="147"/>
      <c r="F125" s="1577"/>
      <c r="G125" s="1578"/>
      <c r="H125" s="1501" t="str">
        <f t="shared" si="1"/>
        <v/>
      </c>
    </row>
    <row r="126" spans="1:8" s="10" customFormat="1">
      <c r="A126" s="433"/>
      <c r="B126" s="1271"/>
      <c r="C126" s="147"/>
      <c r="D126" s="1583"/>
      <c r="E126" s="147"/>
      <c r="F126" s="1577"/>
      <c r="G126" s="1578"/>
      <c r="H126" s="2620"/>
    </row>
    <row r="127" spans="1:8" s="10" customFormat="1">
      <c r="A127" s="433"/>
      <c r="B127" s="1271"/>
      <c r="C127" s="147"/>
      <c r="D127" s="1583"/>
      <c r="E127" s="147"/>
      <c r="F127" s="1577"/>
      <c r="G127" s="1578"/>
      <c r="H127" s="2620"/>
    </row>
    <row r="128" spans="1:8" s="10" customFormat="1">
      <c r="A128" s="433"/>
      <c r="B128" s="1888"/>
      <c r="C128" s="147"/>
      <c r="D128" s="2647"/>
      <c r="E128" s="147"/>
      <c r="F128" s="2223"/>
      <c r="G128" s="1578"/>
      <c r="H128" s="2620"/>
    </row>
    <row r="129" spans="1:8" s="10" customFormat="1">
      <c r="A129" s="433"/>
      <c r="B129" s="1271"/>
      <c r="C129" s="147"/>
      <c r="D129" s="1583"/>
      <c r="E129" s="147"/>
      <c r="F129" s="1577"/>
      <c r="G129" s="1578"/>
      <c r="H129" s="2620"/>
    </row>
    <row r="130" spans="1:8" s="10" customFormat="1">
      <c r="A130" s="2333"/>
      <c r="B130" s="822"/>
      <c r="C130" s="837"/>
      <c r="D130" s="837"/>
      <c r="E130" s="837"/>
      <c r="F130" s="838"/>
      <c r="G130" s="2650"/>
      <c r="H130" s="2651"/>
    </row>
    <row r="131" spans="1:8" s="10" customFormat="1">
      <c r="A131" s="2336"/>
      <c r="B131" s="823"/>
      <c r="C131" s="515"/>
      <c r="D131" s="457" t="s">
        <v>289</v>
      </c>
      <c r="E131" s="426"/>
      <c r="F131" s="24"/>
      <c r="G131" s="1471"/>
      <c r="H131" s="2652">
        <f>SUM(H65:H129)</f>
        <v>500000</v>
      </c>
    </row>
    <row r="132" spans="1:8" s="10" customFormat="1">
      <c r="A132" s="433"/>
      <c r="B132" s="1271"/>
      <c r="C132" s="147"/>
      <c r="D132" s="1702" t="s">
        <v>290</v>
      </c>
      <c r="E132" s="147"/>
      <c r="F132" s="1577"/>
      <c r="G132" s="1578"/>
      <c r="H132" s="2619">
        <f>H131</f>
        <v>500000</v>
      </c>
    </row>
    <row r="133" spans="1:8" s="10" customFormat="1">
      <c r="A133" s="433"/>
      <c r="B133" s="1271"/>
      <c r="C133" s="147"/>
      <c r="D133" s="1778"/>
      <c r="E133" s="147"/>
      <c r="F133" s="1577"/>
      <c r="G133" s="1578"/>
      <c r="H133" s="2620"/>
    </row>
    <row r="134" spans="1:8" s="10" customFormat="1" ht="52.8">
      <c r="A134" s="433"/>
      <c r="B134" s="1888"/>
      <c r="C134" s="1575"/>
      <c r="D134" s="2647" t="s">
        <v>1784</v>
      </c>
      <c r="E134" s="433"/>
      <c r="F134" s="2223"/>
      <c r="G134" s="1578"/>
      <c r="H134" s="2620"/>
    </row>
    <row r="135" spans="1:8" s="10" customFormat="1">
      <c r="A135" s="433"/>
      <c r="B135" s="1271"/>
      <c r="C135" s="147"/>
      <c r="D135" s="1778"/>
      <c r="E135" s="147"/>
      <c r="F135" s="1577"/>
      <c r="G135" s="1578"/>
      <c r="H135" s="2620"/>
    </row>
    <row r="136" spans="1:8" s="10" customFormat="1">
      <c r="A136" s="433">
        <f>$A$4</f>
        <v>17</v>
      </c>
      <c r="B136" s="1582">
        <v>2.1</v>
      </c>
      <c r="C136" s="147"/>
      <c r="D136" s="1583" t="s">
        <v>1974</v>
      </c>
      <c r="E136" s="147" t="s">
        <v>230</v>
      </c>
      <c r="F136" s="1577">
        <v>1</v>
      </c>
      <c r="G136" s="1578"/>
      <c r="H136" s="1501">
        <f t="shared" ref="H136" si="2">IF(E136="","",ROUND(F136*G136,2))</f>
        <v>0</v>
      </c>
    </row>
    <row r="137" spans="1:8" s="10" customFormat="1">
      <c r="A137" s="433"/>
      <c r="B137" s="1271"/>
      <c r="C137" s="1575"/>
      <c r="D137" s="1583"/>
      <c r="E137" s="433"/>
      <c r="F137" s="1577"/>
      <c r="G137" s="1578"/>
      <c r="H137" s="2620"/>
    </row>
    <row r="138" spans="1:8" s="10" customFormat="1">
      <c r="A138" s="433">
        <f>$A$4</f>
        <v>17</v>
      </c>
      <c r="B138" s="1271">
        <v>2.11</v>
      </c>
      <c r="C138" s="1575"/>
      <c r="D138" s="1583" t="s">
        <v>1975</v>
      </c>
      <c r="E138" s="147" t="s">
        <v>230</v>
      </c>
      <c r="F138" s="1577">
        <v>1</v>
      </c>
      <c r="G138" s="1578"/>
      <c r="H138" s="1501">
        <f t="shared" ref="H138" si="3">IF(E138="","",ROUND(F138*G138,2))</f>
        <v>0</v>
      </c>
    </row>
    <row r="139" spans="1:8" s="10" customFormat="1">
      <c r="A139" s="433"/>
      <c r="B139" s="1271"/>
      <c r="C139" s="147"/>
      <c r="D139" s="1583"/>
      <c r="E139" s="147"/>
      <c r="F139" s="1577"/>
      <c r="G139" s="1578"/>
      <c r="H139" s="2620"/>
    </row>
    <row r="140" spans="1:8" s="10" customFormat="1">
      <c r="A140" s="433"/>
      <c r="B140" s="1271"/>
      <c r="C140" s="147"/>
      <c r="D140" s="1583"/>
      <c r="E140" s="147"/>
      <c r="F140" s="1577"/>
      <c r="G140" s="1578"/>
      <c r="H140" s="2620"/>
    </row>
    <row r="141" spans="1:8" s="10" customFormat="1">
      <c r="A141" s="433"/>
      <c r="B141" s="1271"/>
      <c r="C141" s="147"/>
      <c r="D141" s="1583"/>
      <c r="E141" s="147"/>
      <c r="F141" s="1577"/>
      <c r="G141" s="1578"/>
      <c r="H141" s="2620"/>
    </row>
    <row r="142" spans="1:8" s="10" customFormat="1">
      <c r="A142" s="433"/>
      <c r="B142" s="1271"/>
      <c r="C142" s="147"/>
      <c r="D142" s="1583"/>
      <c r="E142" s="147"/>
      <c r="F142" s="1577"/>
      <c r="G142" s="1578"/>
      <c r="H142" s="2620"/>
    </row>
    <row r="143" spans="1:8" s="10" customFormat="1">
      <c r="A143" s="433"/>
      <c r="B143" s="1271"/>
      <c r="C143" s="147"/>
      <c r="D143" s="1583"/>
      <c r="E143" s="147"/>
      <c r="F143" s="1577"/>
      <c r="G143" s="1578"/>
      <c r="H143" s="2620"/>
    </row>
    <row r="144" spans="1:8" s="10" customFormat="1">
      <c r="A144" s="433"/>
      <c r="B144" s="1271"/>
      <c r="C144" s="147"/>
      <c r="D144" s="1583"/>
      <c r="E144" s="147"/>
      <c r="F144" s="1577"/>
      <c r="G144" s="1578"/>
      <c r="H144" s="2620"/>
    </row>
    <row r="145" spans="1:8" s="10" customFormat="1">
      <c r="A145" s="433"/>
      <c r="B145" s="1271"/>
      <c r="C145" s="147"/>
      <c r="D145" s="1583"/>
      <c r="E145" s="147"/>
      <c r="F145" s="1577"/>
      <c r="G145" s="1578"/>
      <c r="H145" s="2620"/>
    </row>
    <row r="146" spans="1:8" s="10" customFormat="1">
      <c r="A146" s="433"/>
      <c r="B146" s="1271"/>
      <c r="C146" s="147"/>
      <c r="D146" s="1583"/>
      <c r="E146" s="147"/>
      <c r="F146" s="1577"/>
      <c r="G146" s="1578"/>
      <c r="H146" s="2620"/>
    </row>
    <row r="147" spans="1:8" s="10" customFormat="1">
      <c r="A147" s="433"/>
      <c r="B147" s="1271"/>
      <c r="C147" s="147"/>
      <c r="D147" s="1583"/>
      <c r="E147" s="147"/>
      <c r="F147" s="1577"/>
      <c r="G147" s="1578"/>
      <c r="H147" s="2620"/>
    </row>
    <row r="148" spans="1:8" s="10" customFormat="1">
      <c r="A148" s="433"/>
      <c r="B148" s="1271"/>
      <c r="C148" s="147"/>
      <c r="D148" s="1583"/>
      <c r="E148" s="147"/>
      <c r="F148" s="1577"/>
      <c r="G148" s="1578"/>
      <c r="H148" s="2620"/>
    </row>
    <row r="149" spans="1:8" s="10" customFormat="1">
      <c r="A149" s="433"/>
      <c r="B149" s="1271"/>
      <c r="C149" s="147"/>
      <c r="D149" s="1583"/>
      <c r="E149" s="147"/>
      <c r="F149" s="1577"/>
      <c r="G149" s="1578"/>
      <c r="H149" s="2620"/>
    </row>
    <row r="150" spans="1:8" s="10" customFormat="1">
      <c r="A150" s="433"/>
      <c r="B150" s="1271"/>
      <c r="C150" s="147"/>
      <c r="D150" s="1583"/>
      <c r="E150" s="147"/>
      <c r="F150" s="1577"/>
      <c r="G150" s="1578"/>
      <c r="H150" s="2620"/>
    </row>
    <row r="151" spans="1:8" s="10" customFormat="1">
      <c r="A151" s="433"/>
      <c r="B151" s="1271"/>
      <c r="C151" s="147"/>
      <c r="D151" s="1583"/>
      <c r="E151" s="147"/>
      <c r="F151" s="1577"/>
      <c r="G151" s="1578"/>
      <c r="H151" s="2620"/>
    </row>
    <row r="152" spans="1:8" s="10" customFormat="1">
      <c r="A152" s="433"/>
      <c r="B152" s="1271"/>
      <c r="C152" s="147"/>
      <c r="D152" s="1583"/>
      <c r="E152" s="147"/>
      <c r="F152" s="1577"/>
      <c r="G152" s="1578"/>
      <c r="H152" s="2620"/>
    </row>
    <row r="153" spans="1:8" s="10" customFormat="1">
      <c r="A153" s="433"/>
      <c r="B153" s="1271"/>
      <c r="C153" s="147"/>
      <c r="D153" s="1583"/>
      <c r="E153" s="147"/>
      <c r="F153" s="1577"/>
      <c r="G153" s="1578"/>
      <c r="H153" s="2620"/>
    </row>
    <row r="154" spans="1:8" s="10" customFormat="1">
      <c r="A154" s="433"/>
      <c r="B154" s="1271"/>
      <c r="C154" s="147"/>
      <c r="D154" s="1583"/>
      <c r="E154" s="147"/>
      <c r="F154" s="1577"/>
      <c r="G154" s="1578"/>
      <c r="H154" s="2620"/>
    </row>
    <row r="155" spans="1:8" s="10" customFormat="1">
      <c r="A155" s="433"/>
      <c r="B155" s="1271"/>
      <c r="C155" s="147"/>
      <c r="D155" s="1583"/>
      <c r="E155" s="147"/>
      <c r="F155" s="1577"/>
      <c r="G155" s="1578"/>
      <c r="H155" s="2620"/>
    </row>
    <row r="156" spans="1:8" s="10" customFormat="1">
      <c r="A156" s="433"/>
      <c r="B156" s="1271"/>
      <c r="C156" s="147"/>
      <c r="D156" s="1583"/>
      <c r="E156" s="147"/>
      <c r="F156" s="1577"/>
      <c r="G156" s="1578"/>
      <c r="H156" s="2620"/>
    </row>
    <row r="157" spans="1:8" s="10" customFormat="1">
      <c r="A157" s="433"/>
      <c r="B157" s="1271"/>
      <c r="C157" s="147"/>
      <c r="D157" s="1583"/>
      <c r="E157" s="147"/>
      <c r="F157" s="1577"/>
      <c r="G157" s="1578"/>
      <c r="H157" s="2620"/>
    </row>
    <row r="158" spans="1:8" s="10" customFormat="1">
      <c r="A158" s="433"/>
      <c r="B158" s="1271"/>
      <c r="C158" s="147"/>
      <c r="D158" s="1583"/>
      <c r="E158" s="147"/>
      <c r="F158" s="1577"/>
      <c r="G158" s="1578"/>
      <c r="H158" s="2620"/>
    </row>
    <row r="159" spans="1:8" s="10" customFormat="1">
      <c r="A159" s="433"/>
      <c r="B159" s="1271"/>
      <c r="C159" s="147"/>
      <c r="D159" s="1583"/>
      <c r="E159" s="147"/>
      <c r="F159" s="1577"/>
      <c r="G159" s="1578"/>
      <c r="H159" s="2620"/>
    </row>
    <row r="160" spans="1:8" s="10" customFormat="1">
      <c r="A160" s="433"/>
      <c r="B160" s="1271"/>
      <c r="C160" s="147"/>
      <c r="D160" s="1583"/>
      <c r="E160" s="147"/>
      <c r="F160" s="1577"/>
      <c r="G160" s="1578"/>
      <c r="H160" s="2620"/>
    </row>
    <row r="161" spans="1:8" s="10" customFormat="1">
      <c r="A161" s="433"/>
      <c r="B161" s="1271"/>
      <c r="C161" s="147"/>
      <c r="D161" s="1583"/>
      <c r="E161" s="147"/>
      <c r="F161" s="1577"/>
      <c r="G161" s="1578"/>
      <c r="H161" s="2620"/>
    </row>
    <row r="162" spans="1:8" s="10" customFormat="1">
      <c r="A162" s="433"/>
      <c r="B162" s="1271"/>
      <c r="C162" s="147"/>
      <c r="D162" s="1583"/>
      <c r="E162" s="147"/>
      <c r="F162" s="1577"/>
      <c r="G162" s="1578"/>
      <c r="H162" s="2620"/>
    </row>
    <row r="163" spans="1:8" s="10" customFormat="1">
      <c r="A163" s="433"/>
      <c r="B163" s="1271"/>
      <c r="C163" s="147"/>
      <c r="D163" s="1583"/>
      <c r="E163" s="147"/>
      <c r="F163" s="1577"/>
      <c r="G163" s="1578"/>
      <c r="H163" s="2620"/>
    </row>
    <row r="164" spans="1:8" s="10" customFormat="1">
      <c r="A164" s="433"/>
      <c r="B164" s="1271"/>
      <c r="C164" s="147"/>
      <c r="D164" s="1583"/>
      <c r="E164" s="147"/>
      <c r="F164" s="1577"/>
      <c r="G164" s="1578"/>
      <c r="H164" s="2620"/>
    </row>
    <row r="165" spans="1:8" s="10" customFormat="1">
      <c r="A165" s="433"/>
      <c r="B165" s="1271"/>
      <c r="C165" s="147"/>
      <c r="D165" s="1583"/>
      <c r="E165" s="147"/>
      <c r="F165" s="1577"/>
      <c r="G165" s="1578"/>
      <c r="H165" s="2620"/>
    </row>
    <row r="166" spans="1:8" s="10" customFormat="1">
      <c r="A166" s="433"/>
      <c r="B166" s="1271"/>
      <c r="C166" s="147"/>
      <c r="D166" s="1583"/>
      <c r="E166" s="147"/>
      <c r="F166" s="1577"/>
      <c r="G166" s="1578"/>
      <c r="H166" s="2620"/>
    </row>
    <row r="167" spans="1:8" s="10" customFormat="1">
      <c r="A167" s="433"/>
      <c r="B167" s="1271"/>
      <c r="C167" s="147"/>
      <c r="D167" s="1583"/>
      <c r="E167" s="147"/>
      <c r="F167" s="1577"/>
      <c r="G167" s="1578"/>
      <c r="H167" s="2620"/>
    </row>
    <row r="168" spans="1:8" s="10" customFormat="1">
      <c r="A168" s="433"/>
      <c r="B168" s="1271"/>
      <c r="C168" s="147"/>
      <c r="D168" s="1583"/>
      <c r="E168" s="147"/>
      <c r="F168" s="1577"/>
      <c r="G168" s="1578"/>
      <c r="H168" s="2620"/>
    </row>
    <row r="169" spans="1:8" s="10" customFormat="1">
      <c r="A169" s="433"/>
      <c r="B169" s="1271"/>
      <c r="C169" s="147"/>
      <c r="D169" s="1583"/>
      <c r="E169" s="147"/>
      <c r="F169" s="1577"/>
      <c r="G169" s="1578"/>
      <c r="H169" s="2620"/>
    </row>
    <row r="170" spans="1:8" s="10" customFormat="1">
      <c r="A170" s="433"/>
      <c r="B170" s="1271"/>
      <c r="C170" s="147"/>
      <c r="D170" s="1583"/>
      <c r="E170" s="147"/>
      <c r="F170" s="1577"/>
      <c r="G170" s="1578"/>
      <c r="H170" s="2620"/>
    </row>
    <row r="171" spans="1:8" s="10" customFormat="1">
      <c r="A171" s="433"/>
      <c r="B171" s="1271"/>
      <c r="C171" s="147"/>
      <c r="D171" s="1583"/>
      <c r="E171" s="147"/>
      <c r="F171" s="1577"/>
      <c r="G171" s="1578"/>
      <c r="H171" s="2620"/>
    </row>
    <row r="172" spans="1:8" s="10" customFormat="1">
      <c r="A172" s="433"/>
      <c r="B172" s="1271"/>
      <c r="C172" s="147"/>
      <c r="D172" s="1583"/>
      <c r="E172" s="147"/>
      <c r="F172" s="1577"/>
      <c r="G172" s="1578"/>
      <c r="H172" s="2620"/>
    </row>
    <row r="173" spans="1:8" s="10" customFormat="1">
      <c r="A173" s="433"/>
      <c r="B173" s="1271"/>
      <c r="C173" s="147"/>
      <c r="D173" s="1583"/>
      <c r="E173" s="147"/>
      <c r="F173" s="1577"/>
      <c r="G173" s="1578"/>
      <c r="H173" s="2620"/>
    </row>
    <row r="174" spans="1:8" s="10" customFormat="1">
      <c r="A174" s="433"/>
      <c r="B174" s="1271"/>
      <c r="C174" s="147"/>
      <c r="D174" s="1583"/>
      <c r="E174" s="147"/>
      <c r="F174" s="1577"/>
      <c r="G174" s="1578"/>
      <c r="H174" s="2620"/>
    </row>
    <row r="175" spans="1:8" s="10" customFormat="1">
      <c r="A175" s="433"/>
      <c r="B175" s="1271"/>
      <c r="C175" s="147"/>
      <c r="D175" s="1583"/>
      <c r="E175" s="147"/>
      <c r="F175" s="1577"/>
      <c r="G175" s="1578"/>
      <c r="H175" s="2620"/>
    </row>
    <row r="176" spans="1:8" s="10" customFormat="1">
      <c r="A176" s="433"/>
      <c r="B176" s="1271"/>
      <c r="C176" s="147"/>
      <c r="D176" s="1583"/>
      <c r="E176" s="147"/>
      <c r="F176" s="1577"/>
      <c r="G176" s="1578"/>
      <c r="H176" s="2620"/>
    </row>
    <row r="177" spans="1:8" s="10" customFormat="1">
      <c r="A177" s="433"/>
      <c r="B177" s="1271"/>
      <c r="C177" s="147"/>
      <c r="D177" s="1583"/>
      <c r="E177" s="147"/>
      <c r="F177" s="1577"/>
      <c r="G177" s="1578"/>
      <c r="H177" s="2620"/>
    </row>
    <row r="178" spans="1:8" s="10" customFormat="1">
      <c r="A178" s="433"/>
      <c r="B178" s="1271"/>
      <c r="C178" s="147"/>
      <c r="D178" s="1583"/>
      <c r="E178" s="147"/>
      <c r="F178" s="1577"/>
      <c r="G178" s="1578"/>
      <c r="H178" s="2620"/>
    </row>
    <row r="179" spans="1:8" s="10" customFormat="1">
      <c r="A179" s="433"/>
      <c r="B179" s="1271"/>
      <c r="C179" s="147"/>
      <c r="D179" s="1583"/>
      <c r="E179" s="147"/>
      <c r="F179" s="1577"/>
      <c r="G179" s="1578"/>
      <c r="H179" s="2620"/>
    </row>
    <row r="180" spans="1:8" s="10" customFormat="1">
      <c r="A180" s="433"/>
      <c r="B180" s="1271"/>
      <c r="C180" s="147"/>
      <c r="D180" s="1583"/>
      <c r="E180" s="147"/>
      <c r="F180" s="1577"/>
      <c r="G180" s="1578"/>
      <c r="H180" s="2620"/>
    </row>
    <row r="181" spans="1:8" s="10" customFormat="1">
      <c r="A181" s="433"/>
      <c r="B181" s="1271"/>
      <c r="C181" s="147"/>
      <c r="D181" s="1583"/>
      <c r="E181" s="147"/>
      <c r="F181" s="1577"/>
      <c r="G181" s="1578"/>
      <c r="H181" s="2620"/>
    </row>
    <row r="182" spans="1:8" s="10" customFormat="1">
      <c r="A182" s="433"/>
      <c r="B182" s="1271"/>
      <c r="C182" s="147"/>
      <c r="D182" s="1583"/>
      <c r="E182" s="147"/>
      <c r="F182" s="1577"/>
      <c r="G182" s="1578"/>
      <c r="H182" s="2620"/>
    </row>
    <row r="183" spans="1:8" s="10" customFormat="1">
      <c r="A183" s="433"/>
      <c r="B183" s="1271"/>
      <c r="C183" s="147"/>
      <c r="D183" s="1583"/>
      <c r="E183" s="147"/>
      <c r="F183" s="1577"/>
      <c r="G183" s="1578"/>
      <c r="H183" s="2620"/>
    </row>
    <row r="184" spans="1:8" s="10" customFormat="1">
      <c r="A184" s="433"/>
      <c r="B184" s="1271"/>
      <c r="C184" s="147"/>
      <c r="D184" s="1583"/>
      <c r="E184" s="147"/>
      <c r="F184" s="1577"/>
      <c r="G184" s="1578"/>
      <c r="H184" s="2620"/>
    </row>
    <row r="185" spans="1:8" s="10" customFormat="1">
      <c r="A185" s="433"/>
      <c r="B185" s="1271"/>
      <c r="C185" s="147"/>
      <c r="D185" s="1583"/>
      <c r="E185" s="147"/>
      <c r="F185" s="1577"/>
      <c r="G185" s="1578"/>
      <c r="H185" s="2620"/>
    </row>
    <row r="186" spans="1:8" s="10" customFormat="1">
      <c r="A186" s="433"/>
      <c r="B186" s="1271"/>
      <c r="C186" s="147"/>
      <c r="D186" s="1583"/>
      <c r="E186" s="147"/>
      <c r="F186" s="1577"/>
      <c r="G186" s="1578"/>
      <c r="H186" s="2620"/>
    </row>
    <row r="187" spans="1:8" s="10" customFormat="1">
      <c r="A187" s="433"/>
      <c r="B187" s="1271"/>
      <c r="C187" s="147"/>
      <c r="D187" s="1583"/>
      <c r="E187" s="147"/>
      <c r="F187" s="1577"/>
      <c r="G187" s="1578"/>
      <c r="H187" s="2620"/>
    </row>
    <row r="188" spans="1:8" s="10" customFormat="1">
      <c r="A188" s="433"/>
      <c r="B188" s="1271"/>
      <c r="C188" s="147"/>
      <c r="D188" s="1583"/>
      <c r="E188" s="147"/>
      <c r="F188" s="1577"/>
      <c r="G188" s="1578"/>
      <c r="H188" s="2620"/>
    </row>
    <row r="189" spans="1:8" s="10" customFormat="1">
      <c r="A189" s="433"/>
      <c r="B189" s="1271"/>
      <c r="C189" s="147"/>
      <c r="D189" s="1583"/>
      <c r="E189" s="147"/>
      <c r="F189" s="1577"/>
      <c r="G189" s="1578"/>
      <c r="H189" s="2620"/>
    </row>
    <row r="190" spans="1:8" s="10" customFormat="1">
      <c r="A190" s="433"/>
      <c r="B190" s="1271"/>
      <c r="C190" s="147"/>
      <c r="D190" s="1583"/>
      <c r="E190" s="147"/>
      <c r="F190" s="1577"/>
      <c r="G190" s="1578"/>
      <c r="H190" s="2620"/>
    </row>
    <row r="191" spans="1:8" s="10" customFormat="1">
      <c r="A191" s="433"/>
      <c r="B191" s="1271"/>
      <c r="C191" s="147"/>
      <c r="D191" s="1583"/>
      <c r="E191" s="147"/>
      <c r="F191" s="1577"/>
      <c r="G191" s="1578"/>
      <c r="H191" s="2620"/>
    </row>
    <row r="192" spans="1:8" s="10" customFormat="1">
      <c r="A192" s="433"/>
      <c r="B192" s="1271"/>
      <c r="C192" s="147"/>
      <c r="D192" s="1583"/>
      <c r="E192" s="147"/>
      <c r="F192" s="1577"/>
      <c r="G192" s="1578"/>
      <c r="H192" s="2620"/>
    </row>
    <row r="193" spans="1:8" s="10" customFormat="1">
      <c r="A193" s="433"/>
      <c r="B193" s="1271"/>
      <c r="C193" s="147"/>
      <c r="D193" s="1583"/>
      <c r="E193" s="147"/>
      <c r="F193" s="1577"/>
      <c r="G193" s="1578"/>
      <c r="H193" s="2620"/>
    </row>
    <row r="194" spans="1:8" s="10" customFormat="1">
      <c r="A194" s="433"/>
      <c r="B194" s="1271"/>
      <c r="C194" s="147"/>
      <c r="D194" s="1583"/>
      <c r="E194" s="147"/>
      <c r="F194" s="1577"/>
      <c r="G194" s="1578"/>
      <c r="H194" s="2620"/>
    </row>
    <row r="195" spans="1:8" s="10" customFormat="1">
      <c r="A195" s="433"/>
      <c r="B195" s="1271"/>
      <c r="C195" s="147"/>
      <c r="D195" s="1583"/>
      <c r="E195" s="147"/>
      <c r="F195" s="1577"/>
      <c r="G195" s="1578"/>
      <c r="H195" s="2620"/>
    </row>
    <row r="196" spans="1:8" s="10" customFormat="1">
      <c r="A196" s="433"/>
      <c r="B196" s="1271"/>
      <c r="C196" s="147"/>
      <c r="D196" s="1583"/>
      <c r="E196" s="147"/>
      <c r="F196" s="1577"/>
      <c r="G196" s="1578"/>
      <c r="H196" s="2620"/>
    </row>
    <row r="197" spans="1:8" s="10" customFormat="1">
      <c r="A197" s="433"/>
      <c r="B197" s="1271"/>
      <c r="C197" s="147"/>
      <c r="D197" s="1583"/>
      <c r="E197" s="147"/>
      <c r="F197" s="1577"/>
      <c r="G197" s="1578"/>
      <c r="H197" s="2620"/>
    </row>
    <row r="198" spans="1:8" s="10" customFormat="1">
      <c r="A198" s="433"/>
      <c r="B198" s="1271"/>
      <c r="C198" s="147"/>
      <c r="D198" s="1583"/>
      <c r="E198" s="147"/>
      <c r="F198" s="1577"/>
      <c r="G198" s="1578"/>
      <c r="H198" s="2620"/>
    </row>
    <row r="199" spans="1:8" s="10" customFormat="1">
      <c r="A199" s="433"/>
      <c r="B199" s="1271"/>
      <c r="C199" s="147"/>
      <c r="D199" s="1583"/>
      <c r="E199" s="147"/>
      <c r="F199" s="1577"/>
      <c r="G199" s="1578"/>
      <c r="H199" s="2620"/>
    </row>
    <row r="200" spans="1:8">
      <c r="A200" s="17"/>
      <c r="B200" s="1271"/>
      <c r="C200" s="147"/>
      <c r="D200" s="1583"/>
      <c r="E200" s="147"/>
      <c r="F200" s="1577"/>
      <c r="G200" s="1578"/>
      <c r="H200" s="2620"/>
    </row>
    <row r="201" spans="1:8">
      <c r="A201" s="17"/>
      <c r="B201" s="1271"/>
      <c r="C201" s="147"/>
      <c r="D201" s="1583"/>
      <c r="E201" s="147"/>
      <c r="F201" s="1577"/>
      <c r="G201" s="1578"/>
      <c r="H201" s="2620"/>
    </row>
    <row r="202" spans="1:8">
      <c r="A202" s="17"/>
      <c r="B202" s="1271"/>
      <c r="C202" s="147"/>
      <c r="D202" s="1583"/>
      <c r="E202" s="147"/>
      <c r="F202" s="1577"/>
      <c r="G202" s="1578"/>
      <c r="H202" s="2620"/>
    </row>
    <row r="203" spans="1:8">
      <c r="A203" s="17"/>
      <c r="B203" s="1271"/>
      <c r="C203" s="147"/>
      <c r="D203" s="1583"/>
      <c r="E203" s="147"/>
      <c r="F203" s="1577"/>
      <c r="G203" s="1578"/>
      <c r="H203" s="2620"/>
    </row>
    <row r="204" spans="1:8">
      <c r="A204" s="17"/>
      <c r="B204" s="1271"/>
      <c r="C204" s="147"/>
      <c r="D204" s="1583"/>
      <c r="E204" s="147"/>
      <c r="F204" s="1577"/>
      <c r="G204" s="1578"/>
      <c r="H204" s="2620"/>
    </row>
    <row r="205" spans="1:8">
      <c r="A205" s="17"/>
      <c r="B205" s="1271"/>
      <c r="C205" s="147"/>
      <c r="D205" s="1583"/>
      <c r="E205" s="147"/>
      <c r="F205" s="1577"/>
      <c r="G205" s="1578"/>
      <c r="H205" s="2620"/>
    </row>
    <row r="206" spans="1:8">
      <c r="A206" s="17"/>
      <c r="B206" s="1271"/>
      <c r="C206" s="147"/>
      <c r="D206" s="1583"/>
      <c r="E206" s="147"/>
      <c r="F206" s="1577"/>
      <c r="G206" s="1578"/>
      <c r="H206" s="2620"/>
    </row>
    <row r="207" spans="1:8">
      <c r="A207" s="17"/>
      <c r="B207" s="1271"/>
      <c r="C207" s="147"/>
      <c r="D207" s="1583"/>
      <c r="E207" s="147"/>
      <c r="F207" s="1577"/>
      <c r="G207" s="1578"/>
      <c r="H207" s="2620"/>
    </row>
    <row r="208" spans="1:8">
      <c r="A208" s="17"/>
      <c r="B208" s="1271"/>
      <c r="C208" s="147"/>
      <c r="D208" s="1583"/>
      <c r="E208" s="147"/>
      <c r="F208" s="1577"/>
      <c r="G208" s="1578"/>
      <c r="H208" s="2620"/>
    </row>
    <row r="209" spans="1:8">
      <c r="A209" s="17"/>
      <c r="B209" s="1271"/>
      <c r="C209" s="147"/>
      <c r="D209" s="1583"/>
      <c r="E209" s="147"/>
      <c r="F209" s="1577"/>
      <c r="G209" s="1578"/>
      <c r="H209" s="2620"/>
    </row>
    <row r="210" spans="1:8">
      <c r="A210" s="17"/>
      <c r="B210" s="2601"/>
      <c r="C210" s="1981"/>
      <c r="D210" s="1983"/>
      <c r="E210" s="2626"/>
      <c r="F210" s="2040"/>
      <c r="G210" s="2602"/>
      <c r="H210" s="2620"/>
    </row>
    <row r="211" spans="1:8">
      <c r="A211" s="1754"/>
      <c r="B211" s="428"/>
      <c r="C211" s="428"/>
      <c r="D211" s="563"/>
      <c r="E211" s="428"/>
      <c r="F211" s="432"/>
      <c r="G211" s="1469"/>
      <c r="H211" s="2655"/>
    </row>
    <row r="212" spans="1:8">
      <c r="A212" s="2380"/>
      <c r="B212" s="316"/>
      <c r="C212" s="316"/>
      <c r="D212" s="458" t="s">
        <v>1976</v>
      </c>
      <c r="E212" s="316"/>
      <c r="F212" s="492"/>
      <c r="G212" s="1470"/>
      <c r="H212" s="2656">
        <f>SUM(H132:H210)</f>
        <v>500000</v>
      </c>
    </row>
  </sheetData>
  <sheetProtection algorithmName="SHA-512" hashValue="oliYmFqrsUbPOfGeNdUUaFyuzRarGRxO+sdEOo9CY7B78qtRHwtOu2yrGIL9zzDWTQQ9QQNXItVq+bx3nt5wGQ==" saltValue="JnIxVgxgvj5qjm6Fgk7yQA==" spinCount="100000" sheet="1" objects="1" scenarios="1"/>
  <mergeCells count="1">
    <mergeCell ref="A1:H1"/>
  </mergeCells>
  <phoneticPr fontId="33" type="noConversion"/>
  <pageMargins left="0.59055118110236227" right="0.59055118110236227" top="1.1023622047244095" bottom="0.78740157480314965" header="0.27559055118110237" footer="0.27559055118110237"/>
  <pageSetup paperSize="9" scale="64" firstPageNumber="103" fitToHeight="0" orientation="portrait" useFirstPageNumber="1" r:id="rId1"/>
  <headerFooter alignWithMargins="0">
    <oddHeader>&amp;L&amp;G&amp;CContract JW 14425
Bushkoppie Wastewater Treatment Works:
Infrastructure Renewal Plan
Volume 1 
C 2.2 Bill of Quantities&amp;R&amp;G</oddHeader>
    <oddFooter>&amp;C&amp;12
&amp;G
C.&amp;P</oddFooter>
  </headerFooter>
  <rowBreaks count="2" manualBreakCount="2">
    <brk id="64" max="16383" man="1"/>
    <brk id="131" max="7" man="1"/>
  </rowBreaks>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FCDED-B0E5-4200-93EC-492F1151E6CA}">
  <sheetPr codeName="Sheet17">
    <pageSetUpPr fitToPage="1"/>
  </sheetPr>
  <dimension ref="A1:H230"/>
  <sheetViews>
    <sheetView view="pageBreakPreview" zoomScaleNormal="100" zoomScaleSheetLayoutView="100" workbookViewId="0">
      <selection activeCell="L18" sqref="L18"/>
    </sheetView>
  </sheetViews>
  <sheetFormatPr defaultColWidth="6.109375" defaultRowHeight="13.2"/>
  <cols>
    <col min="1" max="1" width="9.109375" style="335" customWidth="1"/>
    <col min="2" max="2" width="8.88671875" style="335" customWidth="1"/>
    <col min="3" max="3" width="9.88671875" style="32" customWidth="1"/>
    <col min="4" max="4" width="58.88671875" style="32" customWidth="1"/>
    <col min="5" max="5" width="9.6640625" style="32" customWidth="1"/>
    <col min="6" max="6" width="10.88671875" style="337" customWidth="1"/>
    <col min="7" max="7" width="14.88671875" style="435" customWidth="1"/>
    <col min="8" max="8" width="20.88671875" style="435" customWidth="1"/>
    <col min="9" max="11" width="6.109375" style="32" customWidth="1"/>
    <col min="12" max="12" width="8" style="32" customWidth="1"/>
    <col min="13" max="16384" width="6.109375" style="32"/>
  </cols>
  <sheetData>
    <row r="1" spans="1:8" s="514" customFormat="1" ht="15">
      <c r="A1" s="3035" t="s">
        <v>1977</v>
      </c>
      <c r="B1" s="3035"/>
      <c r="C1" s="3035"/>
      <c r="D1" s="3035"/>
      <c r="E1" s="3035"/>
      <c r="F1" s="3035"/>
      <c r="G1" s="3035"/>
      <c r="H1" s="3035"/>
    </row>
    <row r="2" spans="1:8" s="335" customFormat="1" ht="25.5" customHeight="1">
      <c r="A2" s="488" t="s">
        <v>541</v>
      </c>
      <c r="B2" s="452" t="s">
        <v>217</v>
      </c>
      <c r="C2" s="453" t="s">
        <v>218</v>
      </c>
      <c r="D2" s="417" t="s">
        <v>219</v>
      </c>
      <c r="E2" s="414" t="s">
        <v>220</v>
      </c>
      <c r="F2" s="415" t="s">
        <v>221</v>
      </c>
      <c r="G2" s="1644" t="s">
        <v>222</v>
      </c>
      <c r="H2" s="525" t="s">
        <v>223</v>
      </c>
    </row>
    <row r="3" spans="1:8">
      <c r="A3" s="1791"/>
      <c r="B3" s="1667"/>
      <c r="C3" s="1667"/>
      <c r="D3" s="1668"/>
      <c r="E3" s="1669"/>
      <c r="F3" s="1816"/>
      <c r="G3" s="1861"/>
      <c r="H3" s="2657"/>
    </row>
    <row r="4" spans="1:8" s="513" customFormat="1" ht="13.8">
      <c r="A4" s="2577">
        <v>18</v>
      </c>
      <c r="B4" s="2578"/>
      <c r="C4" s="2579" t="s">
        <v>1978</v>
      </c>
      <c r="D4" s="2594" t="s">
        <v>1979</v>
      </c>
      <c r="E4" s="2616"/>
      <c r="F4" s="2581"/>
      <c r="G4" s="2643"/>
      <c r="H4" s="2644"/>
    </row>
    <row r="5" spans="1:8" s="10" customFormat="1">
      <c r="A5" s="1574"/>
      <c r="B5" s="1271"/>
      <c r="C5" s="1575"/>
      <c r="D5" s="2648"/>
      <c r="E5" s="2618"/>
      <c r="F5" s="1577"/>
      <c r="G5" s="1645"/>
      <c r="H5" s="2658"/>
    </row>
    <row r="6" spans="1:8" s="10" customFormat="1" ht="26.4">
      <c r="A6" s="1574"/>
      <c r="B6" s="1271"/>
      <c r="C6" s="1575"/>
      <c r="D6" s="2647" t="s">
        <v>1697</v>
      </c>
      <c r="E6" s="2618"/>
      <c r="F6" s="1577"/>
      <c r="G6" s="1645"/>
      <c r="H6" s="2658"/>
    </row>
    <row r="7" spans="1:8" s="10" customFormat="1">
      <c r="A7" s="1574"/>
      <c r="B7" s="1271"/>
      <c r="C7" s="1575"/>
      <c r="D7" s="2648"/>
      <c r="E7" s="2618"/>
      <c r="F7" s="1577"/>
      <c r="G7" s="1645"/>
      <c r="H7" s="2658"/>
    </row>
    <row r="8" spans="1:8" s="10" customFormat="1" ht="26.4">
      <c r="A8" s="2577">
        <f>$A$4</f>
        <v>18</v>
      </c>
      <c r="B8" s="1888">
        <v>1</v>
      </c>
      <c r="C8" s="1575"/>
      <c r="D8" s="2647" t="s">
        <v>1034</v>
      </c>
      <c r="E8" s="2618"/>
      <c r="F8" s="1577"/>
      <c r="G8" s="1645"/>
      <c r="H8" s="2658"/>
    </row>
    <row r="9" spans="1:8" s="10" customFormat="1">
      <c r="A9" s="1574"/>
      <c r="B9" s="1271"/>
      <c r="C9" s="1575"/>
      <c r="D9" s="2648"/>
      <c r="E9" s="2618"/>
      <c r="F9" s="1577"/>
      <c r="G9" s="1645"/>
      <c r="H9" s="2658"/>
    </row>
    <row r="10" spans="1:8" s="10" customFormat="1">
      <c r="A10" s="1574">
        <f>$A$4</f>
        <v>18</v>
      </c>
      <c r="B10" s="1271">
        <v>1.1000000000000001</v>
      </c>
      <c r="C10" s="1575"/>
      <c r="D10" s="1584" t="s">
        <v>1980</v>
      </c>
      <c r="E10" s="2618" t="s">
        <v>273</v>
      </c>
      <c r="F10" s="1577">
        <v>2</v>
      </c>
      <c r="G10" s="1645"/>
      <c r="H10" s="1501">
        <f t="shared" ref="H10:H73" si="0">IF(E10="","",ROUND(F10*G10,2))</f>
        <v>0</v>
      </c>
    </row>
    <row r="11" spans="1:8" s="10" customFormat="1">
      <c r="A11" s="1574"/>
      <c r="B11" s="1271"/>
      <c r="C11" s="1575"/>
      <c r="D11" s="1584"/>
      <c r="E11" s="2618"/>
      <c r="F11" s="1577"/>
      <c r="G11" s="1645"/>
      <c r="H11" s="1501" t="str">
        <f t="shared" si="0"/>
        <v/>
      </c>
    </row>
    <row r="12" spans="1:8" s="10" customFormat="1">
      <c r="A12" s="1574">
        <f>$A$4</f>
        <v>18</v>
      </c>
      <c r="B12" s="1271">
        <v>1.2</v>
      </c>
      <c r="C12" s="1575"/>
      <c r="D12" s="1584" t="s">
        <v>1981</v>
      </c>
      <c r="E12" s="2618" t="s">
        <v>954</v>
      </c>
      <c r="F12" s="1577">
        <v>2</v>
      </c>
      <c r="G12" s="1645"/>
      <c r="H12" s="1501">
        <f t="shared" si="0"/>
        <v>0</v>
      </c>
    </row>
    <row r="13" spans="1:8" s="10" customFormat="1">
      <c r="A13" s="1574"/>
      <c r="B13" s="1271"/>
      <c r="C13" s="1575"/>
      <c r="D13" s="1584"/>
      <c r="E13" s="2618"/>
      <c r="F13" s="1577"/>
      <c r="G13" s="1645"/>
      <c r="H13" s="1501" t="str">
        <f t="shared" si="0"/>
        <v/>
      </c>
    </row>
    <row r="14" spans="1:8" s="10" customFormat="1">
      <c r="A14" s="1574">
        <f>$A$4</f>
        <v>18</v>
      </c>
      <c r="B14" s="1271">
        <v>1.3</v>
      </c>
      <c r="C14" s="1575"/>
      <c r="D14" s="1584" t="s">
        <v>1982</v>
      </c>
      <c r="E14" s="2618" t="s">
        <v>954</v>
      </c>
      <c r="F14" s="1577">
        <v>7</v>
      </c>
      <c r="G14" s="1645"/>
      <c r="H14" s="1501">
        <f t="shared" si="0"/>
        <v>0</v>
      </c>
    </row>
    <row r="15" spans="1:8" s="10" customFormat="1">
      <c r="A15" s="1574"/>
      <c r="B15" s="1271"/>
      <c r="C15" s="1575"/>
      <c r="D15" s="1584"/>
      <c r="E15" s="2618"/>
      <c r="F15" s="1577"/>
      <c r="G15" s="1645"/>
      <c r="H15" s="1501" t="str">
        <f t="shared" si="0"/>
        <v/>
      </c>
    </row>
    <row r="16" spans="1:8" s="10" customFormat="1">
      <c r="A16" s="1574">
        <f>$A$4</f>
        <v>18</v>
      </c>
      <c r="B16" s="1271">
        <v>1.4</v>
      </c>
      <c r="C16" s="1575"/>
      <c r="D16" s="1584" t="s">
        <v>1983</v>
      </c>
      <c r="E16" s="2618" t="s">
        <v>954</v>
      </c>
      <c r="F16" s="1577">
        <v>4</v>
      </c>
      <c r="G16" s="1645"/>
      <c r="H16" s="1501">
        <f t="shared" si="0"/>
        <v>0</v>
      </c>
    </row>
    <row r="17" spans="1:8" s="10" customFormat="1">
      <c r="A17" s="1574"/>
      <c r="B17" s="1271"/>
      <c r="C17" s="1575"/>
      <c r="D17" s="1584"/>
      <c r="E17" s="2618"/>
      <c r="F17" s="1577"/>
      <c r="G17" s="1645"/>
      <c r="H17" s="1501" t="str">
        <f t="shared" si="0"/>
        <v/>
      </c>
    </row>
    <row r="18" spans="1:8" s="10" customFormat="1" ht="26.4">
      <c r="A18" s="2577">
        <f>$A$4</f>
        <v>18</v>
      </c>
      <c r="B18" s="1888">
        <v>2</v>
      </c>
      <c r="C18" s="1575"/>
      <c r="D18" s="2647" t="s">
        <v>1703</v>
      </c>
      <c r="E18" s="2618"/>
      <c r="F18" s="1577"/>
      <c r="G18" s="1645"/>
      <c r="H18" s="1501" t="str">
        <f t="shared" si="0"/>
        <v/>
      </c>
    </row>
    <row r="19" spans="1:8" s="10" customFormat="1">
      <c r="A19" s="1574"/>
      <c r="B19" s="1271"/>
      <c r="C19" s="1575"/>
      <c r="D19" s="1584"/>
      <c r="E19" s="2618"/>
      <c r="F19" s="1577"/>
      <c r="G19" s="1645"/>
      <c r="H19" s="1501" t="str">
        <f t="shared" si="0"/>
        <v/>
      </c>
    </row>
    <row r="20" spans="1:8" s="10" customFormat="1">
      <c r="A20" s="1574"/>
      <c r="B20" s="1271"/>
      <c r="C20" s="1575"/>
      <c r="D20" s="1584" t="s">
        <v>1984</v>
      </c>
      <c r="E20" s="2618"/>
      <c r="F20" s="1577"/>
      <c r="G20" s="1645"/>
      <c r="H20" s="1501" t="str">
        <f t="shared" si="0"/>
        <v/>
      </c>
    </row>
    <row r="21" spans="1:8" s="10" customFormat="1">
      <c r="A21" s="1574"/>
      <c r="B21" s="1271"/>
      <c r="C21" s="1575"/>
      <c r="D21" s="1584"/>
      <c r="E21" s="2618"/>
      <c r="F21" s="1577"/>
      <c r="G21" s="1645"/>
      <c r="H21" s="1501" t="str">
        <f t="shared" si="0"/>
        <v/>
      </c>
    </row>
    <row r="22" spans="1:8" s="10" customFormat="1">
      <c r="A22" s="1574">
        <f>$A$4</f>
        <v>18</v>
      </c>
      <c r="B22" s="1271">
        <v>2.1</v>
      </c>
      <c r="C22" s="1575"/>
      <c r="D22" s="1584" t="s">
        <v>1980</v>
      </c>
      <c r="E22" s="2618" t="s">
        <v>393</v>
      </c>
      <c r="F22" s="1577">
        <v>1</v>
      </c>
      <c r="G22" s="1645"/>
      <c r="H22" s="1501">
        <f t="shared" si="0"/>
        <v>0</v>
      </c>
    </row>
    <row r="23" spans="1:8" s="10" customFormat="1">
      <c r="A23" s="1574"/>
      <c r="B23" s="1271"/>
      <c r="C23" s="1575"/>
      <c r="D23" s="1584"/>
      <c r="E23" s="2618"/>
      <c r="F23" s="1577"/>
      <c r="G23" s="1645"/>
      <c r="H23" s="1501" t="str">
        <f t="shared" si="0"/>
        <v/>
      </c>
    </row>
    <row r="24" spans="1:8" s="10" customFormat="1">
      <c r="A24" s="1574">
        <f>$A$4</f>
        <v>18</v>
      </c>
      <c r="B24" s="1271">
        <v>2.2000000000000002</v>
      </c>
      <c r="C24" s="1575"/>
      <c r="D24" s="1584" t="s">
        <v>1981</v>
      </c>
      <c r="E24" s="2618" t="s">
        <v>393</v>
      </c>
      <c r="F24" s="1577">
        <v>1</v>
      </c>
      <c r="G24" s="1645"/>
      <c r="H24" s="1501">
        <f t="shared" si="0"/>
        <v>0</v>
      </c>
    </row>
    <row r="25" spans="1:8" s="10" customFormat="1">
      <c r="A25" s="1574"/>
      <c r="B25" s="1271"/>
      <c r="C25" s="1575"/>
      <c r="D25" s="1584"/>
      <c r="E25" s="2618"/>
      <c r="F25" s="1577"/>
      <c r="G25" s="1645"/>
      <c r="H25" s="1501" t="str">
        <f t="shared" si="0"/>
        <v/>
      </c>
    </row>
    <row r="26" spans="1:8" s="10" customFormat="1">
      <c r="A26" s="1574">
        <f>$A$4</f>
        <v>18</v>
      </c>
      <c r="B26" s="1271">
        <v>2.2999999999999998</v>
      </c>
      <c r="C26" s="1575"/>
      <c r="D26" s="1584" t="s">
        <v>1982</v>
      </c>
      <c r="E26" s="2618" t="s">
        <v>393</v>
      </c>
      <c r="F26" s="1577">
        <v>1</v>
      </c>
      <c r="G26" s="1645"/>
      <c r="H26" s="1501">
        <f t="shared" si="0"/>
        <v>0</v>
      </c>
    </row>
    <row r="27" spans="1:8" s="10" customFormat="1">
      <c r="A27" s="1574"/>
      <c r="B27" s="1271"/>
      <c r="C27" s="1575"/>
      <c r="D27" s="1584"/>
      <c r="E27" s="2618"/>
      <c r="F27" s="1577"/>
      <c r="G27" s="1645"/>
      <c r="H27" s="1501" t="str">
        <f t="shared" si="0"/>
        <v/>
      </c>
    </row>
    <row r="28" spans="1:8" s="10" customFormat="1">
      <c r="A28" s="1574">
        <f>$A$4</f>
        <v>18</v>
      </c>
      <c r="B28" s="1271">
        <v>2.4</v>
      </c>
      <c r="C28" s="1575"/>
      <c r="D28" s="1584" t="s">
        <v>1983</v>
      </c>
      <c r="E28" s="2618" t="s">
        <v>393</v>
      </c>
      <c r="F28" s="1577">
        <v>1</v>
      </c>
      <c r="G28" s="1645"/>
      <c r="H28" s="1501">
        <f t="shared" si="0"/>
        <v>0</v>
      </c>
    </row>
    <row r="29" spans="1:8" s="10" customFormat="1">
      <c r="A29" s="1574"/>
      <c r="B29" s="1271"/>
      <c r="C29" s="1575"/>
      <c r="D29" s="1584"/>
      <c r="E29" s="2618"/>
      <c r="F29" s="1577"/>
      <c r="G29" s="1645"/>
      <c r="H29" s="1501" t="str">
        <f t="shared" si="0"/>
        <v/>
      </c>
    </row>
    <row r="30" spans="1:8" s="10" customFormat="1">
      <c r="A30" s="2577">
        <f>$A$4</f>
        <v>18</v>
      </c>
      <c r="B30" s="1888">
        <v>3</v>
      </c>
      <c r="C30" s="1575"/>
      <c r="D30" s="2647" t="s">
        <v>1039</v>
      </c>
      <c r="E30" s="2618"/>
      <c r="F30" s="1577"/>
      <c r="G30" s="1645"/>
      <c r="H30" s="1501" t="str">
        <f t="shared" si="0"/>
        <v/>
      </c>
    </row>
    <row r="31" spans="1:8" s="10" customFormat="1">
      <c r="A31" s="1574"/>
      <c r="B31" s="1271"/>
      <c r="C31" s="1575"/>
      <c r="D31" s="1584"/>
      <c r="E31" s="2618"/>
      <c r="F31" s="1577"/>
      <c r="G31" s="1645"/>
      <c r="H31" s="1501" t="str">
        <f t="shared" si="0"/>
        <v/>
      </c>
    </row>
    <row r="32" spans="1:8" s="10" customFormat="1">
      <c r="A32" s="1574">
        <f>$A$4</f>
        <v>18</v>
      </c>
      <c r="B32" s="1271">
        <v>3.1</v>
      </c>
      <c r="C32" s="1575"/>
      <c r="D32" s="1584" t="s">
        <v>1980</v>
      </c>
      <c r="E32" s="2618" t="s">
        <v>273</v>
      </c>
      <c r="F32" s="1577">
        <v>2</v>
      </c>
      <c r="G32" s="1645"/>
      <c r="H32" s="1501">
        <f t="shared" si="0"/>
        <v>0</v>
      </c>
    </row>
    <row r="33" spans="1:8" s="10" customFormat="1">
      <c r="A33" s="1574"/>
      <c r="B33" s="1271"/>
      <c r="C33" s="1575"/>
      <c r="D33" s="1584"/>
      <c r="E33" s="2618"/>
      <c r="F33" s="1577"/>
      <c r="G33" s="1645"/>
      <c r="H33" s="1501" t="str">
        <f t="shared" si="0"/>
        <v/>
      </c>
    </row>
    <row r="34" spans="1:8" s="10" customFormat="1">
      <c r="A34" s="1574">
        <f>$A$4</f>
        <v>18</v>
      </c>
      <c r="B34" s="1271">
        <v>3.2</v>
      </c>
      <c r="C34" s="1575"/>
      <c r="D34" s="1584" t="s">
        <v>1981</v>
      </c>
      <c r="E34" s="2618" t="s">
        <v>954</v>
      </c>
      <c r="F34" s="1577">
        <v>2</v>
      </c>
      <c r="G34" s="1645"/>
      <c r="H34" s="1501">
        <f t="shared" si="0"/>
        <v>0</v>
      </c>
    </row>
    <row r="35" spans="1:8" s="10" customFormat="1">
      <c r="A35" s="1574"/>
      <c r="B35" s="1271"/>
      <c r="C35" s="1575"/>
      <c r="D35" s="1584"/>
      <c r="E35" s="2618"/>
      <c r="F35" s="1577"/>
      <c r="G35" s="1645"/>
      <c r="H35" s="1501" t="str">
        <f t="shared" si="0"/>
        <v/>
      </c>
    </row>
    <row r="36" spans="1:8" s="10" customFormat="1">
      <c r="A36" s="1574">
        <f>$A$4</f>
        <v>18</v>
      </c>
      <c r="B36" s="1271">
        <v>3.3</v>
      </c>
      <c r="C36" s="1575"/>
      <c r="D36" s="1584" t="s">
        <v>1982</v>
      </c>
      <c r="E36" s="2618" t="s">
        <v>954</v>
      </c>
      <c r="F36" s="1577">
        <v>7</v>
      </c>
      <c r="G36" s="1645"/>
      <c r="H36" s="1501">
        <f t="shared" si="0"/>
        <v>0</v>
      </c>
    </row>
    <row r="37" spans="1:8" s="10" customFormat="1">
      <c r="A37" s="1574"/>
      <c r="B37" s="1271"/>
      <c r="C37" s="1575"/>
      <c r="D37" s="1584"/>
      <c r="E37" s="2618"/>
      <c r="F37" s="1577"/>
      <c r="G37" s="1645"/>
      <c r="H37" s="1501" t="str">
        <f t="shared" si="0"/>
        <v/>
      </c>
    </row>
    <row r="38" spans="1:8" s="10" customFormat="1">
      <c r="A38" s="1574">
        <f>$A$4</f>
        <v>18</v>
      </c>
      <c r="B38" s="1271">
        <v>3.4</v>
      </c>
      <c r="C38" s="1575"/>
      <c r="D38" s="1584" t="s">
        <v>1985</v>
      </c>
      <c r="E38" s="2618" t="s">
        <v>252</v>
      </c>
      <c r="F38" s="1577">
        <v>1</v>
      </c>
      <c r="G38" s="2654">
        <v>200000</v>
      </c>
      <c r="H38" s="1501">
        <f t="shared" si="0"/>
        <v>200000</v>
      </c>
    </row>
    <row r="39" spans="1:8" s="10" customFormat="1">
      <c r="A39" s="1574"/>
      <c r="B39" s="1271"/>
      <c r="C39" s="1575"/>
      <c r="D39" s="1584"/>
      <c r="E39" s="2618"/>
      <c r="F39" s="1577"/>
      <c r="G39" s="1645"/>
      <c r="H39" s="1501" t="str">
        <f t="shared" si="0"/>
        <v/>
      </c>
    </row>
    <row r="40" spans="1:8" s="10" customFormat="1">
      <c r="A40" s="1574">
        <f>$A$4</f>
        <v>18</v>
      </c>
      <c r="B40" s="1271">
        <v>3.5</v>
      </c>
      <c r="C40" s="1575"/>
      <c r="D40" s="694" t="s">
        <v>567</v>
      </c>
      <c r="E40" s="1818" t="s">
        <v>252</v>
      </c>
      <c r="F40" s="1577">
        <v>1</v>
      </c>
      <c r="G40" s="2654">
        <v>500000</v>
      </c>
      <c r="H40" s="1501">
        <f t="shared" si="0"/>
        <v>500000</v>
      </c>
    </row>
    <row r="41" spans="1:8" s="10" customFormat="1">
      <c r="A41" s="1574"/>
      <c r="B41" s="1271"/>
      <c r="C41" s="1575"/>
      <c r="D41" s="1584"/>
      <c r="E41" s="2618"/>
      <c r="F41" s="1577"/>
      <c r="G41" s="1645"/>
      <c r="H41" s="1501" t="str">
        <f t="shared" si="0"/>
        <v/>
      </c>
    </row>
    <row r="42" spans="1:8" s="10" customFormat="1" ht="26.4">
      <c r="A42" s="2577">
        <f>$A$4</f>
        <v>18</v>
      </c>
      <c r="B42" s="1888">
        <v>4</v>
      </c>
      <c r="C42" s="1575"/>
      <c r="D42" s="2647" t="s">
        <v>1040</v>
      </c>
      <c r="E42" s="2618"/>
      <c r="F42" s="1577"/>
      <c r="G42" s="1645"/>
      <c r="H42" s="1501" t="str">
        <f t="shared" si="0"/>
        <v/>
      </c>
    </row>
    <row r="43" spans="1:8" s="10" customFormat="1">
      <c r="A43" s="1574"/>
      <c r="B43" s="1271"/>
      <c r="C43" s="1575"/>
      <c r="D43" s="1584"/>
      <c r="E43" s="2618"/>
      <c r="F43" s="1577"/>
      <c r="G43" s="1645"/>
      <c r="H43" s="1501" t="str">
        <f t="shared" si="0"/>
        <v/>
      </c>
    </row>
    <row r="44" spans="1:8" s="10" customFormat="1">
      <c r="A44" s="1574">
        <f>$A$4</f>
        <v>18</v>
      </c>
      <c r="B44" s="1271">
        <v>4.0999999999999996</v>
      </c>
      <c r="C44" s="1575"/>
      <c r="D44" s="1584" t="s">
        <v>1980</v>
      </c>
      <c r="E44" s="2618" t="s">
        <v>273</v>
      </c>
      <c r="F44" s="1577">
        <v>2</v>
      </c>
      <c r="G44" s="1645"/>
      <c r="H44" s="1501">
        <f t="shared" si="0"/>
        <v>0</v>
      </c>
    </row>
    <row r="45" spans="1:8" s="10" customFormat="1">
      <c r="A45" s="1574"/>
      <c r="B45" s="1271"/>
      <c r="C45" s="1575"/>
      <c r="D45" s="1584"/>
      <c r="E45" s="2618"/>
      <c r="F45" s="1577"/>
      <c r="G45" s="1645"/>
      <c r="H45" s="1501" t="str">
        <f t="shared" si="0"/>
        <v/>
      </c>
    </row>
    <row r="46" spans="1:8" s="10" customFormat="1">
      <c r="A46" s="1574">
        <f>$A$4</f>
        <v>18</v>
      </c>
      <c r="B46" s="1271">
        <v>4.2</v>
      </c>
      <c r="C46" s="1575"/>
      <c r="D46" s="1584" t="s">
        <v>1981</v>
      </c>
      <c r="E46" s="2618" t="s">
        <v>954</v>
      </c>
      <c r="F46" s="1577">
        <v>2</v>
      </c>
      <c r="G46" s="1645"/>
      <c r="H46" s="1501">
        <f t="shared" si="0"/>
        <v>0</v>
      </c>
    </row>
    <row r="47" spans="1:8" s="10" customFormat="1">
      <c r="A47" s="1574"/>
      <c r="B47" s="1271"/>
      <c r="C47" s="1575"/>
      <c r="D47" s="1584"/>
      <c r="E47" s="2618"/>
      <c r="F47" s="1577"/>
      <c r="G47" s="1645"/>
      <c r="H47" s="1501" t="str">
        <f t="shared" si="0"/>
        <v/>
      </c>
    </row>
    <row r="48" spans="1:8" s="10" customFormat="1">
      <c r="A48" s="1574">
        <f>$A$4</f>
        <v>18</v>
      </c>
      <c r="B48" s="1271">
        <v>4.3</v>
      </c>
      <c r="C48" s="1575"/>
      <c r="D48" s="1584" t="s">
        <v>1982</v>
      </c>
      <c r="E48" s="2618" t="s">
        <v>954</v>
      </c>
      <c r="F48" s="1577">
        <v>7</v>
      </c>
      <c r="G48" s="1645"/>
      <c r="H48" s="1501">
        <f t="shared" si="0"/>
        <v>0</v>
      </c>
    </row>
    <row r="49" spans="1:8" s="10" customFormat="1">
      <c r="A49" s="1574"/>
      <c r="B49" s="1271"/>
      <c r="C49" s="1575"/>
      <c r="D49" s="1584"/>
      <c r="E49" s="2618"/>
      <c r="F49" s="1577"/>
      <c r="G49" s="1645"/>
      <c r="H49" s="1501" t="str">
        <f t="shared" si="0"/>
        <v/>
      </c>
    </row>
    <row r="50" spans="1:8" s="10" customFormat="1">
      <c r="A50" s="1574">
        <f>$A$4</f>
        <v>18</v>
      </c>
      <c r="B50" s="1271">
        <v>4.4000000000000004</v>
      </c>
      <c r="C50" s="1575"/>
      <c r="D50" s="1584" t="s">
        <v>1985</v>
      </c>
      <c r="E50" s="2618" t="s">
        <v>954</v>
      </c>
      <c r="F50" s="1577">
        <v>4</v>
      </c>
      <c r="G50" s="1645"/>
      <c r="H50" s="1501">
        <f t="shared" si="0"/>
        <v>0</v>
      </c>
    </row>
    <row r="51" spans="1:8" s="10" customFormat="1">
      <c r="A51" s="1574"/>
      <c r="B51" s="1271"/>
      <c r="C51" s="1575"/>
      <c r="D51" s="1584"/>
      <c r="E51" s="2618"/>
      <c r="F51" s="1577"/>
      <c r="G51" s="1645"/>
      <c r="H51" s="1501" t="str">
        <f t="shared" si="0"/>
        <v/>
      </c>
    </row>
    <row r="52" spans="1:8" s="10" customFormat="1" ht="26.4">
      <c r="A52" s="2577">
        <f>$A$4</f>
        <v>18</v>
      </c>
      <c r="B52" s="1888">
        <v>5</v>
      </c>
      <c r="C52" s="1575"/>
      <c r="D52" s="2647" t="s">
        <v>1708</v>
      </c>
      <c r="E52" s="2618"/>
      <c r="F52" s="1577"/>
      <c r="G52" s="1645"/>
      <c r="H52" s="1501" t="str">
        <f t="shared" si="0"/>
        <v/>
      </c>
    </row>
    <row r="53" spans="1:8" s="10" customFormat="1">
      <c r="A53" s="1574"/>
      <c r="B53" s="1271"/>
      <c r="C53" s="1575"/>
      <c r="D53" s="1584"/>
      <c r="E53" s="2618"/>
      <c r="F53" s="1577"/>
      <c r="G53" s="1645"/>
      <c r="H53" s="1501" t="str">
        <f t="shared" si="0"/>
        <v/>
      </c>
    </row>
    <row r="54" spans="1:8" s="10" customFormat="1">
      <c r="A54" s="1574">
        <f>$A$4</f>
        <v>18</v>
      </c>
      <c r="B54" s="1271">
        <v>5.0999999999999996</v>
      </c>
      <c r="C54" s="1575"/>
      <c r="D54" s="1584" t="s">
        <v>1980</v>
      </c>
      <c r="E54" s="2618" t="s">
        <v>273</v>
      </c>
      <c r="F54" s="1577">
        <v>2</v>
      </c>
      <c r="G54" s="1645"/>
      <c r="H54" s="1501">
        <f t="shared" si="0"/>
        <v>0</v>
      </c>
    </row>
    <row r="55" spans="1:8" s="10" customFormat="1">
      <c r="A55" s="1574"/>
      <c r="B55" s="1271"/>
      <c r="C55" s="1575"/>
      <c r="D55" s="1584"/>
      <c r="E55" s="2618"/>
      <c r="F55" s="1577"/>
      <c r="G55" s="1645"/>
      <c r="H55" s="1501" t="str">
        <f t="shared" si="0"/>
        <v/>
      </c>
    </row>
    <row r="56" spans="1:8" s="10" customFormat="1">
      <c r="A56" s="1574">
        <f>$A$4</f>
        <v>18</v>
      </c>
      <c r="B56" s="1271">
        <v>5.2</v>
      </c>
      <c r="C56" s="1575"/>
      <c r="D56" s="1584" t="s">
        <v>1981</v>
      </c>
      <c r="E56" s="2618" t="s">
        <v>954</v>
      </c>
      <c r="F56" s="1577">
        <v>2</v>
      </c>
      <c r="G56" s="1645"/>
      <c r="H56" s="1501">
        <f t="shared" si="0"/>
        <v>0</v>
      </c>
    </row>
    <row r="57" spans="1:8" s="10" customFormat="1">
      <c r="A57" s="1574"/>
      <c r="B57" s="1271"/>
      <c r="C57" s="1575"/>
      <c r="D57" s="1584"/>
      <c r="E57" s="2618"/>
      <c r="F57" s="1577"/>
      <c r="G57" s="1645"/>
      <c r="H57" s="1501" t="str">
        <f t="shared" si="0"/>
        <v/>
      </c>
    </row>
    <row r="58" spans="1:8" s="10" customFormat="1">
      <c r="A58" s="1574">
        <f>$A$4</f>
        <v>18</v>
      </c>
      <c r="B58" s="1271">
        <v>5.3</v>
      </c>
      <c r="C58" s="1575"/>
      <c r="D58" s="1584" t="s">
        <v>1982</v>
      </c>
      <c r="E58" s="2618" t="s">
        <v>954</v>
      </c>
      <c r="F58" s="1577">
        <v>5</v>
      </c>
      <c r="G58" s="1645"/>
      <c r="H58" s="1501">
        <f t="shared" si="0"/>
        <v>0</v>
      </c>
    </row>
    <row r="59" spans="1:8" s="10" customFormat="1">
      <c r="A59" s="1574"/>
      <c r="B59" s="1271"/>
      <c r="C59" s="1575"/>
      <c r="D59" s="1584"/>
      <c r="E59" s="2618"/>
      <c r="F59" s="1577"/>
      <c r="G59" s="1645"/>
      <c r="H59" s="1501" t="str">
        <f t="shared" si="0"/>
        <v/>
      </c>
    </row>
    <row r="60" spans="1:8" s="10" customFormat="1">
      <c r="A60" s="1574">
        <f>$A$4</f>
        <v>18</v>
      </c>
      <c r="B60" s="1271">
        <v>5.4</v>
      </c>
      <c r="C60" s="1575"/>
      <c r="D60" s="1584" t="s">
        <v>1983</v>
      </c>
      <c r="E60" s="2618" t="s">
        <v>954</v>
      </c>
      <c r="F60" s="1577">
        <v>4</v>
      </c>
      <c r="G60" s="1645"/>
      <c r="H60" s="1501">
        <f t="shared" si="0"/>
        <v>0</v>
      </c>
    </row>
    <row r="61" spans="1:8" s="10" customFormat="1">
      <c r="A61" s="1574"/>
      <c r="B61" s="1271"/>
      <c r="C61" s="1575"/>
      <c r="D61" s="1584"/>
      <c r="E61" s="2618"/>
      <c r="F61" s="1577"/>
      <c r="G61" s="1645"/>
      <c r="H61" s="1501" t="str">
        <f t="shared" si="0"/>
        <v/>
      </c>
    </row>
    <row r="62" spans="1:8" s="10" customFormat="1" ht="15.75" customHeight="1">
      <c r="A62" s="1574"/>
      <c r="B62" s="1271"/>
      <c r="C62" s="1575"/>
      <c r="D62" s="2647" t="s">
        <v>1986</v>
      </c>
      <c r="E62" s="2618"/>
      <c r="F62" s="1577"/>
      <c r="G62" s="1645"/>
      <c r="H62" s="1501" t="str">
        <f t="shared" si="0"/>
        <v/>
      </c>
    </row>
    <row r="63" spans="1:8" s="10" customFormat="1">
      <c r="A63" s="1574"/>
      <c r="B63" s="1271"/>
      <c r="C63" s="1575"/>
      <c r="D63" s="1584"/>
      <c r="E63" s="2618"/>
      <c r="F63" s="1577"/>
      <c r="G63" s="1645"/>
      <c r="H63" s="1501" t="str">
        <f t="shared" si="0"/>
        <v/>
      </c>
    </row>
    <row r="64" spans="1:8" s="10" customFormat="1">
      <c r="A64" s="2577">
        <f>$A$4</f>
        <v>18</v>
      </c>
      <c r="B64" s="1888">
        <v>6</v>
      </c>
      <c r="C64" s="1575"/>
      <c r="D64" s="2647" t="s">
        <v>1987</v>
      </c>
      <c r="E64" s="2618"/>
      <c r="F64" s="1577"/>
      <c r="G64" s="1645"/>
      <c r="H64" s="1501" t="str">
        <f t="shared" si="0"/>
        <v/>
      </c>
    </row>
    <row r="65" spans="1:8" s="10" customFormat="1">
      <c r="A65" s="1574"/>
      <c r="B65" s="1271"/>
      <c r="C65" s="1575"/>
      <c r="D65" s="1584"/>
      <c r="E65" s="2618"/>
      <c r="F65" s="1577"/>
      <c r="G65" s="1645"/>
      <c r="H65" s="1501" t="str">
        <f t="shared" si="0"/>
        <v/>
      </c>
    </row>
    <row r="66" spans="1:8" s="10" customFormat="1">
      <c r="A66" s="1574">
        <f>$A$4</f>
        <v>18</v>
      </c>
      <c r="B66" s="1271">
        <v>6.1</v>
      </c>
      <c r="C66" s="1575"/>
      <c r="D66" s="1584" t="s">
        <v>1988</v>
      </c>
      <c r="E66" s="2618" t="s">
        <v>954</v>
      </c>
      <c r="F66" s="1577">
        <v>1</v>
      </c>
      <c r="G66" s="1645"/>
      <c r="H66" s="1501">
        <f t="shared" si="0"/>
        <v>0</v>
      </c>
    </row>
    <row r="67" spans="1:8" s="10" customFormat="1">
      <c r="A67" s="1574"/>
      <c r="B67" s="1271"/>
      <c r="C67" s="1575"/>
      <c r="D67" s="1584"/>
      <c r="E67" s="2618"/>
      <c r="F67" s="1577"/>
      <c r="G67" s="1645"/>
      <c r="H67" s="1501" t="str">
        <f t="shared" si="0"/>
        <v/>
      </c>
    </row>
    <row r="68" spans="1:8" s="10" customFormat="1">
      <c r="A68" s="1574">
        <f>$A$4</f>
        <v>18</v>
      </c>
      <c r="B68" s="1271">
        <v>6.2</v>
      </c>
      <c r="C68" s="1575"/>
      <c r="D68" s="1584" t="s">
        <v>1989</v>
      </c>
      <c r="E68" s="2618" t="s">
        <v>954</v>
      </c>
      <c r="F68" s="1577">
        <v>1</v>
      </c>
      <c r="G68" s="1645"/>
      <c r="H68" s="1501">
        <f t="shared" si="0"/>
        <v>0</v>
      </c>
    </row>
    <row r="69" spans="1:8" s="10" customFormat="1">
      <c r="A69" s="1574"/>
      <c r="B69" s="1271"/>
      <c r="C69" s="1575"/>
      <c r="D69" s="1584"/>
      <c r="E69" s="2618"/>
      <c r="F69" s="1577"/>
      <c r="G69" s="1645"/>
      <c r="H69" s="1501" t="str">
        <f t="shared" si="0"/>
        <v/>
      </c>
    </row>
    <row r="70" spans="1:8" s="10" customFormat="1">
      <c r="A70" s="2577">
        <f>$A$4</f>
        <v>18</v>
      </c>
      <c r="B70" s="1888">
        <v>7</v>
      </c>
      <c r="C70" s="1575"/>
      <c r="D70" s="2647" t="s">
        <v>1990</v>
      </c>
      <c r="E70" s="2618"/>
      <c r="F70" s="1577"/>
      <c r="G70" s="1645"/>
      <c r="H70" s="1501" t="str">
        <f t="shared" si="0"/>
        <v/>
      </c>
    </row>
    <row r="71" spans="1:8" s="10" customFormat="1">
      <c r="A71" s="1574"/>
      <c r="B71" s="1271"/>
      <c r="C71" s="1575"/>
      <c r="D71" s="1584"/>
      <c r="E71" s="2618"/>
      <c r="F71" s="1577"/>
      <c r="G71" s="1645"/>
      <c r="H71" s="1501" t="str">
        <f t="shared" si="0"/>
        <v/>
      </c>
    </row>
    <row r="72" spans="1:8" s="10" customFormat="1">
      <c r="A72" s="1574">
        <f>$A$4</f>
        <v>18</v>
      </c>
      <c r="B72" s="1271">
        <v>7.1</v>
      </c>
      <c r="C72" s="1575"/>
      <c r="D72" s="1584" t="s">
        <v>1988</v>
      </c>
      <c r="E72" s="2618" t="s">
        <v>954</v>
      </c>
      <c r="F72" s="1577">
        <v>1</v>
      </c>
      <c r="G72" s="1645"/>
      <c r="H72" s="1501">
        <f t="shared" si="0"/>
        <v>0</v>
      </c>
    </row>
    <row r="73" spans="1:8" s="10" customFormat="1">
      <c r="A73" s="1574"/>
      <c r="B73" s="1271"/>
      <c r="C73" s="1575"/>
      <c r="D73" s="1584"/>
      <c r="E73" s="2618"/>
      <c r="F73" s="1577"/>
      <c r="G73" s="1645"/>
      <c r="H73" s="1501" t="str">
        <f t="shared" si="0"/>
        <v/>
      </c>
    </row>
    <row r="74" spans="1:8" s="10" customFormat="1">
      <c r="A74" s="1574">
        <f>$A$4</f>
        <v>18</v>
      </c>
      <c r="B74" s="1271">
        <v>7.2</v>
      </c>
      <c r="C74" s="1575"/>
      <c r="D74" s="1584" t="s">
        <v>1991</v>
      </c>
      <c r="E74" s="2618" t="s">
        <v>954</v>
      </c>
      <c r="F74" s="1577">
        <v>1</v>
      </c>
      <c r="G74" s="1645"/>
      <c r="H74" s="1501">
        <f t="shared" ref="H74:H76" si="1">IF(E74="","",ROUND(F74*G74,2))</f>
        <v>0</v>
      </c>
    </row>
    <row r="75" spans="1:8" s="10" customFormat="1">
      <c r="A75" s="1574"/>
      <c r="B75" s="1271"/>
      <c r="C75" s="1575"/>
      <c r="D75" s="1584"/>
      <c r="E75" s="2618"/>
      <c r="F75" s="1577"/>
      <c r="G75" s="1645"/>
      <c r="H75" s="1501" t="str">
        <f t="shared" si="1"/>
        <v/>
      </c>
    </row>
    <row r="76" spans="1:8" s="10" customFormat="1">
      <c r="A76" s="1574">
        <f>$A$4</f>
        <v>18</v>
      </c>
      <c r="B76" s="1271">
        <v>7.3</v>
      </c>
      <c r="C76" s="1575"/>
      <c r="D76" s="1584" t="s">
        <v>1989</v>
      </c>
      <c r="E76" s="2618" t="s">
        <v>954</v>
      </c>
      <c r="F76" s="1577">
        <v>1</v>
      </c>
      <c r="G76" s="1645"/>
      <c r="H76" s="1501">
        <f t="shared" si="1"/>
        <v>0</v>
      </c>
    </row>
    <row r="77" spans="1:8" s="10" customFormat="1">
      <c r="A77" s="1574"/>
      <c r="B77" s="1271"/>
      <c r="C77" s="1575"/>
      <c r="D77" s="1584"/>
      <c r="E77" s="2618"/>
      <c r="F77" s="1577"/>
      <c r="G77" s="1645"/>
      <c r="H77" s="2620"/>
    </row>
    <row r="78" spans="1:8" s="10" customFormat="1">
      <c r="A78" s="1574"/>
      <c r="B78" s="1271"/>
      <c r="C78" s="1575"/>
      <c r="D78" s="2647"/>
      <c r="E78" s="2618"/>
      <c r="F78" s="1577"/>
      <c r="G78" s="1645"/>
      <c r="H78" s="2658"/>
    </row>
    <row r="79" spans="1:8">
      <c r="A79" s="2333"/>
      <c r="B79" s="822"/>
      <c r="C79" s="837"/>
      <c r="D79" s="837"/>
      <c r="E79" s="837"/>
      <c r="F79" s="838"/>
      <c r="G79" s="2650"/>
      <c r="H79" s="2651"/>
    </row>
    <row r="80" spans="1:8">
      <c r="A80" s="2336"/>
      <c r="B80" s="823"/>
      <c r="C80" s="515"/>
      <c r="D80" s="457" t="s">
        <v>289</v>
      </c>
      <c r="E80" s="426"/>
      <c r="F80" s="24"/>
      <c r="G80" s="1471"/>
      <c r="H80" s="2652">
        <f>SUM(H3:H78)</f>
        <v>700000</v>
      </c>
    </row>
    <row r="81" spans="1:8" s="10" customFormat="1">
      <c r="A81" s="1574"/>
      <c r="B81" s="1271"/>
      <c r="C81" s="147"/>
      <c r="D81" s="1702" t="s">
        <v>290</v>
      </c>
      <c r="E81" s="147"/>
      <c r="F81" s="1577"/>
      <c r="G81" s="1578"/>
      <c r="H81" s="2619">
        <f>H80</f>
        <v>700000</v>
      </c>
    </row>
    <row r="82" spans="1:8" s="10" customFormat="1">
      <c r="A82" s="1574"/>
      <c r="B82" s="1271"/>
      <c r="C82" s="147"/>
      <c r="D82" s="1702"/>
      <c r="E82" s="147"/>
      <c r="F82" s="1577"/>
      <c r="G82" s="1578"/>
      <c r="H82" s="2619"/>
    </row>
    <row r="83" spans="1:8" s="10" customFormat="1" ht="26.4">
      <c r="A83" s="1574"/>
      <c r="B83" s="1271"/>
      <c r="C83" s="1575"/>
      <c r="D83" s="2647" t="s">
        <v>1992</v>
      </c>
      <c r="E83" s="2618"/>
      <c r="F83" s="1577"/>
      <c r="G83" s="1645"/>
      <c r="H83" s="2620"/>
    </row>
    <row r="84" spans="1:8" s="10" customFormat="1">
      <c r="A84" s="1574"/>
      <c r="B84" s="1271"/>
      <c r="C84" s="147"/>
      <c r="D84" s="1702"/>
      <c r="E84" s="147"/>
      <c r="F84" s="1577"/>
      <c r="G84" s="1578"/>
      <c r="H84" s="2619"/>
    </row>
    <row r="85" spans="1:8" s="10" customFormat="1" ht="39.6">
      <c r="A85" s="1574"/>
      <c r="B85" s="1271"/>
      <c r="C85" s="1575"/>
      <c r="D85" s="2647" t="s">
        <v>1715</v>
      </c>
      <c r="E85" s="2618"/>
      <c r="F85" s="1577"/>
      <c r="G85" s="1645"/>
      <c r="H85" s="2620"/>
    </row>
    <row r="86" spans="1:8" s="10" customFormat="1">
      <c r="A86" s="1574"/>
      <c r="B86" s="1271"/>
      <c r="C86" s="1575"/>
      <c r="D86" s="2647"/>
      <c r="E86" s="2618"/>
      <c r="F86" s="1577"/>
      <c r="G86" s="1645"/>
      <c r="H86" s="2620"/>
    </row>
    <row r="87" spans="1:8" s="10" customFormat="1" ht="26.4">
      <c r="A87" s="2577">
        <f>$A$4</f>
        <v>18</v>
      </c>
      <c r="B87" s="1888">
        <v>8</v>
      </c>
      <c r="C87" s="1575"/>
      <c r="D87" s="2647" t="s">
        <v>1993</v>
      </c>
      <c r="E87" s="2618"/>
      <c r="F87" s="1577"/>
      <c r="G87" s="1645"/>
      <c r="H87" s="2658"/>
    </row>
    <row r="88" spans="1:8" s="10" customFormat="1">
      <c r="A88" s="1574"/>
      <c r="B88" s="1271"/>
      <c r="C88" s="1575"/>
      <c r="D88" s="1584"/>
      <c r="E88" s="2618"/>
      <c r="F88" s="1577"/>
      <c r="G88" s="1645"/>
      <c r="H88" s="2658"/>
    </row>
    <row r="89" spans="1:8" s="10" customFormat="1">
      <c r="A89" s="1574">
        <f>$A$4</f>
        <v>18</v>
      </c>
      <c r="B89" s="1271">
        <v>8.1</v>
      </c>
      <c r="C89" s="1575"/>
      <c r="D89" s="1584" t="s">
        <v>1994</v>
      </c>
      <c r="E89" s="2618" t="s">
        <v>273</v>
      </c>
      <c r="F89" s="1577">
        <v>1</v>
      </c>
      <c r="G89" s="1645"/>
      <c r="H89" s="1501">
        <f t="shared" ref="H89:H141" si="2">IF(E89="","",ROUND(F89*G89,2))</f>
        <v>0</v>
      </c>
    </row>
    <row r="90" spans="1:8" s="10" customFormat="1">
      <c r="A90" s="1574"/>
      <c r="B90" s="1900"/>
      <c r="C90" s="2592"/>
      <c r="D90" s="1584"/>
      <c r="E90" s="2624"/>
      <c r="F90" s="1585"/>
      <c r="G90" s="1581"/>
      <c r="H90" s="1501" t="str">
        <f t="shared" si="2"/>
        <v/>
      </c>
    </row>
    <row r="91" spans="1:8" s="10" customFormat="1">
      <c r="A91" s="1574">
        <f>$A$4</f>
        <v>18</v>
      </c>
      <c r="B91" s="1900">
        <v>8.1999999999999993</v>
      </c>
      <c r="C91" s="2592"/>
      <c r="D91" s="1584" t="s">
        <v>1982</v>
      </c>
      <c r="E91" s="2624" t="s">
        <v>273</v>
      </c>
      <c r="F91" s="1585">
        <v>6</v>
      </c>
      <c r="G91" s="1581"/>
      <c r="H91" s="1501">
        <f t="shared" si="2"/>
        <v>0</v>
      </c>
    </row>
    <row r="92" spans="1:8" s="10" customFormat="1">
      <c r="A92" s="1574"/>
      <c r="B92" s="1271"/>
      <c r="C92" s="1575"/>
      <c r="D92" s="1584"/>
      <c r="E92" s="2618"/>
      <c r="F92" s="1577"/>
      <c r="G92" s="1645"/>
      <c r="H92" s="1501" t="str">
        <f t="shared" si="2"/>
        <v/>
      </c>
    </row>
    <row r="93" spans="1:8" s="10" customFormat="1" ht="26.4">
      <c r="A93" s="1574">
        <f>$A$4</f>
        <v>18</v>
      </c>
      <c r="B93" s="1271">
        <v>8.3000000000000007</v>
      </c>
      <c r="C93" s="1575"/>
      <c r="D93" s="1584" t="s">
        <v>1995</v>
      </c>
      <c r="E93" s="2618" t="s">
        <v>273</v>
      </c>
      <c r="F93" s="1577">
        <v>2</v>
      </c>
      <c r="G93" s="1645"/>
      <c r="H93" s="1501">
        <f t="shared" si="2"/>
        <v>0</v>
      </c>
    </row>
    <row r="94" spans="1:8" s="10" customFormat="1">
      <c r="A94" s="1574"/>
      <c r="B94" s="1271"/>
      <c r="C94" s="1575"/>
      <c r="D94" s="1584"/>
      <c r="E94" s="2618"/>
      <c r="F94" s="1577"/>
      <c r="G94" s="1645"/>
      <c r="H94" s="1501" t="str">
        <f t="shared" si="2"/>
        <v/>
      </c>
    </row>
    <row r="95" spans="1:8" s="10" customFormat="1">
      <c r="A95" s="1574">
        <f>$A$4</f>
        <v>18</v>
      </c>
      <c r="B95" s="1271">
        <v>8.4</v>
      </c>
      <c r="C95" s="1575"/>
      <c r="D95" s="1584" t="s">
        <v>1996</v>
      </c>
      <c r="E95" s="2618" t="s">
        <v>273</v>
      </c>
      <c r="F95" s="1577">
        <v>2</v>
      </c>
      <c r="G95" s="1645"/>
      <c r="H95" s="1501">
        <f t="shared" si="2"/>
        <v>0</v>
      </c>
    </row>
    <row r="96" spans="1:8" s="10" customFormat="1">
      <c r="A96" s="1574"/>
      <c r="B96" s="1271"/>
      <c r="C96" s="1575"/>
      <c r="D96" s="2647"/>
      <c r="E96" s="2618"/>
      <c r="F96" s="1577"/>
      <c r="G96" s="1645"/>
      <c r="H96" s="1501" t="str">
        <f t="shared" si="2"/>
        <v/>
      </c>
    </row>
    <row r="97" spans="1:8" s="10" customFormat="1" ht="52.8">
      <c r="A97" s="1574">
        <f>$A$4</f>
        <v>18</v>
      </c>
      <c r="B97" s="1271">
        <v>8.5</v>
      </c>
      <c r="C97" s="1575"/>
      <c r="D97" s="1584" t="s">
        <v>1997</v>
      </c>
      <c r="E97" s="2618" t="s">
        <v>273</v>
      </c>
      <c r="F97" s="1577">
        <v>2</v>
      </c>
      <c r="G97" s="1645"/>
      <c r="H97" s="1501">
        <f t="shared" si="2"/>
        <v>0</v>
      </c>
    </row>
    <row r="98" spans="1:8" s="10" customFormat="1">
      <c r="A98" s="1574"/>
      <c r="B98" s="1271"/>
      <c r="C98" s="1575"/>
      <c r="D98" s="1584"/>
      <c r="E98" s="2618"/>
      <c r="F98" s="1577"/>
      <c r="G98" s="1645"/>
      <c r="H98" s="1501" t="str">
        <f t="shared" si="2"/>
        <v/>
      </c>
    </row>
    <row r="99" spans="1:8" s="10" customFormat="1">
      <c r="A99" s="1574">
        <f>$A$4</f>
        <v>18</v>
      </c>
      <c r="B99" s="1271">
        <v>8.6</v>
      </c>
      <c r="C99" s="1575"/>
      <c r="D99" s="1584" t="s">
        <v>1998</v>
      </c>
      <c r="E99" s="2618" t="s">
        <v>230</v>
      </c>
      <c r="F99" s="1577">
        <v>1</v>
      </c>
      <c r="G99" s="1645"/>
      <c r="H99" s="1501">
        <f t="shared" si="2"/>
        <v>0</v>
      </c>
    </row>
    <row r="100" spans="1:8" s="10" customFormat="1">
      <c r="A100" s="1574"/>
      <c r="B100" s="1271"/>
      <c r="C100" s="1575"/>
      <c r="D100" s="2647"/>
      <c r="E100" s="2618"/>
      <c r="F100" s="1577"/>
      <c r="G100" s="1645"/>
      <c r="H100" s="1501" t="str">
        <f t="shared" si="2"/>
        <v/>
      </c>
    </row>
    <row r="101" spans="1:8" s="10" customFormat="1" ht="26.4">
      <c r="A101" s="1574">
        <f>$A$4</f>
        <v>18</v>
      </c>
      <c r="B101" s="1271">
        <v>8.6999999999999993</v>
      </c>
      <c r="C101" s="1575"/>
      <c r="D101" s="1584" t="s">
        <v>1999</v>
      </c>
      <c r="E101" s="2618" t="s">
        <v>230</v>
      </c>
      <c r="F101" s="1577">
        <v>1</v>
      </c>
      <c r="G101" s="1645"/>
      <c r="H101" s="1501">
        <f t="shared" si="2"/>
        <v>0</v>
      </c>
    </row>
    <row r="102" spans="1:8" s="10" customFormat="1">
      <c r="A102" s="1574"/>
      <c r="B102" s="1271"/>
      <c r="C102" s="1575"/>
      <c r="D102" s="2647"/>
      <c r="E102" s="2618"/>
      <c r="F102" s="1577"/>
      <c r="G102" s="1645"/>
      <c r="H102" s="1501" t="str">
        <f t="shared" si="2"/>
        <v/>
      </c>
    </row>
    <row r="103" spans="1:8" s="10" customFormat="1" ht="26.4">
      <c r="A103" s="1574">
        <f>$A$4</f>
        <v>18</v>
      </c>
      <c r="B103" s="1271">
        <v>8.8000000000000007</v>
      </c>
      <c r="C103" s="1575"/>
      <c r="D103" s="1584" t="s">
        <v>2000</v>
      </c>
      <c r="E103" s="2618" t="s">
        <v>273</v>
      </c>
      <c r="F103" s="1577">
        <v>1</v>
      </c>
      <c r="G103" s="1645"/>
      <c r="H103" s="1501">
        <f t="shared" si="2"/>
        <v>0</v>
      </c>
    </row>
    <row r="104" spans="1:8" s="10" customFormat="1">
      <c r="A104" s="1574"/>
      <c r="B104" s="1271"/>
      <c r="C104" s="1575"/>
      <c r="D104" s="1584"/>
      <c r="E104" s="2618"/>
      <c r="F104" s="1577"/>
      <c r="G104" s="1645"/>
      <c r="H104" s="1501" t="str">
        <f t="shared" si="2"/>
        <v/>
      </c>
    </row>
    <row r="105" spans="1:8" s="10" customFormat="1">
      <c r="A105" s="1574">
        <f>$A$4</f>
        <v>18</v>
      </c>
      <c r="B105" s="1271">
        <v>8.9</v>
      </c>
      <c r="C105" s="1575"/>
      <c r="D105" s="1584" t="s">
        <v>2001</v>
      </c>
      <c r="E105" s="2618" t="s">
        <v>954</v>
      </c>
      <c r="F105" s="1577">
        <v>4</v>
      </c>
      <c r="G105" s="1645"/>
      <c r="H105" s="1501">
        <f t="shared" si="2"/>
        <v>0</v>
      </c>
    </row>
    <row r="106" spans="1:8" s="10" customFormat="1">
      <c r="A106" s="1574"/>
      <c r="B106" s="1271"/>
      <c r="C106" s="1575"/>
      <c r="D106" s="1580"/>
      <c r="E106" s="2618"/>
      <c r="F106" s="1577"/>
      <c r="G106" s="1578"/>
      <c r="H106" s="1501" t="str">
        <f t="shared" si="2"/>
        <v/>
      </c>
    </row>
    <row r="107" spans="1:8" s="10" customFormat="1">
      <c r="A107" s="1574">
        <f>$A$4</f>
        <v>18</v>
      </c>
      <c r="B107" s="1582">
        <v>8.1</v>
      </c>
      <c r="C107" s="1575"/>
      <c r="D107" s="1580" t="s">
        <v>2002</v>
      </c>
      <c r="E107" s="2618" t="s">
        <v>273</v>
      </c>
      <c r="F107" s="1577">
        <v>4</v>
      </c>
      <c r="G107" s="1578"/>
      <c r="H107" s="1501">
        <f t="shared" si="2"/>
        <v>0</v>
      </c>
    </row>
    <row r="108" spans="1:8" s="10" customFormat="1">
      <c r="A108" s="1574"/>
      <c r="B108" s="1271"/>
      <c r="C108" s="1575"/>
      <c r="D108" s="1580"/>
      <c r="E108" s="2618"/>
      <c r="F108" s="1577"/>
      <c r="G108" s="1578"/>
      <c r="H108" s="1501" t="str">
        <f t="shared" si="2"/>
        <v/>
      </c>
    </row>
    <row r="109" spans="1:8" s="10" customFormat="1" ht="39.6">
      <c r="A109" s="1574">
        <f>$A$4</f>
        <v>18</v>
      </c>
      <c r="B109" s="1271">
        <v>8.11</v>
      </c>
      <c r="C109" s="1575"/>
      <c r="D109" s="1580" t="s">
        <v>2003</v>
      </c>
      <c r="E109" s="2618" t="s">
        <v>273</v>
      </c>
      <c r="F109" s="1577">
        <v>4</v>
      </c>
      <c r="G109" s="1578"/>
      <c r="H109" s="1501">
        <f t="shared" si="2"/>
        <v>0</v>
      </c>
    </row>
    <row r="110" spans="1:8" s="10" customFormat="1">
      <c r="A110" s="1574"/>
      <c r="B110" s="1271"/>
      <c r="C110" s="1575"/>
      <c r="D110" s="1580"/>
      <c r="E110" s="2618"/>
      <c r="F110" s="1577"/>
      <c r="G110" s="1578"/>
      <c r="H110" s="1501" t="str">
        <f t="shared" si="2"/>
        <v/>
      </c>
    </row>
    <row r="111" spans="1:8" s="10" customFormat="1">
      <c r="A111" s="1574">
        <f>$A$4</f>
        <v>18</v>
      </c>
      <c r="B111" s="1271">
        <v>8.1199999999999992</v>
      </c>
      <c r="C111" s="1575"/>
      <c r="D111" s="1580" t="s">
        <v>2004</v>
      </c>
      <c r="E111" s="2618" t="s">
        <v>273</v>
      </c>
      <c r="F111" s="1577">
        <v>4</v>
      </c>
      <c r="G111" s="1578"/>
      <c r="H111" s="1501">
        <f t="shared" si="2"/>
        <v>0</v>
      </c>
    </row>
    <row r="112" spans="1:8" s="10" customFormat="1">
      <c r="A112" s="1574"/>
      <c r="B112" s="1271"/>
      <c r="C112" s="1575"/>
      <c r="D112" s="2647"/>
      <c r="E112" s="2618"/>
      <c r="F112" s="1577"/>
      <c r="G112" s="1645"/>
      <c r="H112" s="1501" t="str">
        <f t="shared" si="2"/>
        <v/>
      </c>
    </row>
    <row r="113" spans="1:8" s="10" customFormat="1" ht="52.8">
      <c r="A113" s="2577">
        <f>$A$4</f>
        <v>18</v>
      </c>
      <c r="B113" s="1888">
        <v>9</v>
      </c>
      <c r="C113" s="147"/>
      <c r="D113" s="2647" t="s">
        <v>1752</v>
      </c>
      <c r="E113" s="2618"/>
      <c r="F113" s="2625"/>
      <c r="G113" s="1645"/>
      <c r="H113" s="1501" t="str">
        <f t="shared" si="2"/>
        <v/>
      </c>
    </row>
    <row r="114" spans="1:8" s="10" customFormat="1">
      <c r="A114" s="1574"/>
      <c r="B114" s="1271"/>
      <c r="C114" s="147"/>
      <c r="D114" s="1584"/>
      <c r="E114" s="2618"/>
      <c r="F114" s="2625"/>
      <c r="G114" s="1645"/>
      <c r="H114" s="1501" t="str">
        <f t="shared" si="2"/>
        <v/>
      </c>
    </row>
    <row r="115" spans="1:8" s="10" customFormat="1">
      <c r="A115" s="1574">
        <f>$A$4</f>
        <v>18</v>
      </c>
      <c r="B115" s="1271">
        <v>9.1</v>
      </c>
      <c r="C115" s="147"/>
      <c r="D115" s="1584" t="s">
        <v>2005</v>
      </c>
      <c r="E115" s="147" t="s">
        <v>691</v>
      </c>
      <c r="F115" s="1577">
        <v>1</v>
      </c>
      <c r="G115" s="1645"/>
      <c r="H115" s="1501">
        <f t="shared" si="2"/>
        <v>0</v>
      </c>
    </row>
    <row r="116" spans="1:8" s="10" customFormat="1">
      <c r="A116" s="1574"/>
      <c r="B116" s="1900"/>
      <c r="C116" s="474"/>
      <c r="D116" s="1584"/>
      <c r="E116" s="2624"/>
      <c r="F116" s="2659"/>
      <c r="G116" s="1581"/>
      <c r="H116" s="1501" t="str">
        <f t="shared" si="2"/>
        <v/>
      </c>
    </row>
    <row r="117" spans="1:8" s="10" customFormat="1">
      <c r="A117" s="1574">
        <f>$A$4</f>
        <v>18</v>
      </c>
      <c r="B117" s="1900">
        <v>9.1999999999999993</v>
      </c>
      <c r="C117" s="474"/>
      <c r="D117" s="1584" t="s">
        <v>2006</v>
      </c>
      <c r="E117" s="474" t="s">
        <v>691</v>
      </c>
      <c r="F117" s="1585">
        <v>6</v>
      </c>
      <c r="G117" s="1581"/>
      <c r="H117" s="1501">
        <f t="shared" si="2"/>
        <v>0</v>
      </c>
    </row>
    <row r="118" spans="1:8" s="10" customFormat="1">
      <c r="A118" s="1574"/>
      <c r="B118" s="1271"/>
      <c r="C118" s="147"/>
      <c r="D118" s="1584"/>
      <c r="E118" s="2618"/>
      <c r="F118" s="2625"/>
      <c r="G118" s="1645"/>
      <c r="H118" s="1501" t="str">
        <f t="shared" si="2"/>
        <v/>
      </c>
    </row>
    <row r="119" spans="1:8" s="10" customFormat="1">
      <c r="A119" s="1574">
        <f>$A$4</f>
        <v>18</v>
      </c>
      <c r="B119" s="1271">
        <v>9.3000000000000007</v>
      </c>
      <c r="C119" s="147"/>
      <c r="D119" s="1584" t="s">
        <v>2007</v>
      </c>
      <c r="E119" s="147" t="s">
        <v>230</v>
      </c>
      <c r="F119" s="1577">
        <v>1</v>
      </c>
      <c r="G119" s="1645"/>
      <c r="H119" s="1501">
        <f t="shared" si="2"/>
        <v>0</v>
      </c>
    </row>
    <row r="120" spans="1:8" s="10" customFormat="1">
      <c r="A120" s="1574"/>
      <c r="B120" s="1271"/>
      <c r="C120" s="147"/>
      <c r="D120" s="1584"/>
      <c r="E120" s="2618"/>
      <c r="F120" s="2625"/>
      <c r="G120" s="1645"/>
      <c r="H120" s="1501" t="str">
        <f t="shared" si="2"/>
        <v/>
      </c>
    </row>
    <row r="121" spans="1:8" s="10" customFormat="1">
      <c r="A121" s="1574">
        <f>$A$4</f>
        <v>18</v>
      </c>
      <c r="B121" s="1271">
        <v>9.4</v>
      </c>
      <c r="C121" s="147"/>
      <c r="D121" s="1584" t="s">
        <v>2008</v>
      </c>
      <c r="E121" s="147" t="s">
        <v>230</v>
      </c>
      <c r="F121" s="1577">
        <v>1</v>
      </c>
      <c r="G121" s="1645"/>
      <c r="H121" s="1501">
        <f t="shared" si="2"/>
        <v>0</v>
      </c>
    </row>
    <row r="122" spans="1:8" s="10" customFormat="1">
      <c r="A122" s="1574"/>
      <c r="B122" s="1271"/>
      <c r="C122" s="147"/>
      <c r="D122" s="1584"/>
      <c r="E122" s="2618"/>
      <c r="F122" s="2625"/>
      <c r="G122" s="1645"/>
      <c r="H122" s="1501" t="str">
        <f t="shared" si="2"/>
        <v/>
      </c>
    </row>
    <row r="123" spans="1:8" s="10" customFormat="1">
      <c r="A123" s="1574">
        <f>$A$4</f>
        <v>18</v>
      </c>
      <c r="B123" s="1271">
        <v>9.5</v>
      </c>
      <c r="C123" s="147"/>
      <c r="D123" s="1584" t="s">
        <v>2009</v>
      </c>
      <c r="E123" s="147" t="s">
        <v>230</v>
      </c>
      <c r="F123" s="1577">
        <v>1</v>
      </c>
      <c r="G123" s="1645"/>
      <c r="H123" s="1501">
        <f t="shared" si="2"/>
        <v>0</v>
      </c>
    </row>
    <row r="124" spans="1:8" s="10" customFormat="1">
      <c r="A124" s="1574"/>
      <c r="B124" s="1271"/>
      <c r="C124" s="147"/>
      <c r="D124" s="1584"/>
      <c r="E124" s="147"/>
      <c r="F124" s="1577"/>
      <c r="G124" s="1645"/>
      <c r="H124" s="1501" t="str">
        <f t="shared" si="2"/>
        <v/>
      </c>
    </row>
    <row r="125" spans="1:8" s="10" customFormat="1">
      <c r="A125" s="1574">
        <f>$A$4</f>
        <v>18</v>
      </c>
      <c r="B125" s="1271">
        <v>9.6</v>
      </c>
      <c r="C125" s="147"/>
      <c r="D125" s="1584" t="s">
        <v>2010</v>
      </c>
      <c r="E125" s="147" t="s">
        <v>230</v>
      </c>
      <c r="F125" s="1577">
        <v>1</v>
      </c>
      <c r="G125" s="1645"/>
      <c r="H125" s="1501">
        <f t="shared" si="2"/>
        <v>0</v>
      </c>
    </row>
    <row r="126" spans="1:8" s="10" customFormat="1">
      <c r="A126" s="1574"/>
      <c r="B126" s="1900"/>
      <c r="C126" s="474"/>
      <c r="D126" s="1584"/>
      <c r="E126" s="2624"/>
      <c r="F126" s="2659"/>
      <c r="G126" s="1581"/>
      <c r="H126" s="1501" t="str">
        <f t="shared" si="2"/>
        <v/>
      </c>
    </row>
    <row r="127" spans="1:8" s="10" customFormat="1">
      <c r="A127" s="1574">
        <f>$A$4</f>
        <v>18</v>
      </c>
      <c r="B127" s="1900">
        <v>9.6999999999999993</v>
      </c>
      <c r="C127" s="474"/>
      <c r="D127" s="1584" t="s">
        <v>2011</v>
      </c>
      <c r="E127" s="474" t="s">
        <v>230</v>
      </c>
      <c r="F127" s="1585">
        <v>1</v>
      </c>
      <c r="G127" s="1581"/>
      <c r="H127" s="1501">
        <f t="shared" si="2"/>
        <v>0</v>
      </c>
    </row>
    <row r="128" spans="1:8" s="10" customFormat="1">
      <c r="A128" s="1574"/>
      <c r="B128" s="1271"/>
      <c r="C128" s="147"/>
      <c r="D128" s="1584"/>
      <c r="E128" s="147"/>
      <c r="F128" s="1577"/>
      <c r="G128" s="1645"/>
      <c r="H128" s="1501" t="str">
        <f t="shared" si="2"/>
        <v/>
      </c>
    </row>
    <row r="129" spans="1:8" s="10" customFormat="1" ht="39.6">
      <c r="A129" s="1574">
        <f>$A$4</f>
        <v>18</v>
      </c>
      <c r="B129" s="1271">
        <v>9.8000000000000007</v>
      </c>
      <c r="C129" s="147"/>
      <c r="D129" s="1584" t="s">
        <v>2012</v>
      </c>
      <c r="E129" s="147" t="s">
        <v>230</v>
      </c>
      <c r="F129" s="1577">
        <v>1</v>
      </c>
      <c r="G129" s="1645"/>
      <c r="H129" s="1501">
        <f t="shared" si="2"/>
        <v>0</v>
      </c>
    </row>
    <row r="130" spans="1:8" s="10" customFormat="1">
      <c r="A130" s="1574"/>
      <c r="B130" s="1271"/>
      <c r="C130" s="147"/>
      <c r="D130" s="1584"/>
      <c r="E130" s="2618"/>
      <c r="F130" s="2625"/>
      <c r="G130" s="1645"/>
      <c r="H130" s="1501" t="str">
        <f t="shared" si="2"/>
        <v/>
      </c>
    </row>
    <row r="131" spans="1:8" s="10" customFormat="1">
      <c r="A131" s="1574">
        <f>$A$4</f>
        <v>18</v>
      </c>
      <c r="B131" s="1271">
        <v>9.9</v>
      </c>
      <c r="C131" s="147"/>
      <c r="D131" s="1584" t="s">
        <v>2013</v>
      </c>
      <c r="E131" s="2618" t="s">
        <v>273</v>
      </c>
      <c r="F131" s="1577">
        <v>4</v>
      </c>
      <c r="G131" s="1645"/>
      <c r="H131" s="1501">
        <f t="shared" si="2"/>
        <v>0</v>
      </c>
    </row>
    <row r="132" spans="1:8" s="10" customFormat="1">
      <c r="A132" s="1574"/>
      <c r="B132" s="1271"/>
      <c r="C132" s="147"/>
      <c r="D132" s="1584"/>
      <c r="E132" s="147"/>
      <c r="F132" s="1577"/>
      <c r="G132" s="1645"/>
      <c r="H132" s="1501" t="str">
        <f t="shared" si="2"/>
        <v/>
      </c>
    </row>
    <row r="133" spans="1:8" s="10" customFormat="1">
      <c r="A133" s="1574">
        <f>$A$4</f>
        <v>18</v>
      </c>
      <c r="B133" s="1582">
        <v>9.1</v>
      </c>
      <c r="C133" s="147"/>
      <c r="D133" s="1584" t="s">
        <v>2014</v>
      </c>
      <c r="E133" s="2618" t="s">
        <v>273</v>
      </c>
      <c r="F133" s="1577">
        <v>4</v>
      </c>
      <c r="G133" s="1645"/>
      <c r="H133" s="1501">
        <f t="shared" si="2"/>
        <v>0</v>
      </c>
    </row>
    <row r="134" spans="1:8" s="10" customFormat="1">
      <c r="A134" s="1574"/>
      <c r="B134" s="1271"/>
      <c r="C134" s="147"/>
      <c r="D134" s="1778"/>
      <c r="E134" s="1575"/>
      <c r="F134" s="2625"/>
      <c r="G134" s="1645"/>
      <c r="H134" s="1501" t="str">
        <f t="shared" si="2"/>
        <v/>
      </c>
    </row>
    <row r="135" spans="1:8" s="10" customFormat="1" ht="52.8">
      <c r="A135" s="2577">
        <f>$A$4</f>
        <v>18</v>
      </c>
      <c r="B135" s="2599">
        <v>10</v>
      </c>
      <c r="C135" s="147"/>
      <c r="D135" s="2647" t="s">
        <v>1784</v>
      </c>
      <c r="E135" s="1575"/>
      <c r="F135" s="2625"/>
      <c r="G135" s="1645"/>
      <c r="H135" s="1501" t="str">
        <f t="shared" si="2"/>
        <v/>
      </c>
    </row>
    <row r="136" spans="1:8" s="10" customFormat="1">
      <c r="A136" s="1574"/>
      <c r="B136" s="1271"/>
      <c r="C136" s="147"/>
      <c r="D136" s="1584"/>
      <c r="E136" s="2618"/>
      <c r="F136" s="2625"/>
      <c r="G136" s="1645"/>
      <c r="H136" s="1501" t="str">
        <f t="shared" si="2"/>
        <v/>
      </c>
    </row>
    <row r="137" spans="1:8" s="10" customFormat="1">
      <c r="A137" s="1574">
        <f>$A$4</f>
        <v>18</v>
      </c>
      <c r="B137" s="1271">
        <v>10.1</v>
      </c>
      <c r="C137" s="147"/>
      <c r="D137" s="1584" t="s">
        <v>2015</v>
      </c>
      <c r="E137" s="147" t="s">
        <v>230</v>
      </c>
      <c r="F137" s="1577">
        <v>1</v>
      </c>
      <c r="G137" s="1645"/>
      <c r="H137" s="1501">
        <f t="shared" si="2"/>
        <v>0</v>
      </c>
    </row>
    <row r="138" spans="1:8" s="10" customFormat="1">
      <c r="A138" s="1574"/>
      <c r="B138" s="1271"/>
      <c r="C138" s="147"/>
      <c r="D138" s="1584"/>
      <c r="E138" s="147"/>
      <c r="F138" s="1577"/>
      <c r="G138" s="1645"/>
      <c r="H138" s="1501" t="str">
        <f t="shared" si="2"/>
        <v/>
      </c>
    </row>
    <row r="139" spans="1:8" s="10" customFormat="1">
      <c r="A139" s="1574">
        <f>$A$4</f>
        <v>18</v>
      </c>
      <c r="B139" s="1271">
        <v>10.199999999999999</v>
      </c>
      <c r="C139" s="147"/>
      <c r="D139" s="1584" t="s">
        <v>2016</v>
      </c>
      <c r="E139" s="147" t="s">
        <v>230</v>
      </c>
      <c r="F139" s="1577">
        <v>1</v>
      </c>
      <c r="G139" s="1645"/>
      <c r="H139" s="1501">
        <f t="shared" si="2"/>
        <v>0</v>
      </c>
    </row>
    <row r="140" spans="1:8" s="471" customFormat="1">
      <c r="A140" s="1574"/>
      <c r="B140" s="1271"/>
      <c r="C140" s="474"/>
      <c r="D140" s="1584"/>
      <c r="E140" s="474"/>
      <c r="F140" s="1585"/>
      <c r="G140" s="1581"/>
      <c r="H140" s="1501" t="str">
        <f t="shared" si="2"/>
        <v/>
      </c>
    </row>
    <row r="141" spans="1:8" s="471" customFormat="1">
      <c r="A141" s="1574">
        <f>$A$4</f>
        <v>18</v>
      </c>
      <c r="B141" s="1271">
        <v>10.3</v>
      </c>
      <c r="C141" s="474"/>
      <c r="D141" s="1584" t="s">
        <v>2017</v>
      </c>
      <c r="E141" s="474" t="s">
        <v>230</v>
      </c>
      <c r="F141" s="1585">
        <v>1</v>
      </c>
      <c r="G141" s="1581"/>
      <c r="H141" s="1501">
        <f t="shared" si="2"/>
        <v>0</v>
      </c>
    </row>
    <row r="142" spans="1:8" s="471" customFormat="1">
      <c r="A142" s="1574"/>
      <c r="B142" s="1271"/>
      <c r="C142" s="474"/>
      <c r="D142" s="1584"/>
      <c r="E142" s="474"/>
      <c r="F142" s="1585"/>
      <c r="G142" s="1581"/>
      <c r="H142" s="2620"/>
    </row>
    <row r="143" spans="1:8" s="471" customFormat="1">
      <c r="A143" s="1574"/>
      <c r="B143" s="1271"/>
      <c r="C143" s="474"/>
      <c r="D143" s="1584"/>
      <c r="E143" s="474"/>
      <c r="F143" s="1585"/>
      <c r="G143" s="1581"/>
      <c r="H143" s="2620"/>
    </row>
    <row r="144" spans="1:8">
      <c r="A144" s="1574"/>
      <c r="B144" s="1271"/>
      <c r="C144" s="1981"/>
      <c r="D144" s="1584"/>
      <c r="E144" s="147"/>
      <c r="F144" s="1577"/>
      <c r="G144" s="1861"/>
      <c r="H144" s="2620"/>
    </row>
    <row r="145" spans="1:8">
      <c r="A145" s="2333"/>
      <c r="B145" s="822"/>
      <c r="C145" s="837"/>
      <c r="D145" s="837"/>
      <c r="E145" s="837"/>
      <c r="F145" s="838"/>
      <c r="G145" s="2650"/>
      <c r="H145" s="2651"/>
    </row>
    <row r="146" spans="1:8">
      <c r="A146" s="2336"/>
      <c r="B146" s="823"/>
      <c r="C146" s="515"/>
      <c r="D146" s="457" t="s">
        <v>289</v>
      </c>
      <c r="E146" s="426"/>
      <c r="F146" s="24"/>
      <c r="G146" s="1471"/>
      <c r="H146" s="2652">
        <f>SUM(H81:H144)</f>
        <v>700000</v>
      </c>
    </row>
    <row r="147" spans="1:8" s="10" customFormat="1">
      <c r="A147" s="1574"/>
      <c r="B147" s="1271"/>
      <c r="C147" s="147"/>
      <c r="D147" s="1702" t="s">
        <v>290</v>
      </c>
      <c r="E147" s="147"/>
      <c r="F147" s="1577"/>
      <c r="G147" s="1578"/>
      <c r="H147" s="2660">
        <f>H146</f>
        <v>700000</v>
      </c>
    </row>
    <row r="148" spans="1:8" s="10" customFormat="1">
      <c r="A148" s="1574"/>
      <c r="B148" s="1271"/>
      <c r="C148" s="147"/>
      <c r="D148" s="1702"/>
      <c r="E148" s="147"/>
      <c r="F148" s="1577"/>
      <c r="G148" s="1578"/>
      <c r="H148" s="2619"/>
    </row>
    <row r="149" spans="1:8">
      <c r="A149" s="1574">
        <f>$A$4</f>
        <v>18</v>
      </c>
      <c r="B149" s="1271">
        <v>10.4</v>
      </c>
      <c r="C149" s="1981"/>
      <c r="D149" s="1584" t="s">
        <v>2018</v>
      </c>
      <c r="E149" s="2618" t="s">
        <v>273</v>
      </c>
      <c r="F149" s="1577">
        <v>4</v>
      </c>
      <c r="G149" s="1861"/>
      <c r="H149" s="1501">
        <f t="shared" ref="H149:H151" si="3">IF(E149="","",ROUND(F149*G149,2))</f>
        <v>0</v>
      </c>
    </row>
    <row r="150" spans="1:8" s="10" customFormat="1">
      <c r="A150" s="1574"/>
      <c r="B150" s="1271"/>
      <c r="C150" s="147"/>
      <c r="D150" s="1702"/>
      <c r="E150" s="147"/>
      <c r="F150" s="1577"/>
      <c r="G150" s="1578"/>
      <c r="H150" s="1501" t="str">
        <f t="shared" si="3"/>
        <v/>
      </c>
    </row>
    <row r="151" spans="1:8">
      <c r="A151" s="1574">
        <f>$A$4</f>
        <v>18</v>
      </c>
      <c r="B151" s="1271">
        <v>10.5</v>
      </c>
      <c r="C151" s="1981"/>
      <c r="D151" s="1584" t="s">
        <v>2019</v>
      </c>
      <c r="E151" s="2618" t="s">
        <v>273</v>
      </c>
      <c r="F151" s="1577">
        <v>4</v>
      </c>
      <c r="G151" s="1861"/>
      <c r="H151" s="1501">
        <f t="shared" si="3"/>
        <v>0</v>
      </c>
    </row>
    <row r="152" spans="1:8">
      <c r="A152" s="1791"/>
      <c r="B152" s="2614"/>
      <c r="C152" s="1981"/>
      <c r="D152" s="1982"/>
      <c r="E152" s="2041"/>
      <c r="F152" s="2638"/>
      <c r="G152" s="1861"/>
      <c r="H152" s="2657"/>
    </row>
    <row r="153" spans="1:8">
      <c r="A153" s="1791"/>
      <c r="B153" s="2614"/>
      <c r="C153" s="1981"/>
      <c r="D153" s="1982"/>
      <c r="E153" s="2041"/>
      <c r="F153" s="2638"/>
      <c r="G153" s="1861"/>
      <c r="H153" s="2657"/>
    </row>
    <row r="154" spans="1:8">
      <c r="A154" s="1791"/>
      <c r="B154" s="2614"/>
      <c r="C154" s="1981"/>
      <c r="D154" s="1982"/>
      <c r="E154" s="2041"/>
      <c r="F154" s="2638"/>
      <c r="G154" s="1861"/>
      <c r="H154" s="2657"/>
    </row>
    <row r="155" spans="1:8">
      <c r="A155" s="1791"/>
      <c r="B155" s="2614"/>
      <c r="C155" s="1981"/>
      <c r="D155" s="1982"/>
      <c r="E155" s="2041"/>
      <c r="F155" s="2638"/>
      <c r="G155" s="1861"/>
      <c r="H155" s="2657"/>
    </row>
    <row r="156" spans="1:8">
      <c r="A156" s="1791"/>
      <c r="B156" s="2614"/>
      <c r="C156" s="1981"/>
      <c r="D156" s="1982"/>
      <c r="E156" s="2041"/>
      <c r="F156" s="2638"/>
      <c r="G156" s="1861"/>
      <c r="H156" s="2657"/>
    </row>
    <row r="157" spans="1:8">
      <c r="A157" s="1791"/>
      <c r="B157" s="2614"/>
      <c r="C157" s="1981"/>
      <c r="D157" s="1982"/>
      <c r="E157" s="2041"/>
      <c r="F157" s="2638"/>
      <c r="G157" s="1861"/>
      <c r="H157" s="2657"/>
    </row>
    <row r="158" spans="1:8">
      <c r="A158" s="1791"/>
      <c r="B158" s="2614"/>
      <c r="C158" s="1981"/>
      <c r="D158" s="1982"/>
      <c r="E158" s="2041"/>
      <c r="F158" s="2638"/>
      <c r="G158" s="1861"/>
      <c r="H158" s="2657"/>
    </row>
    <row r="159" spans="1:8">
      <c r="A159" s="1791"/>
      <c r="B159" s="2614"/>
      <c r="C159" s="1981"/>
      <c r="D159" s="1982"/>
      <c r="E159" s="2041"/>
      <c r="F159" s="2638"/>
      <c r="G159" s="1861"/>
      <c r="H159" s="2657"/>
    </row>
    <row r="160" spans="1:8">
      <c r="A160" s="1791"/>
      <c r="B160" s="2614"/>
      <c r="C160" s="1981"/>
      <c r="D160" s="1982"/>
      <c r="E160" s="2041"/>
      <c r="F160" s="2638"/>
      <c r="G160" s="1861"/>
      <c r="H160" s="2657"/>
    </row>
    <row r="161" spans="1:8">
      <c r="A161" s="1791"/>
      <c r="B161" s="2614"/>
      <c r="C161" s="1981"/>
      <c r="D161" s="1982"/>
      <c r="E161" s="2041"/>
      <c r="F161" s="2638"/>
      <c r="G161" s="1861"/>
      <c r="H161" s="2657"/>
    </row>
    <row r="162" spans="1:8">
      <c r="A162" s="1791"/>
      <c r="B162" s="2614"/>
      <c r="C162" s="1981"/>
      <c r="D162" s="1982"/>
      <c r="E162" s="2041"/>
      <c r="F162" s="2638"/>
      <c r="G162" s="1861"/>
      <c r="H162" s="2657"/>
    </row>
    <row r="163" spans="1:8">
      <c r="A163" s="1791"/>
      <c r="B163" s="2614"/>
      <c r="C163" s="1981"/>
      <c r="D163" s="1982"/>
      <c r="E163" s="2041"/>
      <c r="F163" s="2638"/>
      <c r="G163" s="1861"/>
      <c r="H163" s="2657"/>
    </row>
    <row r="164" spans="1:8">
      <c r="A164" s="1791"/>
      <c r="B164" s="2614"/>
      <c r="C164" s="1981"/>
      <c r="D164" s="1982"/>
      <c r="E164" s="2041"/>
      <c r="F164" s="2638"/>
      <c r="G164" s="1861"/>
      <c r="H164" s="2657"/>
    </row>
    <row r="165" spans="1:8">
      <c r="A165" s="1791"/>
      <c r="B165" s="2614"/>
      <c r="C165" s="1981"/>
      <c r="D165" s="1982"/>
      <c r="E165" s="2041"/>
      <c r="F165" s="2638"/>
      <c r="G165" s="1861"/>
      <c r="H165" s="2657"/>
    </row>
    <row r="166" spans="1:8">
      <c r="A166" s="1791"/>
      <c r="B166" s="2614"/>
      <c r="C166" s="1981"/>
      <c r="D166" s="1982"/>
      <c r="E166" s="2041"/>
      <c r="F166" s="2638"/>
      <c r="G166" s="1861"/>
      <c r="H166" s="2657"/>
    </row>
    <row r="167" spans="1:8">
      <c r="A167" s="1791"/>
      <c r="B167" s="2614"/>
      <c r="C167" s="1981"/>
      <c r="D167" s="1982"/>
      <c r="E167" s="2041"/>
      <c r="F167" s="2638"/>
      <c r="G167" s="1861"/>
      <c r="H167" s="2657"/>
    </row>
    <row r="168" spans="1:8">
      <c r="A168" s="1791"/>
      <c r="B168" s="2614"/>
      <c r="C168" s="1981"/>
      <c r="D168" s="1982"/>
      <c r="E168" s="2041"/>
      <c r="F168" s="2638"/>
      <c r="G168" s="1861"/>
      <c r="H168" s="2657"/>
    </row>
    <row r="169" spans="1:8">
      <c r="A169" s="1791"/>
      <c r="B169" s="2614"/>
      <c r="C169" s="1981"/>
      <c r="D169" s="1982"/>
      <c r="E169" s="2041"/>
      <c r="F169" s="2638"/>
      <c r="G169" s="1861"/>
      <c r="H169" s="2657"/>
    </row>
    <row r="170" spans="1:8">
      <c r="A170" s="1791"/>
      <c r="B170" s="2614"/>
      <c r="C170" s="1981"/>
      <c r="D170" s="1982"/>
      <c r="E170" s="2041"/>
      <c r="F170" s="2638"/>
      <c r="G170" s="1861"/>
      <c r="H170" s="2657"/>
    </row>
    <row r="171" spans="1:8">
      <c r="A171" s="1791"/>
      <c r="B171" s="2614"/>
      <c r="C171" s="1981"/>
      <c r="D171" s="1982"/>
      <c r="E171" s="2041"/>
      <c r="F171" s="2638"/>
      <c r="G171" s="1861"/>
      <c r="H171" s="2657"/>
    </row>
    <row r="172" spans="1:8">
      <c r="A172" s="1791"/>
      <c r="B172" s="2614"/>
      <c r="C172" s="1981"/>
      <c r="D172" s="1982"/>
      <c r="E172" s="2041"/>
      <c r="F172" s="2638"/>
      <c r="G172" s="1861"/>
      <c r="H172" s="2657"/>
    </row>
    <row r="173" spans="1:8">
      <c r="A173" s="1791"/>
      <c r="B173" s="2614"/>
      <c r="C173" s="1981"/>
      <c r="D173" s="1982"/>
      <c r="E173" s="2041"/>
      <c r="F173" s="2638"/>
      <c r="G173" s="1861"/>
      <c r="H173" s="2657"/>
    </row>
    <row r="174" spans="1:8">
      <c r="A174" s="1791"/>
      <c r="B174" s="2614"/>
      <c r="C174" s="1981"/>
      <c r="D174" s="1982"/>
      <c r="E174" s="2041"/>
      <c r="F174" s="2638"/>
      <c r="G174" s="1861"/>
      <c r="H174" s="2657"/>
    </row>
    <row r="175" spans="1:8">
      <c r="A175" s="1791"/>
      <c r="B175" s="2614"/>
      <c r="C175" s="1981"/>
      <c r="D175" s="1982"/>
      <c r="E175" s="2041"/>
      <c r="F175" s="2638"/>
      <c r="G175" s="1861"/>
      <c r="H175" s="2657"/>
    </row>
    <row r="176" spans="1:8">
      <c r="A176" s="1791"/>
      <c r="B176" s="2614"/>
      <c r="C176" s="1981"/>
      <c r="D176" s="1982"/>
      <c r="E176" s="2041"/>
      <c r="F176" s="2638"/>
      <c r="G176" s="1861"/>
      <c r="H176" s="2657"/>
    </row>
    <row r="177" spans="1:8">
      <c r="A177" s="1791"/>
      <c r="B177" s="2614"/>
      <c r="C177" s="1981"/>
      <c r="D177" s="1982"/>
      <c r="E177" s="2041"/>
      <c r="F177" s="2638"/>
      <c r="G177" s="1861"/>
      <c r="H177" s="2657"/>
    </row>
    <row r="178" spans="1:8">
      <c r="A178" s="1791"/>
      <c r="B178" s="2614"/>
      <c r="C178" s="1981"/>
      <c r="D178" s="1982"/>
      <c r="E178" s="2041"/>
      <c r="F178" s="2638"/>
      <c r="G178" s="1861"/>
      <c r="H178" s="2657"/>
    </row>
    <row r="179" spans="1:8">
      <c r="A179" s="1791"/>
      <c r="B179" s="2614"/>
      <c r="C179" s="1981"/>
      <c r="D179" s="1982"/>
      <c r="E179" s="2041"/>
      <c r="F179" s="2638"/>
      <c r="G179" s="1861"/>
      <c r="H179" s="2657"/>
    </row>
    <row r="180" spans="1:8">
      <c r="A180" s="1791"/>
      <c r="B180" s="2614"/>
      <c r="C180" s="1981"/>
      <c r="D180" s="1982"/>
      <c r="E180" s="2041"/>
      <c r="F180" s="2638"/>
      <c r="G180" s="1861"/>
      <c r="H180" s="2657"/>
    </row>
    <row r="181" spans="1:8">
      <c r="A181" s="1791"/>
      <c r="B181" s="2614"/>
      <c r="C181" s="1981"/>
      <c r="D181" s="1982"/>
      <c r="E181" s="2041"/>
      <c r="F181" s="2638"/>
      <c r="G181" s="1861"/>
      <c r="H181" s="2657"/>
    </row>
    <row r="182" spans="1:8">
      <c r="A182" s="1791"/>
      <c r="B182" s="2614"/>
      <c r="C182" s="1981"/>
      <c r="D182" s="1982"/>
      <c r="E182" s="2041"/>
      <c r="F182" s="2638"/>
      <c r="G182" s="1861"/>
      <c r="H182" s="2657"/>
    </row>
    <row r="183" spans="1:8">
      <c r="A183" s="1791"/>
      <c r="B183" s="2614"/>
      <c r="C183" s="1981"/>
      <c r="D183" s="1982"/>
      <c r="E183" s="2041"/>
      <c r="F183" s="2638"/>
      <c r="G183" s="1861"/>
      <c r="H183" s="2657"/>
    </row>
    <row r="184" spans="1:8">
      <c r="A184" s="1791"/>
      <c r="B184" s="2614"/>
      <c r="C184" s="1981"/>
      <c r="D184" s="1982"/>
      <c r="E184" s="2041"/>
      <c r="F184" s="2638"/>
      <c r="G184" s="1861"/>
      <c r="H184" s="2657"/>
    </row>
    <row r="185" spans="1:8">
      <c r="A185" s="1791"/>
      <c r="B185" s="2614"/>
      <c r="C185" s="1981"/>
      <c r="D185" s="1982"/>
      <c r="E185" s="2041"/>
      <c r="F185" s="2638"/>
      <c r="G185" s="1861"/>
      <c r="H185" s="2657"/>
    </row>
    <row r="186" spans="1:8">
      <c r="A186" s="1791"/>
      <c r="B186" s="2614"/>
      <c r="C186" s="1981"/>
      <c r="D186" s="1982"/>
      <c r="E186" s="2041"/>
      <c r="F186" s="2638"/>
      <c r="G186" s="1861"/>
      <c r="H186" s="2657"/>
    </row>
    <row r="187" spans="1:8">
      <c r="A187" s="1791"/>
      <c r="B187" s="2614"/>
      <c r="C187" s="1981"/>
      <c r="D187" s="1982"/>
      <c r="E187" s="2041"/>
      <c r="F187" s="2638"/>
      <c r="G187" s="1861"/>
      <c r="H187" s="2657"/>
    </row>
    <row r="188" spans="1:8">
      <c r="A188" s="1791"/>
      <c r="B188" s="2614"/>
      <c r="C188" s="1981"/>
      <c r="D188" s="1982"/>
      <c r="E188" s="2041"/>
      <c r="F188" s="2638"/>
      <c r="G188" s="1861"/>
      <c r="H188" s="2657"/>
    </row>
    <row r="189" spans="1:8">
      <c r="A189" s="1791"/>
      <c r="B189" s="2614"/>
      <c r="C189" s="1981"/>
      <c r="D189" s="1982"/>
      <c r="E189" s="2041"/>
      <c r="F189" s="2638"/>
      <c r="G189" s="1861"/>
      <c r="H189" s="2657"/>
    </row>
    <row r="190" spans="1:8">
      <c r="A190" s="1791"/>
      <c r="B190" s="2614"/>
      <c r="C190" s="1981"/>
      <c r="D190" s="1982"/>
      <c r="E190" s="2041"/>
      <c r="F190" s="2638"/>
      <c r="G190" s="1861"/>
      <c r="H190" s="2657"/>
    </row>
    <row r="191" spans="1:8">
      <c r="A191" s="1791"/>
      <c r="B191" s="2614"/>
      <c r="C191" s="1981"/>
      <c r="D191" s="1982"/>
      <c r="E191" s="2041"/>
      <c r="F191" s="2638"/>
      <c r="G191" s="1861"/>
      <c r="H191" s="2657"/>
    </row>
    <row r="192" spans="1:8">
      <c r="A192" s="1791"/>
      <c r="B192" s="2614"/>
      <c r="C192" s="1981"/>
      <c r="D192" s="1982"/>
      <c r="E192" s="2041"/>
      <c r="F192" s="2638"/>
      <c r="G192" s="1861"/>
      <c r="H192" s="2657"/>
    </row>
    <row r="193" spans="1:8">
      <c r="A193" s="1791"/>
      <c r="B193" s="2614"/>
      <c r="C193" s="1981"/>
      <c r="D193" s="1982"/>
      <c r="E193" s="2041"/>
      <c r="F193" s="2638"/>
      <c r="G193" s="1861"/>
      <c r="H193" s="2657"/>
    </row>
    <row r="194" spans="1:8">
      <c r="A194" s="1791"/>
      <c r="B194" s="2614"/>
      <c r="C194" s="1981"/>
      <c r="D194" s="1982"/>
      <c r="E194" s="2041"/>
      <c r="F194" s="2638"/>
      <c r="G194" s="1861"/>
      <c r="H194" s="2657"/>
    </row>
    <row r="195" spans="1:8">
      <c r="A195" s="1791"/>
      <c r="B195" s="2614"/>
      <c r="C195" s="1981"/>
      <c r="D195" s="1982"/>
      <c r="E195" s="2041"/>
      <c r="F195" s="2638"/>
      <c r="G195" s="1861"/>
      <c r="H195" s="2657"/>
    </row>
    <row r="196" spans="1:8">
      <c r="A196" s="1791"/>
      <c r="B196" s="2614"/>
      <c r="C196" s="1981"/>
      <c r="D196" s="1982"/>
      <c r="E196" s="2041"/>
      <c r="F196" s="2638"/>
      <c r="G196" s="1861"/>
      <c r="H196" s="2657"/>
    </row>
    <row r="197" spans="1:8">
      <c r="A197" s="1791"/>
      <c r="B197" s="2614"/>
      <c r="C197" s="1981"/>
      <c r="D197" s="1982"/>
      <c r="E197" s="2041"/>
      <c r="F197" s="2638"/>
      <c r="G197" s="1861"/>
      <c r="H197" s="2657"/>
    </row>
    <row r="198" spans="1:8">
      <c r="A198" s="1791"/>
      <c r="B198" s="2614"/>
      <c r="C198" s="1981"/>
      <c r="D198" s="1982"/>
      <c r="E198" s="2041"/>
      <c r="F198" s="2638"/>
      <c r="G198" s="1861"/>
      <c r="H198" s="2657"/>
    </row>
    <row r="199" spans="1:8">
      <c r="A199" s="1791"/>
      <c r="B199" s="2614"/>
      <c r="C199" s="1981"/>
      <c r="D199" s="1982"/>
      <c r="E199" s="2041"/>
      <c r="F199" s="2638"/>
      <c r="G199" s="1861"/>
      <c r="H199" s="2657"/>
    </row>
    <row r="200" spans="1:8">
      <c r="A200" s="1791"/>
      <c r="B200" s="2614"/>
      <c r="C200" s="1981"/>
      <c r="D200" s="1982"/>
      <c r="E200" s="2041"/>
      <c r="F200" s="2638"/>
      <c r="G200" s="1861"/>
      <c r="H200" s="2657"/>
    </row>
    <row r="201" spans="1:8">
      <c r="A201" s="1791"/>
      <c r="B201" s="2614"/>
      <c r="C201" s="1981"/>
      <c r="D201" s="1982"/>
      <c r="E201" s="2041"/>
      <c r="F201" s="2638"/>
      <c r="G201" s="1861"/>
      <c r="H201" s="2657"/>
    </row>
    <row r="202" spans="1:8">
      <c r="A202" s="1791"/>
      <c r="B202" s="2614"/>
      <c r="C202" s="1981"/>
      <c r="D202" s="1982"/>
      <c r="E202" s="2041"/>
      <c r="F202" s="2638"/>
      <c r="G202" s="1861"/>
      <c r="H202" s="2657"/>
    </row>
    <row r="203" spans="1:8">
      <c r="A203" s="1791"/>
      <c r="B203" s="2614"/>
      <c r="C203" s="1981"/>
      <c r="D203" s="1982"/>
      <c r="E203" s="2041"/>
      <c r="F203" s="2638"/>
      <c r="G203" s="1861"/>
      <c r="H203" s="2657"/>
    </row>
    <row r="204" spans="1:8">
      <c r="A204" s="1791"/>
      <c r="B204" s="2614"/>
      <c r="C204" s="1981"/>
      <c r="D204" s="1982"/>
      <c r="E204" s="2041"/>
      <c r="F204" s="2638"/>
      <c r="G204" s="1861"/>
      <c r="H204" s="2657"/>
    </row>
    <row r="205" spans="1:8">
      <c r="A205" s="1791"/>
      <c r="B205" s="2614"/>
      <c r="C205" s="1981"/>
      <c r="D205" s="1982"/>
      <c r="E205" s="2041"/>
      <c r="F205" s="2638"/>
      <c r="G205" s="1861"/>
      <c r="H205" s="2657"/>
    </row>
    <row r="206" spans="1:8">
      <c r="A206" s="1791"/>
      <c r="B206" s="2614"/>
      <c r="C206" s="1981"/>
      <c r="D206" s="1982"/>
      <c r="E206" s="2041"/>
      <c r="F206" s="2638"/>
      <c r="G206" s="1861"/>
      <c r="H206" s="2657"/>
    </row>
    <row r="207" spans="1:8">
      <c r="A207" s="1791"/>
      <c r="B207" s="2614"/>
      <c r="C207" s="1981"/>
      <c r="D207" s="1982"/>
      <c r="E207" s="2041"/>
      <c r="F207" s="2638"/>
      <c r="G207" s="1861"/>
      <c r="H207" s="2657"/>
    </row>
    <row r="208" spans="1:8">
      <c r="A208" s="1791"/>
      <c r="B208" s="2614"/>
      <c r="C208" s="1981"/>
      <c r="D208" s="1982"/>
      <c r="E208" s="2041"/>
      <c r="F208" s="2638"/>
      <c r="G208" s="1861"/>
      <c r="H208" s="2657"/>
    </row>
    <row r="209" spans="1:8">
      <c r="A209" s="1791"/>
      <c r="B209" s="2614"/>
      <c r="C209" s="1981"/>
      <c r="D209" s="1982"/>
      <c r="E209" s="2041"/>
      <c r="F209" s="2638"/>
      <c r="G209" s="1861"/>
      <c r="H209" s="2657"/>
    </row>
    <row r="210" spans="1:8">
      <c r="A210" s="1791"/>
      <c r="B210" s="2614"/>
      <c r="C210" s="1981"/>
      <c r="D210" s="1982"/>
      <c r="E210" s="2041"/>
      <c r="F210" s="2638"/>
      <c r="G210" s="1861"/>
      <c r="H210" s="2657"/>
    </row>
    <row r="211" spans="1:8">
      <c r="A211" s="1791"/>
      <c r="B211" s="2614"/>
      <c r="C211" s="1981"/>
      <c r="D211" s="1982"/>
      <c r="E211" s="2041"/>
      <c r="F211" s="2638"/>
      <c r="G211" s="1861"/>
      <c r="H211" s="2657"/>
    </row>
    <row r="212" spans="1:8">
      <c r="A212" s="1791"/>
      <c r="B212" s="2614"/>
      <c r="C212" s="1981"/>
      <c r="D212" s="1982"/>
      <c r="E212" s="2041"/>
      <c r="F212" s="2638"/>
      <c r="G212" s="1861"/>
      <c r="H212" s="2657"/>
    </row>
    <row r="213" spans="1:8">
      <c r="A213" s="1791"/>
      <c r="B213" s="2614"/>
      <c r="C213" s="1981"/>
      <c r="D213" s="1982"/>
      <c r="E213" s="2041"/>
      <c r="F213" s="2638"/>
      <c r="G213" s="1861"/>
      <c r="H213" s="2657"/>
    </row>
    <row r="214" spans="1:8">
      <c r="A214" s="1791"/>
      <c r="B214" s="2614"/>
      <c r="C214" s="1981"/>
      <c r="D214" s="1982"/>
      <c r="E214" s="2041"/>
      <c r="F214" s="2638"/>
      <c r="G214" s="1861"/>
      <c r="H214" s="2657"/>
    </row>
    <row r="215" spans="1:8">
      <c r="A215" s="1791"/>
      <c r="B215" s="2614"/>
      <c r="C215" s="1981"/>
      <c r="D215" s="1982"/>
      <c r="E215" s="2041"/>
      <c r="F215" s="2638"/>
      <c r="G215" s="1861"/>
      <c r="H215" s="2657"/>
    </row>
    <row r="216" spans="1:8">
      <c r="A216" s="1791"/>
      <c r="B216" s="2614"/>
      <c r="C216" s="1981"/>
      <c r="D216" s="1982"/>
      <c r="E216" s="2041"/>
      <c r="F216" s="2638"/>
      <c r="G216" s="1861"/>
      <c r="H216" s="2657"/>
    </row>
    <row r="217" spans="1:8">
      <c r="A217" s="1791"/>
      <c r="B217" s="2614"/>
      <c r="C217" s="1981"/>
      <c r="D217" s="1982"/>
      <c r="E217" s="2041"/>
      <c r="F217" s="2638"/>
      <c r="G217" s="1861"/>
      <c r="H217" s="2657"/>
    </row>
    <row r="218" spans="1:8">
      <c r="A218" s="1791"/>
      <c r="B218" s="2614"/>
      <c r="C218" s="1981"/>
      <c r="D218" s="1982"/>
      <c r="E218" s="2041"/>
      <c r="F218" s="2638"/>
      <c r="G218" s="1861"/>
      <c r="H218" s="2657"/>
    </row>
    <row r="219" spans="1:8">
      <c r="A219" s="1791"/>
      <c r="B219" s="2614"/>
      <c r="C219" s="1981"/>
      <c r="D219" s="1982"/>
      <c r="E219" s="2041"/>
      <c r="F219" s="2638"/>
      <c r="G219" s="1861"/>
      <c r="H219" s="2657"/>
    </row>
    <row r="220" spans="1:8">
      <c r="A220" s="1791"/>
      <c r="B220" s="2614"/>
      <c r="C220" s="1981"/>
      <c r="D220" s="1982"/>
      <c r="E220" s="2041"/>
      <c r="F220" s="2638"/>
      <c r="G220" s="1861"/>
      <c r="H220" s="2657"/>
    </row>
    <row r="221" spans="1:8">
      <c r="A221" s="1791"/>
      <c r="B221" s="2614"/>
      <c r="C221" s="1981"/>
      <c r="D221" s="1982"/>
      <c r="E221" s="2041"/>
      <c r="F221" s="2638"/>
      <c r="G221" s="1861"/>
      <c r="H221" s="2657"/>
    </row>
    <row r="222" spans="1:8">
      <c r="A222" s="1791"/>
      <c r="B222" s="2614"/>
      <c r="C222" s="1981"/>
      <c r="D222" s="1982"/>
      <c r="E222" s="2041"/>
      <c r="F222" s="2638"/>
      <c r="G222" s="1861"/>
      <c r="H222" s="2657"/>
    </row>
    <row r="223" spans="1:8">
      <c r="A223" s="1791"/>
      <c r="B223" s="2614"/>
      <c r="C223" s="1981"/>
      <c r="D223" s="1982"/>
      <c r="E223" s="2041"/>
      <c r="F223" s="2638"/>
      <c r="G223" s="1861"/>
      <c r="H223" s="2657"/>
    </row>
    <row r="224" spans="1:8">
      <c r="A224" s="1791"/>
      <c r="B224" s="2614"/>
      <c r="C224" s="1981"/>
      <c r="D224" s="1982"/>
      <c r="E224" s="2041"/>
      <c r="F224" s="2638"/>
      <c r="G224" s="1861"/>
      <c r="H224" s="2657"/>
    </row>
    <row r="225" spans="1:8">
      <c r="A225" s="1791"/>
      <c r="B225" s="2601"/>
      <c r="C225" s="1981"/>
      <c r="D225" s="1983"/>
      <c r="E225" s="2041"/>
      <c r="F225" s="2040"/>
      <c r="G225" s="1861"/>
      <c r="H225" s="2657"/>
    </row>
    <row r="226" spans="1:8">
      <c r="A226" s="1791"/>
      <c r="B226" s="2202"/>
      <c r="C226" s="2202"/>
      <c r="D226" s="839"/>
      <c r="E226" s="1335"/>
      <c r="F226" s="1335"/>
      <c r="G226" s="1308"/>
      <c r="H226" s="2661"/>
    </row>
    <row r="227" spans="1:8">
      <c r="A227" s="1791"/>
      <c r="B227" s="2614"/>
      <c r="C227" s="1981"/>
      <c r="D227" s="1982"/>
      <c r="E227" s="2041"/>
      <c r="F227" s="880"/>
      <c r="G227" s="1861"/>
      <c r="H227" s="2661"/>
    </row>
    <row r="228" spans="1:8">
      <c r="A228" s="1791"/>
      <c r="B228" s="2601"/>
      <c r="C228" s="1981"/>
      <c r="D228" s="1983"/>
      <c r="E228" s="2041"/>
      <c r="F228" s="2040"/>
      <c r="G228" s="1861"/>
      <c r="H228" s="2661"/>
    </row>
    <row r="229" spans="1:8">
      <c r="A229" s="2333"/>
      <c r="B229" s="822"/>
      <c r="C229" s="837"/>
      <c r="D229" s="837"/>
      <c r="E229" s="837"/>
      <c r="F229" s="838"/>
      <c r="G229" s="2650"/>
      <c r="H229" s="2651"/>
    </row>
    <row r="230" spans="1:8">
      <c r="A230" s="2336"/>
      <c r="B230" s="823"/>
      <c r="C230" s="515"/>
      <c r="D230" s="457" t="s">
        <v>2020</v>
      </c>
      <c r="E230" s="426"/>
      <c r="F230" s="24"/>
      <c r="G230" s="1471"/>
      <c r="H230" s="2652">
        <f>SUM(H147:H228)</f>
        <v>700000</v>
      </c>
    </row>
  </sheetData>
  <sheetProtection algorithmName="SHA-512" hashValue="Hvhu7PI2nsDK3fiT04KeWzcVbMEtWrF4So6fnajzxmUd8BcyzI7S3YzZN0Fso95UqW2e8S4ogs3LgFBL5hRQTg==" saltValue="W+Ellh5+NI/N0yo9YvIwmg==" spinCount="100000" sheet="1" objects="1" scenarios="1"/>
  <mergeCells count="1">
    <mergeCell ref="A1:H1"/>
  </mergeCells>
  <phoneticPr fontId="33" type="noConversion"/>
  <pageMargins left="0.59055118110236227" right="0.59055118110236227" top="1.1023622047244095" bottom="0.78740157480314965" header="0.27559055118110237" footer="0.27559055118110237"/>
  <pageSetup paperSize="9" scale="64" firstPageNumber="106" fitToHeight="0" orientation="portrait" useFirstPageNumber="1" r:id="rId1"/>
  <headerFooter alignWithMargins="0">
    <oddHeader>&amp;L&amp;G&amp;CContract JW 14425
Bushkoppie Wastewater Treatment Works:
Infrastructure Renewal Plan
Volume 1 
C 2.2 Bill of Quantities&amp;R&amp;G</oddHeader>
    <oddFooter>&amp;C&amp;12
&amp;G
C.&amp;P</oddFooter>
  </headerFooter>
  <rowBreaks count="2" manualBreakCount="2">
    <brk id="80" max="16383" man="1"/>
    <brk id="146" max="16383" man="1"/>
  </rowBreaks>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BBB42-8F76-46DB-B829-63A52738EE06}">
  <sheetPr codeName="Sheet18">
    <pageSetUpPr fitToPage="1"/>
  </sheetPr>
  <dimension ref="A1:I231"/>
  <sheetViews>
    <sheetView topLeftCell="A177" zoomScaleNormal="100" workbookViewId="0">
      <selection activeCell="G163" sqref="G163"/>
    </sheetView>
  </sheetViews>
  <sheetFormatPr defaultColWidth="6.109375" defaultRowHeight="13.2"/>
  <cols>
    <col min="1" max="1" width="8.88671875" style="335" customWidth="1"/>
    <col min="2" max="2" width="9.88671875" style="31" customWidth="1"/>
    <col min="3" max="3" width="58.88671875" style="31" customWidth="1"/>
    <col min="4" max="4" width="8.88671875" style="32" customWidth="1"/>
    <col min="5" max="5" width="10.88671875" style="337" customWidth="1"/>
    <col min="6" max="6" width="14.88671875" style="213" customWidth="1"/>
    <col min="7" max="7" width="20.88671875" style="354" customWidth="1"/>
    <col min="8" max="8" width="6.109375" style="31" customWidth="1"/>
    <col min="9" max="9" width="15.44140625" style="31" bestFit="1" customWidth="1"/>
    <col min="10" max="12" width="6.109375" style="31" customWidth="1"/>
    <col min="13" max="13" width="8" style="31" customWidth="1"/>
    <col min="14" max="16384" width="6.109375" style="31"/>
  </cols>
  <sheetData>
    <row r="1" spans="1:9" s="329" customFormat="1" ht="15">
      <c r="A1" s="3040" t="s">
        <v>2021</v>
      </c>
      <c r="B1" s="3041"/>
      <c r="C1" s="3041"/>
      <c r="D1" s="3041"/>
      <c r="E1" s="3041"/>
      <c r="F1" s="3041"/>
      <c r="G1" s="3042"/>
    </row>
    <row r="2" spans="1:9" s="420" customFormat="1" ht="25.5" customHeight="1">
      <c r="A2" s="488" t="s">
        <v>217</v>
      </c>
      <c r="B2" s="453" t="s">
        <v>218</v>
      </c>
      <c r="C2" s="417" t="s">
        <v>219</v>
      </c>
      <c r="D2" s="417" t="s">
        <v>220</v>
      </c>
      <c r="E2" s="568" t="s">
        <v>221</v>
      </c>
      <c r="F2" s="569" t="s">
        <v>222</v>
      </c>
      <c r="G2" s="570" t="s">
        <v>223</v>
      </c>
    </row>
    <row r="3" spans="1:9">
      <c r="A3" s="441"/>
      <c r="B3" s="445"/>
      <c r="C3" s="2662"/>
      <c r="D3" s="440"/>
      <c r="E3" s="442"/>
      <c r="F3" s="375"/>
      <c r="G3" s="375"/>
    </row>
    <row r="4" spans="1:9" s="513" customFormat="1" ht="13.8">
      <c r="A4" s="516">
        <v>15</v>
      </c>
      <c r="B4" s="517"/>
      <c r="C4" s="519" t="s">
        <v>2022</v>
      </c>
      <c r="D4" s="888"/>
      <c r="E4" s="512"/>
      <c r="F4" s="518"/>
      <c r="G4" s="2663"/>
    </row>
    <row r="5" spans="1:9" s="513" customFormat="1" ht="12.75" customHeight="1">
      <c r="A5" s="516"/>
      <c r="B5" s="517"/>
      <c r="C5" s="519"/>
      <c r="D5" s="888"/>
      <c r="E5" s="512"/>
      <c r="F5" s="518"/>
      <c r="G5" s="2663"/>
    </row>
    <row r="6" spans="1:9">
      <c r="A6" s="443">
        <v>19.100000000000001</v>
      </c>
      <c r="B6" s="445"/>
      <c r="C6" s="437" t="s">
        <v>2023</v>
      </c>
      <c r="D6" s="440"/>
      <c r="E6" s="442"/>
      <c r="F6" s="375"/>
      <c r="G6" s="375"/>
      <c r="I6" s="782">
        <f>SUM(G8:G22)</f>
        <v>17517412</v>
      </c>
    </row>
    <row r="7" spans="1:9">
      <c r="A7" s="441"/>
      <c r="B7" s="444"/>
      <c r="C7" s="2662"/>
      <c r="D7" s="440"/>
      <c r="E7" s="442"/>
      <c r="F7" s="375"/>
      <c r="G7" s="375"/>
    </row>
    <row r="8" spans="1:9" ht="26.4">
      <c r="A8" s="441" t="s">
        <v>2024</v>
      </c>
      <c r="B8" s="445"/>
      <c r="C8" s="2664" t="s">
        <v>2025</v>
      </c>
      <c r="D8" s="2665" t="s">
        <v>691</v>
      </c>
      <c r="E8" s="2665">
        <v>32</v>
      </c>
      <c r="F8" s="2666">
        <v>493801</v>
      </c>
      <c r="G8" s="2667">
        <f t="shared" ref="G8:G39" si="0">IF(F8="","",F8*E8)</f>
        <v>15801632</v>
      </c>
    </row>
    <row r="9" spans="1:9">
      <c r="A9" s="1604"/>
      <c r="B9" s="444"/>
      <c r="C9" s="2668"/>
      <c r="D9" s="440"/>
      <c r="E9" s="442"/>
      <c r="F9" s="375" t="s">
        <v>1002</v>
      </c>
      <c r="G9" s="2667" t="str">
        <f t="shared" si="0"/>
        <v/>
      </c>
    </row>
    <row r="10" spans="1:9">
      <c r="A10" s="441" t="s">
        <v>2026</v>
      </c>
      <c r="B10" s="444"/>
      <c r="C10" s="2668" t="s">
        <v>2027</v>
      </c>
      <c r="D10" s="2669" t="s">
        <v>691</v>
      </c>
      <c r="E10" s="2669">
        <f>32+12</f>
        <v>44</v>
      </c>
      <c r="F10" s="2670">
        <v>8470</v>
      </c>
      <c r="G10" s="2667">
        <f t="shared" si="0"/>
        <v>372680</v>
      </c>
    </row>
    <row r="11" spans="1:9">
      <c r="A11" s="1604"/>
      <c r="B11" s="444"/>
      <c r="C11" s="2668"/>
      <c r="D11" s="2669"/>
      <c r="E11" s="2671"/>
      <c r="F11" s="2670" t="s">
        <v>1002</v>
      </c>
      <c r="G11" s="2667" t="str">
        <f t="shared" si="0"/>
        <v/>
      </c>
    </row>
    <row r="12" spans="1:9" s="32" customFormat="1" ht="15.6">
      <c r="A12" s="1604" t="s">
        <v>2028</v>
      </c>
      <c r="B12" s="2672"/>
      <c r="C12" s="2668" t="s">
        <v>2029</v>
      </c>
      <c r="D12" s="2669" t="s">
        <v>561</v>
      </c>
      <c r="E12" s="2669">
        <v>120</v>
      </c>
      <c r="F12" s="2670">
        <v>2178</v>
      </c>
      <c r="G12" s="2667">
        <f t="shared" si="0"/>
        <v>261360</v>
      </c>
    </row>
    <row r="13" spans="1:9">
      <c r="A13" s="1604"/>
      <c r="B13" s="2673"/>
      <c r="C13" s="2668"/>
      <c r="D13" s="2674"/>
      <c r="E13" s="2675"/>
      <c r="F13" s="2670" t="s">
        <v>1002</v>
      </c>
      <c r="G13" s="2667" t="str">
        <f t="shared" si="0"/>
        <v/>
      </c>
    </row>
    <row r="14" spans="1:9">
      <c r="A14" s="1604" t="s">
        <v>2030</v>
      </c>
      <c r="B14" s="444"/>
      <c r="C14" s="2668" t="s">
        <v>2031</v>
      </c>
      <c r="D14" s="2669" t="s">
        <v>691</v>
      </c>
      <c r="E14" s="2669">
        <v>6</v>
      </c>
      <c r="F14" s="2670">
        <v>99825</v>
      </c>
      <c r="G14" s="2667">
        <f t="shared" si="0"/>
        <v>598950</v>
      </c>
    </row>
    <row r="15" spans="1:9">
      <c r="A15" s="1604"/>
      <c r="B15" s="444"/>
      <c r="C15" s="2668"/>
      <c r="D15" s="2669"/>
      <c r="E15" s="2671"/>
      <c r="F15" s="2670" t="s">
        <v>1002</v>
      </c>
      <c r="G15" s="2667" t="str">
        <f t="shared" si="0"/>
        <v/>
      </c>
    </row>
    <row r="16" spans="1:9">
      <c r="A16" s="1604" t="s">
        <v>2032</v>
      </c>
      <c r="B16" s="444"/>
      <c r="C16" s="2668" t="s">
        <v>2033</v>
      </c>
      <c r="D16" s="2674" t="s">
        <v>976</v>
      </c>
      <c r="E16" s="2675">
        <v>6</v>
      </c>
      <c r="F16" s="2670">
        <v>30250</v>
      </c>
      <c r="G16" s="2667">
        <f t="shared" si="0"/>
        <v>181500</v>
      </c>
    </row>
    <row r="17" spans="1:9">
      <c r="A17" s="1604"/>
      <c r="B17" s="444"/>
      <c r="C17" s="2668"/>
      <c r="D17" s="2674"/>
      <c r="E17" s="2675"/>
      <c r="F17" s="2670" t="s">
        <v>1002</v>
      </c>
      <c r="G17" s="2667" t="str">
        <f t="shared" si="0"/>
        <v/>
      </c>
    </row>
    <row r="18" spans="1:9">
      <c r="A18" s="1604" t="s">
        <v>2034</v>
      </c>
      <c r="B18" s="444"/>
      <c r="C18" s="2668" t="s">
        <v>2035</v>
      </c>
      <c r="D18" s="2669" t="s">
        <v>976</v>
      </c>
      <c r="E18" s="2669">
        <v>6</v>
      </c>
      <c r="F18" s="2670">
        <v>32670</v>
      </c>
      <c r="G18" s="2667">
        <f t="shared" si="0"/>
        <v>196020</v>
      </c>
    </row>
    <row r="19" spans="1:9">
      <c r="A19" s="1604"/>
      <c r="B19" s="444"/>
      <c r="C19" s="2668"/>
      <c r="D19" s="2669"/>
      <c r="E19" s="2671"/>
      <c r="F19" s="2670" t="s">
        <v>1002</v>
      </c>
      <c r="G19" s="2667" t="str">
        <f t="shared" si="0"/>
        <v/>
      </c>
    </row>
    <row r="20" spans="1:9">
      <c r="A20" s="1604" t="s">
        <v>2036</v>
      </c>
      <c r="B20" s="444"/>
      <c r="C20" s="2668" t="s">
        <v>2037</v>
      </c>
      <c r="D20" s="2674" t="s">
        <v>691</v>
      </c>
      <c r="E20" s="2675">
        <f>3+2+2+2+3+11</f>
        <v>23</v>
      </c>
      <c r="F20" s="2670">
        <v>3630</v>
      </c>
      <c r="G20" s="2667">
        <f t="shared" si="0"/>
        <v>83490</v>
      </c>
    </row>
    <row r="21" spans="1:9">
      <c r="A21" s="1604"/>
      <c r="B21" s="444"/>
      <c r="C21" s="2668"/>
      <c r="D21" s="2674"/>
      <c r="E21" s="2675"/>
      <c r="F21" s="2670" t="s">
        <v>1002</v>
      </c>
      <c r="G21" s="2667" t="str">
        <f t="shared" si="0"/>
        <v/>
      </c>
    </row>
    <row r="22" spans="1:9">
      <c r="A22" s="1604" t="s">
        <v>2038</v>
      </c>
      <c r="B22" s="2676"/>
      <c r="C22" s="2668" t="s">
        <v>2039</v>
      </c>
      <c r="D22" s="2674" t="s">
        <v>691</v>
      </c>
      <c r="E22" s="2675">
        <v>6</v>
      </c>
      <c r="F22" s="2670">
        <v>3630</v>
      </c>
      <c r="G22" s="2667">
        <f t="shared" si="0"/>
        <v>21780</v>
      </c>
    </row>
    <row r="23" spans="1:9">
      <c r="A23" s="1604"/>
      <c r="B23" s="2672"/>
      <c r="C23" s="2668"/>
      <c r="D23" s="2674"/>
      <c r="E23" s="2675"/>
      <c r="F23" s="2670" t="s">
        <v>1002</v>
      </c>
      <c r="G23" s="2667" t="str">
        <f t="shared" si="0"/>
        <v/>
      </c>
    </row>
    <row r="24" spans="1:9">
      <c r="A24" s="2677">
        <v>19.2</v>
      </c>
      <c r="B24" s="444"/>
      <c r="C24" s="2678" t="s">
        <v>2040</v>
      </c>
      <c r="D24" s="2674"/>
      <c r="E24" s="2674"/>
      <c r="F24" s="2670" t="s">
        <v>1002</v>
      </c>
      <c r="G24" s="2667" t="str">
        <f t="shared" si="0"/>
        <v/>
      </c>
      <c r="I24" s="782">
        <f>SUM(G26:G30)</f>
        <v>111320</v>
      </c>
    </row>
    <row r="25" spans="1:9">
      <c r="A25" s="1604"/>
      <c r="B25" s="2672"/>
      <c r="C25" s="2679"/>
      <c r="D25" s="2674"/>
      <c r="E25" s="2674"/>
      <c r="F25" s="2670" t="s">
        <v>1002</v>
      </c>
      <c r="G25" s="2667" t="str">
        <f t="shared" si="0"/>
        <v/>
      </c>
    </row>
    <row r="26" spans="1:9" s="32" customFormat="1" ht="26.4">
      <c r="A26" s="1604" t="s">
        <v>2041</v>
      </c>
      <c r="B26" s="2672"/>
      <c r="C26" s="2680" t="s">
        <v>2042</v>
      </c>
      <c r="D26" s="2681" t="s">
        <v>691</v>
      </c>
      <c r="E26" s="2665">
        <v>1</v>
      </c>
      <c r="F26" s="2666">
        <v>8470</v>
      </c>
      <c r="G26" s="2667">
        <f t="shared" si="0"/>
        <v>8470</v>
      </c>
    </row>
    <row r="27" spans="1:9" s="10" customFormat="1">
      <c r="A27" s="1604"/>
      <c r="B27" s="444"/>
      <c r="C27" s="2668"/>
      <c r="D27" s="2669"/>
      <c r="E27" s="2669"/>
      <c r="F27" s="2682" t="s">
        <v>1002</v>
      </c>
      <c r="G27" s="2667" t="str">
        <f t="shared" si="0"/>
        <v/>
      </c>
    </row>
    <row r="28" spans="1:9">
      <c r="A28" s="1604" t="s">
        <v>2043</v>
      </c>
      <c r="B28" s="2676"/>
      <c r="C28" s="2668" t="s">
        <v>2044</v>
      </c>
      <c r="D28" s="2669" t="s">
        <v>976</v>
      </c>
      <c r="E28" s="2669">
        <v>1</v>
      </c>
      <c r="F28" s="2670">
        <v>30250</v>
      </c>
      <c r="G28" s="2667">
        <f t="shared" si="0"/>
        <v>30250</v>
      </c>
    </row>
    <row r="29" spans="1:9">
      <c r="A29" s="1604"/>
      <c r="B29" s="2672"/>
      <c r="C29" s="2668"/>
      <c r="D29" s="2674"/>
      <c r="E29" s="2675"/>
      <c r="F29" s="2670" t="s">
        <v>1002</v>
      </c>
      <c r="G29" s="2667" t="str">
        <f t="shared" si="0"/>
        <v/>
      </c>
    </row>
    <row r="30" spans="1:9">
      <c r="A30" s="1604" t="s">
        <v>2045</v>
      </c>
      <c r="B30" s="444"/>
      <c r="C30" s="2668" t="s">
        <v>2046</v>
      </c>
      <c r="D30" s="2669" t="s">
        <v>691</v>
      </c>
      <c r="E30" s="2669">
        <v>1</v>
      </c>
      <c r="F30" s="2670">
        <v>72600</v>
      </c>
      <c r="G30" s="2667">
        <f t="shared" si="0"/>
        <v>72600</v>
      </c>
    </row>
    <row r="31" spans="1:9">
      <c r="A31" s="1604"/>
      <c r="B31" s="2683"/>
      <c r="C31" s="2668"/>
      <c r="D31" s="2674"/>
      <c r="E31" s="2675"/>
      <c r="F31" s="2670" t="s">
        <v>1002</v>
      </c>
      <c r="G31" s="2667" t="str">
        <f t="shared" si="0"/>
        <v/>
      </c>
    </row>
    <row r="32" spans="1:9">
      <c r="A32" s="2684">
        <v>19.3</v>
      </c>
      <c r="B32" s="2685"/>
      <c r="C32" s="2678" t="s">
        <v>2047</v>
      </c>
      <c r="D32" s="2674"/>
      <c r="E32" s="2674"/>
      <c r="F32" s="2670" t="s">
        <v>1002</v>
      </c>
      <c r="G32" s="2667" t="str">
        <f t="shared" si="0"/>
        <v/>
      </c>
      <c r="I32" s="782">
        <f>SUM(G34:G42)</f>
        <v>707850</v>
      </c>
    </row>
    <row r="33" spans="1:9">
      <c r="A33" s="1593"/>
      <c r="B33" s="2685"/>
      <c r="C33" s="2679"/>
      <c r="D33" s="2674"/>
      <c r="E33" s="2674"/>
      <c r="F33" s="2670" t="s">
        <v>1002</v>
      </c>
      <c r="G33" s="2667" t="str">
        <f t="shared" si="0"/>
        <v/>
      </c>
    </row>
    <row r="34" spans="1:9">
      <c r="A34" s="1604" t="s">
        <v>2048</v>
      </c>
      <c r="B34" s="444"/>
      <c r="C34" s="2668" t="s">
        <v>2049</v>
      </c>
      <c r="D34" s="2669" t="s">
        <v>691</v>
      </c>
      <c r="E34" s="2669">
        <v>2</v>
      </c>
      <c r="F34" s="2682">
        <v>48400</v>
      </c>
      <c r="G34" s="2667">
        <f t="shared" si="0"/>
        <v>96800</v>
      </c>
    </row>
    <row r="35" spans="1:9">
      <c r="A35" s="1593"/>
      <c r="B35" s="444"/>
      <c r="C35" s="2668"/>
      <c r="D35" s="2674"/>
      <c r="E35" s="2669"/>
      <c r="F35" s="2682" t="s">
        <v>1002</v>
      </c>
      <c r="G35" s="2667" t="str">
        <f t="shared" si="0"/>
        <v/>
      </c>
    </row>
    <row r="36" spans="1:9">
      <c r="A36" s="1604" t="s">
        <v>2050</v>
      </c>
      <c r="B36" s="2672"/>
      <c r="C36" s="2668" t="s">
        <v>2051</v>
      </c>
      <c r="D36" s="2669" t="s">
        <v>976</v>
      </c>
      <c r="E36" s="2669">
        <v>1</v>
      </c>
      <c r="F36" s="2670">
        <v>242000</v>
      </c>
      <c r="G36" s="2667">
        <f t="shared" si="0"/>
        <v>242000</v>
      </c>
    </row>
    <row r="37" spans="1:9">
      <c r="A37" s="1593"/>
      <c r="B37" s="2672"/>
      <c r="C37" s="2668"/>
      <c r="D37" s="2669"/>
      <c r="E37" s="2671"/>
      <c r="F37" s="2670" t="s">
        <v>1002</v>
      </c>
      <c r="G37" s="2667" t="str">
        <f t="shared" si="0"/>
        <v/>
      </c>
    </row>
    <row r="38" spans="1:9">
      <c r="A38" s="1604" t="s">
        <v>2052</v>
      </c>
      <c r="B38" s="2672"/>
      <c r="C38" s="2668" t="s">
        <v>2053</v>
      </c>
      <c r="D38" s="2669" t="s">
        <v>976</v>
      </c>
      <c r="E38" s="2669">
        <v>1</v>
      </c>
      <c r="F38" s="2670">
        <v>181500</v>
      </c>
      <c r="G38" s="2667">
        <f t="shared" si="0"/>
        <v>181500</v>
      </c>
    </row>
    <row r="39" spans="1:9">
      <c r="A39" s="1593"/>
      <c r="B39" s="2672"/>
      <c r="C39" s="2668"/>
      <c r="D39" s="2674"/>
      <c r="E39" s="2675"/>
      <c r="F39" s="2670" t="s">
        <v>1002</v>
      </c>
      <c r="G39" s="2667" t="str">
        <f t="shared" si="0"/>
        <v/>
      </c>
    </row>
    <row r="40" spans="1:9" s="10" customFormat="1">
      <c r="A40" s="1604" t="s">
        <v>2054</v>
      </c>
      <c r="B40" s="2672"/>
      <c r="C40" s="2668" t="s">
        <v>2055</v>
      </c>
      <c r="D40" s="2669" t="s">
        <v>976</v>
      </c>
      <c r="E40" s="2669">
        <v>1</v>
      </c>
      <c r="F40" s="2670">
        <v>121000</v>
      </c>
      <c r="G40" s="2667">
        <f t="shared" ref="G40:G71" si="1">IF(F40="","",F40*E40)</f>
        <v>121000</v>
      </c>
    </row>
    <row r="41" spans="1:9">
      <c r="A41" s="1593"/>
      <c r="B41" s="2672"/>
      <c r="C41" s="2668"/>
      <c r="D41" s="2669"/>
      <c r="E41" s="2669"/>
      <c r="F41" s="2670" t="s">
        <v>1002</v>
      </c>
      <c r="G41" s="2667" t="str">
        <f t="shared" si="1"/>
        <v/>
      </c>
    </row>
    <row r="42" spans="1:9">
      <c r="A42" s="1604" t="s">
        <v>2056</v>
      </c>
      <c r="B42" s="444"/>
      <c r="C42" s="2668" t="s">
        <v>2057</v>
      </c>
      <c r="D42" s="2674" t="s">
        <v>691</v>
      </c>
      <c r="E42" s="2675">
        <v>11</v>
      </c>
      <c r="F42" s="2670">
        <v>6050</v>
      </c>
      <c r="G42" s="2667">
        <f t="shared" si="1"/>
        <v>66550</v>
      </c>
    </row>
    <row r="43" spans="1:9">
      <c r="A43" s="1593"/>
      <c r="B43" s="444"/>
      <c r="C43" s="2668"/>
      <c r="D43" s="2674"/>
      <c r="E43" s="2675"/>
      <c r="F43" s="2670" t="s">
        <v>1002</v>
      </c>
      <c r="G43" s="2667" t="str">
        <f t="shared" si="1"/>
        <v/>
      </c>
    </row>
    <row r="44" spans="1:9">
      <c r="A44" s="2677">
        <v>19.399999999999999</v>
      </c>
      <c r="B44" s="444"/>
      <c r="C44" s="2678" t="s">
        <v>2058</v>
      </c>
      <c r="D44" s="2674"/>
      <c r="E44" s="2674"/>
      <c r="F44" s="2670" t="s">
        <v>1002</v>
      </c>
      <c r="G44" s="2667" t="str">
        <f t="shared" si="1"/>
        <v/>
      </c>
      <c r="I44" s="782">
        <f>SUM(G46:G54)</f>
        <v>980100</v>
      </c>
    </row>
    <row r="45" spans="1:9">
      <c r="A45" s="1604"/>
      <c r="B45" s="444"/>
      <c r="C45" s="2679"/>
      <c r="D45" s="2674"/>
      <c r="E45" s="2674"/>
      <c r="F45" s="2670" t="s">
        <v>1002</v>
      </c>
      <c r="G45" s="2667" t="str">
        <f t="shared" si="1"/>
        <v/>
      </c>
    </row>
    <row r="46" spans="1:9">
      <c r="A46" s="1604" t="s">
        <v>2059</v>
      </c>
      <c r="B46" s="2676"/>
      <c r="C46" s="2668" t="s">
        <v>2060</v>
      </c>
      <c r="D46" s="2669" t="s">
        <v>691</v>
      </c>
      <c r="E46" s="2669">
        <v>6</v>
      </c>
      <c r="F46" s="2682">
        <v>90750</v>
      </c>
      <c r="G46" s="2667">
        <f t="shared" si="1"/>
        <v>544500</v>
      </c>
    </row>
    <row r="47" spans="1:9">
      <c r="A47" s="1604"/>
      <c r="B47" s="2672"/>
      <c r="C47" s="2668"/>
      <c r="D47" s="2674"/>
      <c r="E47" s="2669"/>
      <c r="F47" s="2682" t="s">
        <v>1002</v>
      </c>
      <c r="G47" s="2667" t="str">
        <f t="shared" si="1"/>
        <v/>
      </c>
    </row>
    <row r="48" spans="1:9">
      <c r="A48" s="1604" t="s">
        <v>2061</v>
      </c>
      <c r="B48" s="2672"/>
      <c r="C48" s="2668" t="s">
        <v>2051</v>
      </c>
      <c r="D48" s="2669" t="s">
        <v>976</v>
      </c>
      <c r="E48" s="2669">
        <v>1</v>
      </c>
      <c r="F48" s="2670">
        <v>181500</v>
      </c>
      <c r="G48" s="2667">
        <f t="shared" si="1"/>
        <v>181500</v>
      </c>
    </row>
    <row r="49" spans="1:9">
      <c r="A49" s="1604"/>
      <c r="B49" s="2676"/>
      <c r="C49" s="2668"/>
      <c r="D49" s="2669"/>
      <c r="E49" s="2671"/>
      <c r="F49" s="2670" t="s">
        <v>1002</v>
      </c>
      <c r="G49" s="2667" t="str">
        <f t="shared" si="1"/>
        <v/>
      </c>
    </row>
    <row r="50" spans="1:9">
      <c r="A50" s="1604" t="s">
        <v>2062</v>
      </c>
      <c r="B50" s="2672"/>
      <c r="C50" s="2668" t="s">
        <v>2055</v>
      </c>
      <c r="D50" s="2669" t="s">
        <v>976</v>
      </c>
      <c r="E50" s="2669">
        <v>1</v>
      </c>
      <c r="F50" s="2670">
        <v>121000</v>
      </c>
      <c r="G50" s="2667">
        <f t="shared" si="1"/>
        <v>121000</v>
      </c>
    </row>
    <row r="51" spans="1:9">
      <c r="A51" s="1604"/>
      <c r="B51" s="2672"/>
      <c r="C51" s="2668"/>
      <c r="D51" s="2674"/>
      <c r="E51" s="2675"/>
      <c r="F51" s="2670" t="s">
        <v>1002</v>
      </c>
      <c r="G51" s="2667" t="str">
        <f t="shared" si="1"/>
        <v/>
      </c>
    </row>
    <row r="52" spans="1:9">
      <c r="A52" s="1604" t="s">
        <v>2063</v>
      </c>
      <c r="B52" s="2676"/>
      <c r="C52" s="2668" t="s">
        <v>2049</v>
      </c>
      <c r="D52" s="2669" t="s">
        <v>691</v>
      </c>
      <c r="E52" s="2669">
        <v>1</v>
      </c>
      <c r="F52" s="2682">
        <v>48400</v>
      </c>
      <c r="G52" s="2667">
        <f t="shared" si="1"/>
        <v>48400</v>
      </c>
    </row>
    <row r="53" spans="1:9">
      <c r="A53" s="1604"/>
      <c r="B53" s="2672"/>
      <c r="C53" s="2668"/>
      <c r="D53" s="2669"/>
      <c r="E53" s="2669"/>
      <c r="F53" s="2670" t="s">
        <v>1002</v>
      </c>
      <c r="G53" s="2667" t="str">
        <f t="shared" si="1"/>
        <v/>
      </c>
    </row>
    <row r="54" spans="1:9" s="10" customFormat="1">
      <c r="A54" s="1604" t="s">
        <v>2064</v>
      </c>
      <c r="B54" s="2672"/>
      <c r="C54" s="2668" t="s">
        <v>2057</v>
      </c>
      <c r="D54" s="2674" t="s">
        <v>691</v>
      </c>
      <c r="E54" s="2675">
        <v>14</v>
      </c>
      <c r="F54" s="2670">
        <v>6050</v>
      </c>
      <c r="G54" s="2667">
        <f t="shared" si="1"/>
        <v>84700</v>
      </c>
    </row>
    <row r="55" spans="1:9" s="10" customFormat="1">
      <c r="A55" s="1604"/>
      <c r="B55" s="2672"/>
      <c r="C55" s="2668"/>
      <c r="D55" s="2674"/>
      <c r="E55" s="2675"/>
      <c r="F55" s="2670" t="s">
        <v>1002</v>
      </c>
      <c r="G55" s="2667" t="str">
        <f t="shared" si="1"/>
        <v/>
      </c>
    </row>
    <row r="56" spans="1:9">
      <c r="A56" s="2677">
        <v>19.5</v>
      </c>
      <c r="B56" s="444"/>
      <c r="C56" s="2678" t="s">
        <v>2065</v>
      </c>
      <c r="D56" s="2674"/>
      <c r="E56" s="2674"/>
      <c r="F56" s="2670" t="s">
        <v>1002</v>
      </c>
      <c r="G56" s="2667" t="str">
        <f t="shared" si="1"/>
        <v/>
      </c>
      <c r="I56" s="782">
        <f>SUM(G58:G66)</f>
        <v>695750</v>
      </c>
    </row>
    <row r="57" spans="1:9">
      <c r="A57" s="1593"/>
      <c r="B57" s="444"/>
      <c r="C57" s="2679"/>
      <c r="D57" s="2674"/>
      <c r="E57" s="2674"/>
      <c r="F57" s="2670" t="s">
        <v>1002</v>
      </c>
      <c r="G57" s="2667" t="str">
        <f t="shared" si="1"/>
        <v/>
      </c>
    </row>
    <row r="58" spans="1:9">
      <c r="A58" s="1604" t="s">
        <v>2066</v>
      </c>
      <c r="B58" s="2672"/>
      <c r="C58" s="2668" t="s">
        <v>2049</v>
      </c>
      <c r="D58" s="2669" t="s">
        <v>691</v>
      </c>
      <c r="E58" s="2669">
        <v>2</v>
      </c>
      <c r="F58" s="2682">
        <v>48400</v>
      </c>
      <c r="G58" s="2667">
        <f t="shared" si="1"/>
        <v>96800</v>
      </c>
    </row>
    <row r="59" spans="1:9">
      <c r="A59" s="1593"/>
      <c r="B59" s="2672"/>
      <c r="C59" s="2668"/>
      <c r="D59" s="2674"/>
      <c r="E59" s="2669"/>
      <c r="F59" s="2682" t="s">
        <v>1002</v>
      </c>
      <c r="G59" s="2667" t="str">
        <f t="shared" si="1"/>
        <v/>
      </c>
    </row>
    <row r="60" spans="1:9">
      <c r="A60" s="1604" t="s">
        <v>2067</v>
      </c>
      <c r="B60" s="2672"/>
      <c r="C60" s="2668" t="s">
        <v>2051</v>
      </c>
      <c r="D60" s="2669" t="s">
        <v>976</v>
      </c>
      <c r="E60" s="2669">
        <v>1</v>
      </c>
      <c r="F60" s="2670">
        <v>242000</v>
      </c>
      <c r="G60" s="2667">
        <f t="shared" si="1"/>
        <v>242000</v>
      </c>
    </row>
    <row r="61" spans="1:9">
      <c r="A61" s="1593"/>
      <c r="B61" s="2676"/>
      <c r="C61" s="2668"/>
      <c r="D61" s="2669"/>
      <c r="E61" s="2671"/>
      <c r="F61" s="2670" t="s">
        <v>1002</v>
      </c>
      <c r="G61" s="2667" t="str">
        <f t="shared" si="1"/>
        <v/>
      </c>
    </row>
    <row r="62" spans="1:9">
      <c r="A62" s="1604" t="s">
        <v>2068</v>
      </c>
      <c r="B62" s="2672"/>
      <c r="C62" s="2668" t="s">
        <v>2053</v>
      </c>
      <c r="D62" s="2669" t="s">
        <v>976</v>
      </c>
      <c r="E62" s="2669">
        <v>1</v>
      </c>
      <c r="F62" s="2670">
        <v>181500</v>
      </c>
      <c r="G62" s="2667">
        <f t="shared" si="1"/>
        <v>181500</v>
      </c>
    </row>
    <row r="63" spans="1:9">
      <c r="A63" s="1593"/>
      <c r="B63" s="2672"/>
      <c r="C63" s="2668"/>
      <c r="D63" s="2674"/>
      <c r="E63" s="2675"/>
      <c r="F63" s="2670" t="s">
        <v>1002</v>
      </c>
      <c r="G63" s="2667" t="str">
        <f t="shared" si="1"/>
        <v/>
      </c>
    </row>
    <row r="64" spans="1:9">
      <c r="A64" s="1604" t="s">
        <v>2069</v>
      </c>
      <c r="B64" s="2672"/>
      <c r="C64" s="2668" t="s">
        <v>2055</v>
      </c>
      <c r="D64" s="2669" t="s">
        <v>976</v>
      </c>
      <c r="E64" s="2669">
        <v>1</v>
      </c>
      <c r="F64" s="2670">
        <v>121000</v>
      </c>
      <c r="G64" s="2667">
        <f t="shared" si="1"/>
        <v>121000</v>
      </c>
    </row>
    <row r="65" spans="1:9">
      <c r="A65" s="1593"/>
      <c r="B65" s="2672"/>
      <c r="C65" s="2668"/>
      <c r="D65" s="2669"/>
      <c r="E65" s="2669"/>
      <c r="F65" s="2670" t="s">
        <v>1002</v>
      </c>
      <c r="G65" s="2667" t="str">
        <f t="shared" si="1"/>
        <v/>
      </c>
    </row>
    <row r="66" spans="1:9">
      <c r="A66" s="1604" t="s">
        <v>2070</v>
      </c>
      <c r="B66" s="444"/>
      <c r="C66" s="2668" t="s">
        <v>2057</v>
      </c>
      <c r="D66" s="2674" t="s">
        <v>691</v>
      </c>
      <c r="E66" s="2675">
        <v>9</v>
      </c>
      <c r="F66" s="2670">
        <v>6050</v>
      </c>
      <c r="G66" s="2667">
        <f t="shared" si="1"/>
        <v>54450</v>
      </c>
    </row>
    <row r="67" spans="1:9">
      <c r="A67" s="1593"/>
      <c r="B67" s="2676"/>
      <c r="C67" s="2668"/>
      <c r="D67" s="2669"/>
      <c r="E67" s="2669"/>
      <c r="F67" s="2670" t="s">
        <v>1002</v>
      </c>
      <c r="G67" s="2667" t="str">
        <f t="shared" si="1"/>
        <v/>
      </c>
    </row>
    <row r="68" spans="1:9">
      <c r="A68" s="2677">
        <v>19.600000000000001</v>
      </c>
      <c r="B68" s="440"/>
      <c r="C68" s="2678" t="s">
        <v>2071</v>
      </c>
      <c r="D68" s="2674"/>
      <c r="E68" s="2674"/>
      <c r="F68" s="2670" t="s">
        <v>1002</v>
      </c>
      <c r="G68" s="2667" t="str">
        <f t="shared" si="1"/>
        <v/>
      </c>
      <c r="I68" s="782">
        <f>SUM(G70:G72)+SUM(G80:G82)</f>
        <v>726000</v>
      </c>
    </row>
    <row r="69" spans="1:9">
      <c r="A69" s="1593"/>
      <c r="B69" s="440"/>
      <c r="C69" s="2679"/>
      <c r="D69" s="2674"/>
      <c r="E69" s="2674"/>
      <c r="F69" s="2670" t="s">
        <v>1002</v>
      </c>
      <c r="G69" s="2667" t="str">
        <f t="shared" si="1"/>
        <v/>
      </c>
    </row>
    <row r="70" spans="1:9">
      <c r="A70" s="1593" t="s">
        <v>2072</v>
      </c>
      <c r="B70" s="440"/>
      <c r="C70" s="2668" t="s">
        <v>2051</v>
      </c>
      <c r="D70" s="2669" t="s">
        <v>976</v>
      </c>
      <c r="E70" s="2669">
        <v>1</v>
      </c>
      <c r="F70" s="2670">
        <v>242000</v>
      </c>
      <c r="G70" s="2667">
        <f t="shared" si="1"/>
        <v>242000</v>
      </c>
    </row>
    <row r="71" spans="1:9">
      <c r="A71" s="1593"/>
      <c r="B71" s="1596"/>
      <c r="C71" s="2668"/>
      <c r="D71" s="2669"/>
      <c r="E71" s="2669"/>
      <c r="F71" s="2670" t="s">
        <v>1002</v>
      </c>
      <c r="G71" s="2667" t="str">
        <f t="shared" si="1"/>
        <v/>
      </c>
    </row>
    <row r="72" spans="1:9">
      <c r="A72" s="1593" t="s">
        <v>2073</v>
      </c>
      <c r="B72" s="440"/>
      <c r="C72" s="2668" t="s">
        <v>2053</v>
      </c>
      <c r="D72" s="2669" t="s">
        <v>976</v>
      </c>
      <c r="E72" s="2669">
        <v>1</v>
      </c>
      <c r="F72" s="2670">
        <v>242000</v>
      </c>
      <c r="G72" s="2667">
        <f t="shared" ref="G72" si="2">IF(F72="","",F72*E72)</f>
        <v>242000</v>
      </c>
    </row>
    <row r="73" spans="1:9">
      <c r="A73" s="1593"/>
      <c r="B73" s="1596"/>
      <c r="C73" s="2668"/>
      <c r="D73" s="2669"/>
      <c r="E73" s="2669"/>
      <c r="F73" s="2670"/>
      <c r="G73" s="2686"/>
    </row>
    <row r="74" spans="1:9">
      <c r="A74" s="1593"/>
      <c r="B74" s="440"/>
      <c r="C74" s="2668"/>
      <c r="D74" s="2669"/>
      <c r="E74" s="2669"/>
      <c r="F74" s="2670"/>
      <c r="G74" s="2686"/>
    </row>
    <row r="75" spans="1:9">
      <c r="A75" s="1593"/>
      <c r="B75" s="1596"/>
      <c r="C75" s="2668"/>
      <c r="D75" s="2669"/>
      <c r="E75" s="2669"/>
      <c r="F75" s="2670"/>
      <c r="G75" s="2686"/>
    </row>
    <row r="76" spans="1:9">
      <c r="A76" s="2333"/>
      <c r="B76" s="819"/>
      <c r="C76" s="819"/>
      <c r="D76" s="837"/>
      <c r="E76" s="838"/>
      <c r="F76" s="2687"/>
      <c r="G76" s="2621"/>
    </row>
    <row r="77" spans="1:9">
      <c r="A77" s="2336"/>
      <c r="B77" s="438"/>
      <c r="C77" s="413" t="s">
        <v>289</v>
      </c>
      <c r="D77" s="426"/>
      <c r="E77" s="24"/>
      <c r="F77" s="446"/>
      <c r="G77" s="2622">
        <f>SUM(G3:G74)</f>
        <v>20496432</v>
      </c>
    </row>
    <row r="78" spans="1:9" s="10" customFormat="1">
      <c r="A78" s="1271"/>
      <c r="B78" s="147"/>
      <c r="C78" s="1552" t="s">
        <v>290</v>
      </c>
      <c r="D78" s="147"/>
      <c r="E78" s="1577"/>
      <c r="F78" s="2593"/>
      <c r="G78" s="890">
        <f>G77</f>
        <v>20496432</v>
      </c>
    </row>
    <row r="79" spans="1:9">
      <c r="A79" s="1593"/>
      <c r="B79" s="440"/>
      <c r="C79" s="2668"/>
      <c r="D79" s="2674"/>
      <c r="E79" s="2675"/>
      <c r="F79" s="2670"/>
      <c r="G79" s="2688"/>
    </row>
    <row r="80" spans="1:9">
      <c r="A80" s="1593" t="s">
        <v>2074</v>
      </c>
      <c r="B80" s="440"/>
      <c r="C80" s="2668" t="s">
        <v>2055</v>
      </c>
      <c r="D80" s="2669" t="s">
        <v>976</v>
      </c>
      <c r="E80" s="2669">
        <v>1</v>
      </c>
      <c r="F80" s="2670">
        <v>121000</v>
      </c>
      <c r="G80" s="2667">
        <f t="shared" ref="G80:G111" si="3">IF(F80="","",F80*E80)</f>
        <v>121000</v>
      </c>
    </row>
    <row r="81" spans="1:9">
      <c r="A81" s="1593"/>
      <c r="B81" s="440"/>
      <c r="C81" s="2668"/>
      <c r="D81" s="2669"/>
      <c r="E81" s="2669"/>
      <c r="F81" s="2670" t="s">
        <v>1002</v>
      </c>
      <c r="G81" s="2667" t="str">
        <f t="shared" si="3"/>
        <v/>
      </c>
    </row>
    <row r="82" spans="1:9">
      <c r="A82" s="1593" t="s">
        <v>2075</v>
      </c>
      <c r="B82" s="440"/>
      <c r="C82" s="2668" t="s">
        <v>2076</v>
      </c>
      <c r="D82" s="2674" t="s">
        <v>976</v>
      </c>
      <c r="E82" s="2675">
        <v>1</v>
      </c>
      <c r="F82" s="2670">
        <v>121000</v>
      </c>
      <c r="G82" s="2667">
        <f t="shared" si="3"/>
        <v>121000</v>
      </c>
    </row>
    <row r="83" spans="1:9">
      <c r="A83" s="1593"/>
      <c r="B83" s="1596"/>
      <c r="C83" s="2668"/>
      <c r="D83" s="2674"/>
      <c r="E83" s="2675"/>
      <c r="F83" s="2670" t="s">
        <v>1002</v>
      </c>
      <c r="G83" s="2667" t="str">
        <f t="shared" si="3"/>
        <v/>
      </c>
    </row>
    <row r="84" spans="1:9">
      <c r="A84" s="2689">
        <v>19.7</v>
      </c>
      <c r="B84" s="2690"/>
      <c r="C84" s="2678" t="s">
        <v>2077</v>
      </c>
      <c r="D84" s="2674"/>
      <c r="E84" s="2674"/>
      <c r="F84" s="2670" t="s">
        <v>1002</v>
      </c>
      <c r="G84" s="2667" t="str">
        <f t="shared" si="3"/>
        <v/>
      </c>
      <c r="I84" s="782">
        <f>SUM(G86:G98)</f>
        <v>1530650</v>
      </c>
    </row>
    <row r="85" spans="1:9">
      <c r="A85" s="2691"/>
      <c r="B85" s="2692"/>
      <c r="C85" s="2679"/>
      <c r="D85" s="2674"/>
      <c r="E85" s="2674"/>
      <c r="F85" s="2670" t="s">
        <v>1002</v>
      </c>
      <c r="G85" s="2667" t="str">
        <f t="shared" si="3"/>
        <v/>
      </c>
    </row>
    <row r="86" spans="1:9">
      <c r="A86" s="1593" t="s">
        <v>2078</v>
      </c>
      <c r="B86" s="440"/>
      <c r="C86" s="2668" t="s">
        <v>2079</v>
      </c>
      <c r="D86" s="2669" t="s">
        <v>976</v>
      </c>
      <c r="E86" s="2669">
        <v>1</v>
      </c>
      <c r="F86" s="2670">
        <v>726000</v>
      </c>
      <c r="G86" s="2667">
        <f t="shared" si="3"/>
        <v>726000</v>
      </c>
    </row>
    <row r="87" spans="1:9">
      <c r="A87" s="2691"/>
      <c r="B87" s="1604"/>
      <c r="C87" s="2668"/>
      <c r="D87" s="2669"/>
      <c r="E87" s="2671"/>
      <c r="F87" s="2670" t="s">
        <v>1002</v>
      </c>
      <c r="G87" s="2667" t="str">
        <f t="shared" si="3"/>
        <v/>
      </c>
    </row>
    <row r="88" spans="1:9">
      <c r="A88" s="1593" t="s">
        <v>2080</v>
      </c>
      <c r="B88" s="1604"/>
      <c r="C88" s="2668" t="s">
        <v>2081</v>
      </c>
      <c r="D88" s="2669" t="s">
        <v>976</v>
      </c>
      <c r="E88" s="2669">
        <v>1</v>
      </c>
      <c r="F88" s="2670">
        <v>363000</v>
      </c>
      <c r="G88" s="2667">
        <f t="shared" si="3"/>
        <v>363000</v>
      </c>
    </row>
    <row r="89" spans="1:9">
      <c r="A89" s="2691"/>
      <c r="B89" s="440"/>
      <c r="C89" s="2668"/>
      <c r="D89" s="2669"/>
      <c r="E89" s="2671"/>
      <c r="F89" s="2670" t="s">
        <v>1002</v>
      </c>
      <c r="G89" s="2667" t="str">
        <f t="shared" si="3"/>
        <v/>
      </c>
    </row>
    <row r="90" spans="1:9">
      <c r="A90" s="1593" t="s">
        <v>2082</v>
      </c>
      <c r="B90" s="440"/>
      <c r="C90" s="2668" t="s">
        <v>2051</v>
      </c>
      <c r="D90" s="2669" t="s">
        <v>976</v>
      </c>
      <c r="E90" s="2669">
        <v>1</v>
      </c>
      <c r="F90" s="2670">
        <v>242000</v>
      </c>
      <c r="G90" s="2667">
        <f t="shared" si="3"/>
        <v>242000</v>
      </c>
    </row>
    <row r="91" spans="1:9">
      <c r="A91" s="2691"/>
      <c r="B91" s="440"/>
      <c r="C91" s="2668"/>
      <c r="D91" s="2669"/>
      <c r="E91" s="2671"/>
      <c r="F91" s="2670" t="s">
        <v>1002</v>
      </c>
      <c r="G91" s="2667" t="str">
        <f t="shared" si="3"/>
        <v/>
      </c>
    </row>
    <row r="92" spans="1:9">
      <c r="A92" s="1593" t="s">
        <v>2083</v>
      </c>
      <c r="B92" s="440"/>
      <c r="C92" s="2668" t="s">
        <v>2084</v>
      </c>
      <c r="D92" s="2669" t="s">
        <v>976</v>
      </c>
      <c r="E92" s="2669">
        <v>1</v>
      </c>
      <c r="F92" s="2670">
        <v>60500</v>
      </c>
      <c r="G92" s="2667">
        <f t="shared" si="3"/>
        <v>60500</v>
      </c>
    </row>
    <row r="93" spans="1:9">
      <c r="A93" s="2691"/>
      <c r="B93" s="440"/>
      <c r="C93" s="2668"/>
      <c r="D93" s="2674"/>
      <c r="E93" s="2675"/>
      <c r="F93" s="2670" t="s">
        <v>1002</v>
      </c>
      <c r="G93" s="2667" t="str">
        <f t="shared" si="3"/>
        <v/>
      </c>
    </row>
    <row r="94" spans="1:9">
      <c r="A94" s="1593" t="s">
        <v>2085</v>
      </c>
      <c r="B94" s="440"/>
      <c r="C94" s="2668" t="s">
        <v>2086</v>
      </c>
      <c r="D94" s="2669" t="s">
        <v>976</v>
      </c>
      <c r="E94" s="2669">
        <v>1</v>
      </c>
      <c r="F94" s="2670">
        <v>36300</v>
      </c>
      <c r="G94" s="2667">
        <f t="shared" si="3"/>
        <v>36300</v>
      </c>
    </row>
    <row r="95" spans="1:9">
      <c r="A95" s="2691"/>
      <c r="B95" s="440"/>
      <c r="C95" s="2668"/>
      <c r="D95" s="2669"/>
      <c r="E95" s="2669"/>
      <c r="F95" s="2670" t="s">
        <v>1002</v>
      </c>
      <c r="G95" s="2667" t="str">
        <f t="shared" si="3"/>
        <v/>
      </c>
    </row>
    <row r="96" spans="1:9">
      <c r="A96" s="1593" t="s">
        <v>2087</v>
      </c>
      <c r="B96" s="440"/>
      <c r="C96" s="2668" t="s">
        <v>2057</v>
      </c>
      <c r="D96" s="2674" t="s">
        <v>691</v>
      </c>
      <c r="E96" s="2675">
        <v>7</v>
      </c>
      <c r="F96" s="2670">
        <v>6050</v>
      </c>
      <c r="G96" s="2667">
        <f t="shared" si="3"/>
        <v>42350</v>
      </c>
    </row>
    <row r="97" spans="1:9">
      <c r="A97" s="2691"/>
      <c r="B97" s="440"/>
      <c r="C97" s="2668"/>
      <c r="D97" s="2669"/>
      <c r="E97" s="2669"/>
      <c r="F97" s="2670" t="s">
        <v>1002</v>
      </c>
      <c r="G97" s="2667" t="str">
        <f t="shared" si="3"/>
        <v/>
      </c>
    </row>
    <row r="98" spans="1:9">
      <c r="A98" s="1593" t="s">
        <v>2088</v>
      </c>
      <c r="B98" s="440"/>
      <c r="C98" s="2668" t="s">
        <v>2089</v>
      </c>
      <c r="D98" s="2669" t="s">
        <v>976</v>
      </c>
      <c r="E98" s="2669">
        <v>1</v>
      </c>
      <c r="F98" s="2670">
        <v>60500</v>
      </c>
      <c r="G98" s="2667">
        <f t="shared" si="3"/>
        <v>60500</v>
      </c>
    </row>
    <row r="99" spans="1:9">
      <c r="A99" s="1593"/>
      <c r="B99" s="440"/>
      <c r="C99" s="2668"/>
      <c r="D99" s="2669"/>
      <c r="E99" s="2671"/>
      <c r="F99" s="2670" t="s">
        <v>1002</v>
      </c>
      <c r="G99" s="2667" t="str">
        <f t="shared" si="3"/>
        <v/>
      </c>
    </row>
    <row r="100" spans="1:9">
      <c r="A100" s="2677">
        <v>19.8</v>
      </c>
      <c r="B100" s="440"/>
      <c r="C100" s="2678" t="s">
        <v>2090</v>
      </c>
      <c r="D100" s="2674"/>
      <c r="E100" s="2674"/>
      <c r="F100" s="2670" t="s">
        <v>1002</v>
      </c>
      <c r="G100" s="2667" t="str">
        <f t="shared" si="3"/>
        <v/>
      </c>
      <c r="I100" s="782">
        <f>SUM(G102:G106)</f>
        <v>871200</v>
      </c>
    </row>
    <row r="101" spans="1:9">
      <c r="A101" s="1593"/>
      <c r="B101" s="440"/>
      <c r="C101" s="2668"/>
      <c r="D101" s="2674"/>
      <c r="E101" s="2674"/>
      <c r="F101" s="2670" t="s">
        <v>1002</v>
      </c>
      <c r="G101" s="2667" t="str">
        <f t="shared" si="3"/>
        <v/>
      </c>
    </row>
    <row r="102" spans="1:9">
      <c r="A102" s="1593" t="s">
        <v>2091</v>
      </c>
      <c r="B102" s="440"/>
      <c r="C102" s="2668" t="s">
        <v>2092</v>
      </c>
      <c r="D102" s="2674" t="s">
        <v>691</v>
      </c>
      <c r="E102" s="2669">
        <v>16</v>
      </c>
      <c r="F102" s="2682">
        <v>36300</v>
      </c>
      <c r="G102" s="2667">
        <f t="shared" si="3"/>
        <v>580800</v>
      </c>
    </row>
    <row r="103" spans="1:9">
      <c r="A103" s="1593"/>
      <c r="B103" s="440"/>
      <c r="C103" s="2668"/>
      <c r="D103" s="2669"/>
      <c r="E103" s="2669"/>
      <c r="F103" s="2682" t="s">
        <v>1002</v>
      </c>
      <c r="G103" s="2667" t="str">
        <f t="shared" si="3"/>
        <v/>
      </c>
    </row>
    <row r="104" spans="1:9">
      <c r="A104" s="1593" t="s">
        <v>2093</v>
      </c>
      <c r="B104" s="440"/>
      <c r="C104" s="2668" t="s">
        <v>2051</v>
      </c>
      <c r="D104" s="2669" t="s">
        <v>976</v>
      </c>
      <c r="E104" s="2669">
        <v>1</v>
      </c>
      <c r="F104" s="2670">
        <v>193600</v>
      </c>
      <c r="G104" s="2667">
        <f t="shared" si="3"/>
        <v>193600</v>
      </c>
    </row>
    <row r="105" spans="1:9">
      <c r="A105" s="1593"/>
      <c r="B105" s="440"/>
      <c r="C105" s="2668"/>
      <c r="D105" s="2669"/>
      <c r="E105" s="2669"/>
      <c r="F105" s="2670" t="s">
        <v>1002</v>
      </c>
      <c r="G105" s="2667" t="str">
        <f t="shared" si="3"/>
        <v/>
      </c>
    </row>
    <row r="106" spans="1:9">
      <c r="A106" s="1593" t="s">
        <v>2094</v>
      </c>
      <c r="B106" s="440"/>
      <c r="C106" s="2668" t="s">
        <v>2057</v>
      </c>
      <c r="D106" s="2674" t="s">
        <v>691</v>
      </c>
      <c r="E106" s="2675">
        <v>16</v>
      </c>
      <c r="F106" s="2670">
        <v>6050</v>
      </c>
      <c r="G106" s="2667">
        <f t="shared" si="3"/>
        <v>96800</v>
      </c>
    </row>
    <row r="107" spans="1:9">
      <c r="A107" s="1593"/>
      <c r="B107" s="440"/>
      <c r="C107" s="2668"/>
      <c r="D107" s="2669"/>
      <c r="E107" s="2669"/>
      <c r="F107" s="2670" t="s">
        <v>1002</v>
      </c>
      <c r="G107" s="2667" t="str">
        <f t="shared" si="3"/>
        <v/>
      </c>
    </row>
    <row r="108" spans="1:9">
      <c r="A108" s="2693">
        <v>19.899999999999999</v>
      </c>
      <c r="B108" s="2694"/>
      <c r="C108" s="2678" t="s">
        <v>2095</v>
      </c>
      <c r="D108" s="2674"/>
      <c r="E108" s="2674"/>
      <c r="F108" s="2670" t="s">
        <v>1002</v>
      </c>
      <c r="G108" s="2667" t="str">
        <f t="shared" si="3"/>
        <v/>
      </c>
      <c r="I108" s="782">
        <f>SUM(G110:G114)</f>
        <v>551760</v>
      </c>
    </row>
    <row r="109" spans="1:9">
      <c r="A109" s="2693"/>
      <c r="B109" s="2694"/>
      <c r="C109" s="2668"/>
      <c r="D109" s="2674"/>
      <c r="E109" s="2674"/>
      <c r="F109" s="2670" t="s">
        <v>1002</v>
      </c>
      <c r="G109" s="2667" t="str">
        <f t="shared" si="3"/>
        <v/>
      </c>
    </row>
    <row r="110" spans="1:9">
      <c r="A110" s="1605" t="s">
        <v>2096</v>
      </c>
      <c r="B110" s="2695"/>
      <c r="C110" s="2668" t="s">
        <v>2097</v>
      </c>
      <c r="D110" s="2674" t="s">
        <v>691</v>
      </c>
      <c r="E110" s="2669">
        <v>12</v>
      </c>
      <c r="F110" s="2682">
        <v>30250</v>
      </c>
      <c r="G110" s="2667">
        <f t="shared" si="3"/>
        <v>363000</v>
      </c>
    </row>
    <row r="111" spans="1:9">
      <c r="A111" s="2693"/>
      <c r="B111" s="2695"/>
      <c r="C111" s="2668"/>
      <c r="D111" s="2669"/>
      <c r="E111" s="2669"/>
      <c r="F111" s="2682" t="s">
        <v>1002</v>
      </c>
      <c r="G111" s="2667" t="str">
        <f t="shared" si="3"/>
        <v/>
      </c>
    </row>
    <row r="112" spans="1:9">
      <c r="A112" s="1605" t="s">
        <v>2098</v>
      </c>
      <c r="B112" s="2695"/>
      <c r="C112" s="2668" t="s">
        <v>2051</v>
      </c>
      <c r="D112" s="2669" t="s">
        <v>976</v>
      </c>
      <c r="E112" s="2669">
        <v>1</v>
      </c>
      <c r="F112" s="2670">
        <v>145200</v>
      </c>
      <c r="G112" s="2667">
        <f t="shared" ref="G112:G143" si="4">IF(F112="","",F112*E112)</f>
        <v>145200</v>
      </c>
    </row>
    <row r="113" spans="1:9">
      <c r="A113" s="2693"/>
      <c r="B113" s="2695"/>
      <c r="C113" s="2668"/>
      <c r="D113" s="2669"/>
      <c r="E113" s="2669"/>
      <c r="F113" s="2670" t="s">
        <v>1002</v>
      </c>
      <c r="G113" s="2667" t="str">
        <f t="shared" si="4"/>
        <v/>
      </c>
    </row>
    <row r="114" spans="1:9">
      <c r="A114" s="1605" t="s">
        <v>2099</v>
      </c>
      <c r="B114" s="2695"/>
      <c r="C114" s="2668" t="s">
        <v>2100</v>
      </c>
      <c r="D114" s="2674" t="s">
        <v>691</v>
      </c>
      <c r="E114" s="2675">
        <v>12</v>
      </c>
      <c r="F114" s="2670">
        <v>3630</v>
      </c>
      <c r="G114" s="2667">
        <f t="shared" si="4"/>
        <v>43560</v>
      </c>
    </row>
    <row r="115" spans="1:9">
      <c r="A115" s="1605"/>
      <c r="B115" s="2696"/>
      <c r="C115" s="2668"/>
      <c r="D115" s="2669"/>
      <c r="E115" s="2669"/>
      <c r="F115" s="2670" t="s">
        <v>1002</v>
      </c>
      <c r="G115" s="2667" t="str">
        <f t="shared" si="4"/>
        <v/>
      </c>
    </row>
    <row r="116" spans="1:9">
      <c r="A116" s="2697" t="s">
        <v>2101</v>
      </c>
      <c r="B116" s="2698"/>
      <c r="C116" s="2678" t="s">
        <v>1483</v>
      </c>
      <c r="D116" s="2674"/>
      <c r="E116" s="2674"/>
      <c r="F116" s="2670" t="s">
        <v>1002</v>
      </c>
      <c r="G116" s="2667" t="str">
        <f t="shared" si="4"/>
        <v/>
      </c>
      <c r="I116" s="782">
        <f>SUM(G118:G122)</f>
        <v>205700</v>
      </c>
    </row>
    <row r="117" spans="1:9">
      <c r="A117" s="2699"/>
      <c r="B117" s="2700"/>
      <c r="C117" s="2668"/>
      <c r="D117" s="2674"/>
      <c r="E117" s="2674"/>
      <c r="F117" s="2670" t="s">
        <v>1002</v>
      </c>
      <c r="G117" s="2667" t="str">
        <f t="shared" si="4"/>
        <v/>
      </c>
    </row>
    <row r="118" spans="1:9">
      <c r="A118" s="2699" t="s">
        <v>2102</v>
      </c>
      <c r="B118" s="2700"/>
      <c r="C118" s="2668" t="s">
        <v>2103</v>
      </c>
      <c r="D118" s="2674" t="s">
        <v>691</v>
      </c>
      <c r="E118" s="2669">
        <v>4</v>
      </c>
      <c r="F118" s="2682">
        <v>30250</v>
      </c>
      <c r="G118" s="2667">
        <f t="shared" si="4"/>
        <v>121000</v>
      </c>
    </row>
    <row r="119" spans="1:9">
      <c r="A119" s="2699"/>
      <c r="B119" s="2700"/>
      <c r="C119" s="2668"/>
      <c r="D119" s="2669"/>
      <c r="E119" s="2669"/>
      <c r="F119" s="2682" t="s">
        <v>1002</v>
      </c>
      <c r="G119" s="2667" t="str">
        <f t="shared" si="4"/>
        <v/>
      </c>
    </row>
    <row r="120" spans="1:9">
      <c r="A120" s="2699" t="s">
        <v>2104</v>
      </c>
      <c r="B120" s="2700"/>
      <c r="C120" s="2668" t="s">
        <v>2051</v>
      </c>
      <c r="D120" s="2669" t="s">
        <v>976</v>
      </c>
      <c r="E120" s="2669">
        <v>1</v>
      </c>
      <c r="F120" s="2670">
        <v>60500</v>
      </c>
      <c r="G120" s="2667">
        <f t="shared" si="4"/>
        <v>60500</v>
      </c>
    </row>
    <row r="121" spans="1:9">
      <c r="A121" s="2699"/>
      <c r="B121" s="2700"/>
      <c r="C121" s="2668"/>
      <c r="D121" s="2669"/>
      <c r="E121" s="2669"/>
      <c r="F121" s="2670" t="s">
        <v>1002</v>
      </c>
      <c r="G121" s="2667" t="str">
        <f t="shared" si="4"/>
        <v/>
      </c>
    </row>
    <row r="122" spans="1:9">
      <c r="A122" s="2699" t="s">
        <v>2105</v>
      </c>
      <c r="B122" s="2701"/>
      <c r="C122" s="2668" t="s">
        <v>2057</v>
      </c>
      <c r="D122" s="2674" t="s">
        <v>691</v>
      </c>
      <c r="E122" s="2675">
        <v>4</v>
      </c>
      <c r="F122" s="2670">
        <v>6050</v>
      </c>
      <c r="G122" s="2667">
        <f t="shared" si="4"/>
        <v>24200</v>
      </c>
    </row>
    <row r="123" spans="1:9">
      <c r="A123" s="1587"/>
      <c r="B123" s="2701"/>
      <c r="C123" s="2668"/>
      <c r="D123" s="2669"/>
      <c r="E123" s="2669"/>
      <c r="F123" s="2670" t="s">
        <v>1002</v>
      </c>
      <c r="G123" s="2667" t="str">
        <f t="shared" si="4"/>
        <v/>
      </c>
    </row>
    <row r="124" spans="1:9">
      <c r="A124" s="2702">
        <v>19.11</v>
      </c>
      <c r="B124" s="2701"/>
      <c r="C124" s="2678" t="s">
        <v>2106</v>
      </c>
      <c r="D124" s="2674"/>
      <c r="E124" s="2674"/>
      <c r="F124" s="2670" t="s">
        <v>1002</v>
      </c>
      <c r="G124" s="2667" t="str">
        <f t="shared" si="4"/>
        <v/>
      </c>
      <c r="I124" s="782">
        <f>SUM(G126:G138)</f>
        <v>1369720</v>
      </c>
    </row>
    <row r="125" spans="1:9">
      <c r="A125" s="2703"/>
      <c r="B125" s="2701"/>
      <c r="C125" s="2679"/>
      <c r="D125" s="2674"/>
      <c r="E125" s="2674"/>
      <c r="F125" s="2670" t="s">
        <v>1002</v>
      </c>
      <c r="G125" s="2667" t="str">
        <f t="shared" si="4"/>
        <v/>
      </c>
    </row>
    <row r="126" spans="1:9">
      <c r="A126" s="2703" t="s">
        <v>2107</v>
      </c>
      <c r="B126" s="2701"/>
      <c r="C126" s="2668" t="s">
        <v>2079</v>
      </c>
      <c r="D126" s="2669" t="s">
        <v>976</v>
      </c>
      <c r="E126" s="2669">
        <v>1</v>
      </c>
      <c r="F126" s="2670">
        <v>847000</v>
      </c>
      <c r="G126" s="2667">
        <f t="shared" si="4"/>
        <v>847000</v>
      </c>
    </row>
    <row r="127" spans="1:9">
      <c r="A127" s="2703"/>
      <c r="B127" s="2701"/>
      <c r="C127" s="2668"/>
      <c r="D127" s="2669"/>
      <c r="E127" s="2671"/>
      <c r="F127" s="2670" t="s">
        <v>1002</v>
      </c>
      <c r="G127" s="2667" t="str">
        <f t="shared" si="4"/>
        <v/>
      </c>
    </row>
    <row r="128" spans="1:9">
      <c r="A128" s="2703" t="s">
        <v>2108</v>
      </c>
      <c r="B128" s="2701"/>
      <c r="C128" s="2668" t="s">
        <v>2051</v>
      </c>
      <c r="D128" s="2669" t="s">
        <v>976</v>
      </c>
      <c r="E128" s="2669">
        <v>1</v>
      </c>
      <c r="F128" s="2670">
        <v>242000</v>
      </c>
      <c r="G128" s="2667">
        <f t="shared" si="4"/>
        <v>242000</v>
      </c>
    </row>
    <row r="129" spans="1:9">
      <c r="A129" s="2703"/>
      <c r="B129" s="2692"/>
      <c r="C129" s="2668"/>
      <c r="D129" s="2669"/>
      <c r="E129" s="2671"/>
      <c r="F129" s="2670" t="s">
        <v>1002</v>
      </c>
      <c r="G129" s="2667" t="str">
        <f t="shared" si="4"/>
        <v/>
      </c>
    </row>
    <row r="130" spans="1:9">
      <c r="A130" s="2703" t="s">
        <v>2109</v>
      </c>
      <c r="B130" s="440"/>
      <c r="C130" s="2668" t="s">
        <v>2084</v>
      </c>
      <c r="D130" s="2669" t="s">
        <v>976</v>
      </c>
      <c r="E130" s="2669">
        <v>1</v>
      </c>
      <c r="F130" s="2670">
        <v>60500</v>
      </c>
      <c r="G130" s="2667">
        <f t="shared" si="4"/>
        <v>60500</v>
      </c>
    </row>
    <row r="131" spans="1:9">
      <c r="A131" s="2703"/>
      <c r="B131" s="440"/>
      <c r="C131" s="2668"/>
      <c r="D131" s="2674"/>
      <c r="E131" s="2675"/>
      <c r="F131" s="2670" t="s">
        <v>1002</v>
      </c>
      <c r="G131" s="2667" t="str">
        <f t="shared" si="4"/>
        <v/>
      </c>
    </row>
    <row r="132" spans="1:9">
      <c r="A132" s="2703" t="s">
        <v>2110</v>
      </c>
      <c r="B132" s="440"/>
      <c r="C132" s="2668" t="s">
        <v>2111</v>
      </c>
      <c r="D132" s="2669" t="s">
        <v>976</v>
      </c>
      <c r="E132" s="2669">
        <v>1</v>
      </c>
      <c r="F132" s="2670">
        <v>36300</v>
      </c>
      <c r="G132" s="2667">
        <f t="shared" si="4"/>
        <v>36300</v>
      </c>
    </row>
    <row r="133" spans="1:9">
      <c r="A133" s="2703"/>
      <c r="B133" s="1604"/>
      <c r="C133" s="2668"/>
      <c r="D133" s="2669"/>
      <c r="E133" s="2669"/>
      <c r="F133" s="2670" t="s">
        <v>1002</v>
      </c>
      <c r="G133" s="2667" t="str">
        <f t="shared" si="4"/>
        <v/>
      </c>
    </row>
    <row r="134" spans="1:9">
      <c r="A134" s="2703" t="s">
        <v>2112</v>
      </c>
      <c r="B134" s="1604"/>
      <c r="C134" s="2668" t="s">
        <v>2100</v>
      </c>
      <c r="D134" s="2674" t="s">
        <v>691</v>
      </c>
      <c r="E134" s="2675">
        <v>4</v>
      </c>
      <c r="F134" s="2670">
        <v>3630</v>
      </c>
      <c r="G134" s="2667">
        <f t="shared" si="4"/>
        <v>14520</v>
      </c>
    </row>
    <row r="135" spans="1:9">
      <c r="A135" s="2703"/>
      <c r="B135" s="440"/>
      <c r="C135" s="2668"/>
      <c r="D135" s="2669"/>
      <c r="E135" s="2669"/>
      <c r="F135" s="2670" t="s">
        <v>1002</v>
      </c>
      <c r="G135" s="2667" t="str">
        <f t="shared" si="4"/>
        <v/>
      </c>
    </row>
    <row r="136" spans="1:9">
      <c r="A136" s="2703" t="s">
        <v>2113</v>
      </c>
      <c r="B136" s="440"/>
      <c r="C136" s="2668" t="s">
        <v>2057</v>
      </c>
      <c r="D136" s="2674" t="s">
        <v>691</v>
      </c>
      <c r="E136" s="2675">
        <v>8</v>
      </c>
      <c r="F136" s="2670">
        <v>6050</v>
      </c>
      <c r="G136" s="2667">
        <f t="shared" si="4"/>
        <v>48400</v>
      </c>
    </row>
    <row r="137" spans="1:9">
      <c r="A137" s="2703"/>
      <c r="B137" s="440"/>
      <c r="C137" s="2668"/>
      <c r="D137" s="2669"/>
      <c r="E137" s="2669"/>
      <c r="F137" s="2670" t="s">
        <v>1002</v>
      </c>
      <c r="G137" s="2667" t="str">
        <f t="shared" si="4"/>
        <v/>
      </c>
    </row>
    <row r="138" spans="1:9">
      <c r="A138" s="2703" t="s">
        <v>2114</v>
      </c>
      <c r="B138" s="440"/>
      <c r="C138" s="2668" t="s">
        <v>2089</v>
      </c>
      <c r="D138" s="2669" t="s">
        <v>976</v>
      </c>
      <c r="E138" s="2669">
        <v>1</v>
      </c>
      <c r="F138" s="2670">
        <v>121000</v>
      </c>
      <c r="G138" s="2667">
        <f t="shared" si="4"/>
        <v>121000</v>
      </c>
    </row>
    <row r="139" spans="1:9">
      <c r="A139" s="1593"/>
      <c r="B139" s="440"/>
      <c r="C139" s="2668"/>
      <c r="D139" s="2669"/>
      <c r="E139" s="2671"/>
      <c r="F139" s="2670" t="s">
        <v>1002</v>
      </c>
      <c r="G139" s="2667" t="str">
        <f t="shared" si="4"/>
        <v/>
      </c>
    </row>
    <row r="140" spans="1:9">
      <c r="A140" s="2677">
        <v>19.12</v>
      </c>
      <c r="B140" s="440"/>
      <c r="C140" s="2678" t="s">
        <v>2115</v>
      </c>
      <c r="D140" s="2674"/>
      <c r="E140" s="2674"/>
      <c r="F140" s="2670" t="s">
        <v>1002</v>
      </c>
      <c r="G140" s="2667" t="str">
        <f t="shared" si="4"/>
        <v/>
      </c>
      <c r="I140" s="782">
        <f>SUM(G142:G150)+SUM(G157:G159)</f>
        <v>965488</v>
      </c>
    </row>
    <row r="141" spans="1:9">
      <c r="A141" s="1593"/>
      <c r="B141" s="440"/>
      <c r="C141" s="2679"/>
      <c r="D141" s="2674"/>
      <c r="E141" s="2674"/>
      <c r="F141" s="2670" t="s">
        <v>1002</v>
      </c>
      <c r="G141" s="2667" t="str">
        <f t="shared" si="4"/>
        <v/>
      </c>
    </row>
    <row r="142" spans="1:9">
      <c r="A142" s="1593" t="s">
        <v>2116</v>
      </c>
      <c r="B142" s="440"/>
      <c r="C142" s="2668" t="s">
        <v>2079</v>
      </c>
      <c r="D142" s="2669" t="s">
        <v>976</v>
      </c>
      <c r="E142" s="2669">
        <v>1</v>
      </c>
      <c r="F142" s="2670">
        <f>484000+37418</f>
        <v>521418</v>
      </c>
      <c r="G142" s="2667">
        <f t="shared" si="4"/>
        <v>521418</v>
      </c>
    </row>
    <row r="143" spans="1:9">
      <c r="A143" s="1593"/>
      <c r="B143" s="440"/>
      <c r="C143" s="2668"/>
      <c r="D143" s="2669"/>
      <c r="E143" s="2671"/>
      <c r="F143" s="2670" t="s">
        <v>1002</v>
      </c>
      <c r="G143" s="2667" t="str">
        <f t="shared" si="4"/>
        <v/>
      </c>
    </row>
    <row r="144" spans="1:9">
      <c r="A144" s="1593" t="s">
        <v>2117</v>
      </c>
      <c r="B144" s="440"/>
      <c r="C144" s="2668" t="s">
        <v>2051</v>
      </c>
      <c r="D144" s="2669" t="s">
        <v>976</v>
      </c>
      <c r="E144" s="2669">
        <v>1</v>
      </c>
      <c r="F144" s="2670">
        <v>181500</v>
      </c>
      <c r="G144" s="2667">
        <f t="shared" ref="G144:G150" si="5">IF(F144="","",F144*E144)</f>
        <v>181500</v>
      </c>
    </row>
    <row r="145" spans="1:7">
      <c r="A145" s="1593"/>
      <c r="B145" s="440"/>
      <c r="C145" s="2668"/>
      <c r="D145" s="2674"/>
      <c r="E145" s="2674"/>
      <c r="F145" s="2670" t="s">
        <v>1002</v>
      </c>
      <c r="G145" s="2667" t="str">
        <f t="shared" si="5"/>
        <v/>
      </c>
    </row>
    <row r="146" spans="1:7">
      <c r="A146" s="1593" t="s">
        <v>2118</v>
      </c>
      <c r="B146" s="440"/>
      <c r="C146" s="2668" t="s">
        <v>2084</v>
      </c>
      <c r="D146" s="2669" t="s">
        <v>976</v>
      </c>
      <c r="E146" s="2669">
        <v>1</v>
      </c>
      <c r="F146" s="2670">
        <v>60500</v>
      </c>
      <c r="G146" s="2667">
        <f t="shared" si="5"/>
        <v>60500</v>
      </c>
    </row>
    <row r="147" spans="1:7">
      <c r="A147" s="1593"/>
      <c r="B147" s="440"/>
      <c r="C147" s="2668"/>
      <c r="D147" s="2674"/>
      <c r="E147" s="2675"/>
      <c r="F147" s="2670" t="s">
        <v>1002</v>
      </c>
      <c r="G147" s="2667" t="str">
        <f t="shared" si="5"/>
        <v/>
      </c>
    </row>
    <row r="148" spans="1:7">
      <c r="A148" s="1593" t="s">
        <v>2119</v>
      </c>
      <c r="B148" s="440"/>
      <c r="C148" s="2668" t="s">
        <v>2086</v>
      </c>
      <c r="D148" s="2669" t="s">
        <v>976</v>
      </c>
      <c r="E148" s="2669">
        <v>1</v>
      </c>
      <c r="F148" s="2670">
        <v>36300</v>
      </c>
      <c r="G148" s="2667">
        <f t="shared" si="5"/>
        <v>36300</v>
      </c>
    </row>
    <row r="149" spans="1:7">
      <c r="A149" s="1593"/>
      <c r="B149" s="440"/>
      <c r="C149" s="2668"/>
      <c r="D149" s="2669"/>
      <c r="E149" s="2669"/>
      <c r="F149" s="2670" t="s">
        <v>1002</v>
      </c>
      <c r="G149" s="2667" t="str">
        <f t="shared" si="5"/>
        <v/>
      </c>
    </row>
    <row r="150" spans="1:7">
      <c r="A150" s="1593" t="s">
        <v>2120</v>
      </c>
      <c r="B150" s="440"/>
      <c r="C150" s="2668" t="s">
        <v>2100</v>
      </c>
      <c r="D150" s="2674" t="s">
        <v>691</v>
      </c>
      <c r="E150" s="2675">
        <v>4</v>
      </c>
      <c r="F150" s="2670">
        <v>3630</v>
      </c>
      <c r="G150" s="2667">
        <f t="shared" si="5"/>
        <v>14520</v>
      </c>
    </row>
    <row r="151" spans="1:7">
      <c r="A151" s="1593"/>
      <c r="B151" s="1596"/>
      <c r="C151" s="2668"/>
      <c r="D151" s="2674"/>
      <c r="E151" s="2675"/>
      <c r="F151" s="2670"/>
      <c r="G151" s="2686"/>
    </row>
    <row r="152" spans="1:7">
      <c r="A152" s="1593"/>
      <c r="B152" s="1596"/>
      <c r="C152" s="2668"/>
      <c r="D152" s="2674"/>
      <c r="E152" s="2675"/>
      <c r="F152" s="2670"/>
      <c r="G152" s="2686"/>
    </row>
    <row r="153" spans="1:7">
      <c r="A153" s="2333"/>
      <c r="B153" s="819"/>
      <c r="C153" s="819"/>
      <c r="D153" s="837"/>
      <c r="E153" s="838"/>
      <c r="F153" s="2687"/>
      <c r="G153" s="2621"/>
    </row>
    <row r="154" spans="1:7">
      <c r="A154" s="2336"/>
      <c r="B154" s="438"/>
      <c r="C154" s="413" t="s">
        <v>289</v>
      </c>
      <c r="D154" s="426"/>
      <c r="E154" s="24"/>
      <c r="F154" s="446"/>
      <c r="G154" s="2622">
        <f>SUM(G78:G151)</f>
        <v>26081700</v>
      </c>
    </row>
    <row r="155" spans="1:7">
      <c r="A155" s="1271"/>
      <c r="B155" s="147"/>
      <c r="C155" s="1552" t="s">
        <v>290</v>
      </c>
      <c r="D155" s="147"/>
      <c r="E155" s="1577"/>
      <c r="F155" s="2593"/>
      <c r="G155" s="890">
        <f>G154</f>
        <v>26081700</v>
      </c>
    </row>
    <row r="156" spans="1:7">
      <c r="A156" s="1593"/>
      <c r="B156" s="1596"/>
      <c r="C156" s="2668"/>
      <c r="D156" s="2674"/>
      <c r="E156" s="2675"/>
      <c r="F156" s="2670"/>
      <c r="G156" s="2686"/>
    </row>
    <row r="157" spans="1:7">
      <c r="A157" s="1593" t="s">
        <v>2121</v>
      </c>
      <c r="B157" s="440"/>
      <c r="C157" s="2668" t="s">
        <v>2057</v>
      </c>
      <c r="D157" s="2674" t="s">
        <v>691</v>
      </c>
      <c r="E157" s="2675">
        <v>5</v>
      </c>
      <c r="F157" s="2670">
        <v>6050</v>
      </c>
      <c r="G157" s="2667">
        <f t="shared" ref="G157:G198" si="6">IF(F157="","",F157*E157)</f>
        <v>30250</v>
      </c>
    </row>
    <row r="158" spans="1:7">
      <c r="A158" s="1593"/>
      <c r="B158" s="440"/>
      <c r="C158" s="2668"/>
      <c r="D158" s="2669"/>
      <c r="E158" s="2669"/>
      <c r="F158" s="2670" t="s">
        <v>1002</v>
      </c>
      <c r="G158" s="2667" t="str">
        <f t="shared" si="6"/>
        <v/>
      </c>
    </row>
    <row r="159" spans="1:7">
      <c r="A159" s="1593" t="s">
        <v>2122</v>
      </c>
      <c r="B159" s="440"/>
      <c r="C159" s="2668" t="s">
        <v>2089</v>
      </c>
      <c r="D159" s="2669" t="s">
        <v>976</v>
      </c>
      <c r="E159" s="2669">
        <v>1</v>
      </c>
      <c r="F159" s="2670">
        <v>121000</v>
      </c>
      <c r="G159" s="2667">
        <f t="shared" si="6"/>
        <v>121000</v>
      </c>
    </row>
    <row r="160" spans="1:7">
      <c r="A160" s="1593"/>
      <c r="B160" s="1596"/>
      <c r="C160" s="2668"/>
      <c r="D160" s="2674"/>
      <c r="E160" s="2674"/>
      <c r="F160" s="2670" t="s">
        <v>1002</v>
      </c>
      <c r="G160" s="2667" t="str">
        <f t="shared" si="6"/>
        <v/>
      </c>
    </row>
    <row r="161" spans="1:9">
      <c r="A161" s="2684">
        <v>19.13</v>
      </c>
      <c r="B161" s="2685"/>
      <c r="C161" s="2678" t="s">
        <v>2123</v>
      </c>
      <c r="D161" s="2674"/>
      <c r="E161" s="2674"/>
      <c r="F161" s="2670" t="s">
        <v>1002</v>
      </c>
      <c r="G161" s="2667" t="str">
        <f t="shared" si="6"/>
        <v/>
      </c>
      <c r="I161" s="782">
        <f>SUM(G163:G171)</f>
        <v>816750</v>
      </c>
    </row>
    <row r="162" spans="1:9">
      <c r="A162" s="1593"/>
      <c r="B162" s="2685"/>
      <c r="C162" s="2679"/>
      <c r="D162" s="2674"/>
      <c r="E162" s="2674"/>
      <c r="F162" s="2670" t="s">
        <v>1002</v>
      </c>
      <c r="G162" s="2667" t="str">
        <f t="shared" si="6"/>
        <v/>
      </c>
    </row>
    <row r="163" spans="1:9">
      <c r="A163" s="1604" t="s">
        <v>2124</v>
      </c>
      <c r="B163" s="444"/>
      <c r="C163" s="2668" t="s">
        <v>2049</v>
      </c>
      <c r="D163" s="2669" t="s">
        <v>691</v>
      </c>
      <c r="E163" s="2669">
        <v>4</v>
      </c>
      <c r="F163" s="2682">
        <v>48400</v>
      </c>
      <c r="G163" s="2667">
        <f t="shared" si="6"/>
        <v>193600</v>
      </c>
    </row>
    <row r="164" spans="1:9">
      <c r="A164" s="1593"/>
      <c r="B164" s="444"/>
      <c r="C164" s="2668"/>
      <c r="D164" s="2674"/>
      <c r="E164" s="2669"/>
      <c r="F164" s="2682" t="s">
        <v>1002</v>
      </c>
      <c r="G164" s="2667" t="str">
        <f t="shared" si="6"/>
        <v/>
      </c>
    </row>
    <row r="165" spans="1:9">
      <c r="A165" s="1604" t="s">
        <v>2125</v>
      </c>
      <c r="B165" s="2672"/>
      <c r="C165" s="2668" t="s">
        <v>2051</v>
      </c>
      <c r="D165" s="2669" t="s">
        <v>976</v>
      </c>
      <c r="E165" s="2669">
        <v>1</v>
      </c>
      <c r="F165" s="2670">
        <v>242000</v>
      </c>
      <c r="G165" s="2667">
        <f t="shared" si="6"/>
        <v>242000</v>
      </c>
    </row>
    <row r="166" spans="1:9">
      <c r="A166" s="1593"/>
      <c r="B166" s="2672"/>
      <c r="C166" s="2668"/>
      <c r="D166" s="2669"/>
      <c r="E166" s="2671"/>
      <c r="F166" s="2670" t="s">
        <v>1002</v>
      </c>
      <c r="G166" s="2667" t="str">
        <f t="shared" si="6"/>
        <v/>
      </c>
    </row>
    <row r="167" spans="1:9">
      <c r="A167" s="1604" t="s">
        <v>2126</v>
      </c>
      <c r="B167" s="2672"/>
      <c r="C167" s="2668" t="s">
        <v>2053</v>
      </c>
      <c r="D167" s="2669" t="s">
        <v>976</v>
      </c>
      <c r="E167" s="2669">
        <v>1</v>
      </c>
      <c r="F167" s="2670">
        <v>181500</v>
      </c>
      <c r="G167" s="2667">
        <f t="shared" si="6"/>
        <v>181500</v>
      </c>
    </row>
    <row r="168" spans="1:9">
      <c r="A168" s="1593"/>
      <c r="B168" s="2672"/>
      <c r="C168" s="2668"/>
      <c r="D168" s="2674"/>
      <c r="E168" s="2675"/>
      <c r="F168" s="2670" t="s">
        <v>1002</v>
      </c>
      <c r="G168" s="2667" t="str">
        <f t="shared" si="6"/>
        <v/>
      </c>
    </row>
    <row r="169" spans="1:9" s="10" customFormat="1">
      <c r="A169" s="1604" t="s">
        <v>2127</v>
      </c>
      <c r="B169" s="2672"/>
      <c r="C169" s="2668" t="s">
        <v>2055</v>
      </c>
      <c r="D169" s="2669" t="s">
        <v>976</v>
      </c>
      <c r="E169" s="2669">
        <v>1</v>
      </c>
      <c r="F169" s="2670">
        <v>121000</v>
      </c>
      <c r="G169" s="2667">
        <f t="shared" si="6"/>
        <v>121000</v>
      </c>
    </row>
    <row r="170" spans="1:9">
      <c r="A170" s="1593"/>
      <c r="B170" s="2672"/>
      <c r="C170" s="2668"/>
      <c r="D170" s="2669"/>
      <c r="E170" s="2669"/>
      <c r="F170" s="2670" t="s">
        <v>1002</v>
      </c>
      <c r="G170" s="2667" t="str">
        <f t="shared" si="6"/>
        <v/>
      </c>
    </row>
    <row r="171" spans="1:9">
      <c r="A171" s="1604" t="s">
        <v>2128</v>
      </c>
      <c r="B171" s="444"/>
      <c r="C171" s="2668" t="s">
        <v>2057</v>
      </c>
      <c r="D171" s="2674" t="s">
        <v>691</v>
      </c>
      <c r="E171" s="2675">
        <v>13</v>
      </c>
      <c r="F171" s="2670">
        <v>6050</v>
      </c>
      <c r="G171" s="2667">
        <f t="shared" si="6"/>
        <v>78650</v>
      </c>
    </row>
    <row r="172" spans="1:9">
      <c r="A172" s="1593"/>
      <c r="B172" s="1596"/>
      <c r="C172" s="2668"/>
      <c r="D172" s="2674"/>
      <c r="E172" s="2674"/>
      <c r="F172" s="2670"/>
      <c r="G172" s="2667" t="str">
        <f t="shared" si="6"/>
        <v/>
      </c>
    </row>
    <row r="173" spans="1:9">
      <c r="A173" s="2684">
        <v>19.14</v>
      </c>
      <c r="B173" s="2685"/>
      <c r="C173" s="2678" t="s">
        <v>2129</v>
      </c>
      <c r="D173" s="2674"/>
      <c r="E173" s="2674"/>
      <c r="F173" s="2670"/>
      <c r="G173" s="2667" t="str">
        <f t="shared" si="6"/>
        <v/>
      </c>
      <c r="I173" s="782">
        <f>G175</f>
        <v>500000</v>
      </c>
    </row>
    <row r="174" spans="1:9" ht="15" customHeight="1">
      <c r="A174" s="1593"/>
      <c r="B174" s="2685"/>
      <c r="C174" s="2679"/>
      <c r="D174" s="2674"/>
      <c r="E174" s="2674"/>
      <c r="F174" s="2704"/>
      <c r="G174" s="2705" t="str">
        <f t="shared" si="6"/>
        <v/>
      </c>
    </row>
    <row r="175" spans="1:9">
      <c r="A175" s="1604" t="s">
        <v>2130</v>
      </c>
      <c r="B175" s="444"/>
      <c r="C175" s="2668" t="s">
        <v>2131</v>
      </c>
      <c r="D175" s="2669" t="s">
        <v>548</v>
      </c>
      <c r="E175" s="2669">
        <v>1</v>
      </c>
      <c r="F175" s="2706">
        <v>500000</v>
      </c>
      <c r="G175" s="2705">
        <f t="shared" si="6"/>
        <v>500000</v>
      </c>
    </row>
    <row r="176" spans="1:9">
      <c r="A176" s="1593"/>
      <c r="B176" s="2685"/>
      <c r="C176" s="2679"/>
      <c r="D176" s="2674"/>
      <c r="E176" s="2674"/>
      <c r="F176" s="2704"/>
      <c r="G176" s="2705" t="str">
        <f t="shared" si="6"/>
        <v/>
      </c>
    </row>
    <row r="177" spans="1:9">
      <c r="A177" s="1604" t="s">
        <v>2132</v>
      </c>
      <c r="B177" s="444"/>
      <c r="C177" s="2668" t="s">
        <v>2133</v>
      </c>
      <c r="D177" s="2669" t="s">
        <v>548</v>
      </c>
      <c r="E177" s="2669">
        <v>1</v>
      </c>
      <c r="F177" s="2706">
        <v>500000</v>
      </c>
      <c r="G177" s="2705">
        <f t="shared" si="6"/>
        <v>500000</v>
      </c>
    </row>
    <row r="178" spans="1:9">
      <c r="A178" s="1593"/>
      <c r="B178" s="2707"/>
      <c r="C178" s="2668"/>
      <c r="D178" s="2674"/>
      <c r="E178" s="2669"/>
      <c r="F178" s="2706"/>
      <c r="G178" s="2705"/>
    </row>
    <row r="179" spans="1:9" ht="26.4">
      <c r="A179" s="1604" t="s">
        <v>2134</v>
      </c>
      <c r="B179" s="1596"/>
      <c r="C179" s="2680" t="s">
        <v>2135</v>
      </c>
      <c r="D179" s="2681" t="s">
        <v>2136</v>
      </c>
      <c r="E179" s="2681">
        <v>100</v>
      </c>
      <c r="F179" s="2708"/>
      <c r="G179" s="2667"/>
    </row>
    <row r="180" spans="1:9">
      <c r="A180" s="1593"/>
      <c r="B180" s="444"/>
      <c r="C180" s="2709"/>
      <c r="D180" s="2674"/>
      <c r="E180" s="2669"/>
      <c r="F180" s="2706"/>
      <c r="G180" s="2705" t="str">
        <f t="shared" si="6"/>
        <v/>
      </c>
      <c r="I180" s="526">
        <f>G184</f>
        <v>3500000</v>
      </c>
    </row>
    <row r="181" spans="1:9">
      <c r="A181" s="1593"/>
      <c r="B181" s="1596"/>
      <c r="C181" s="2668"/>
      <c r="D181" s="2674"/>
      <c r="E181" s="2674"/>
      <c r="F181" s="2704"/>
      <c r="G181" s="2705" t="str">
        <f t="shared" si="6"/>
        <v/>
      </c>
    </row>
    <row r="182" spans="1:9" ht="26.4">
      <c r="A182" s="2684">
        <v>19.149999999999999</v>
      </c>
      <c r="B182" s="2685"/>
      <c r="C182" s="2710" t="s">
        <v>2137</v>
      </c>
      <c r="D182" s="2674"/>
      <c r="E182" s="2674"/>
      <c r="F182" s="2704"/>
      <c r="G182" s="2705" t="str">
        <f t="shared" si="6"/>
        <v/>
      </c>
    </row>
    <row r="183" spans="1:9">
      <c r="A183" s="1593"/>
      <c r="B183" s="2685"/>
      <c r="C183" s="2679"/>
      <c r="D183" s="2674"/>
      <c r="E183" s="2674"/>
      <c r="F183" s="2670"/>
      <c r="G183" s="2667" t="str">
        <f t="shared" si="6"/>
        <v/>
      </c>
    </row>
    <row r="184" spans="1:9" ht="26.4">
      <c r="A184" s="1604" t="s">
        <v>2138</v>
      </c>
      <c r="B184" s="444"/>
      <c r="C184" s="2664" t="s">
        <v>2139</v>
      </c>
      <c r="D184" s="2665" t="s">
        <v>548</v>
      </c>
      <c r="E184" s="2665">
        <v>1</v>
      </c>
      <c r="F184" s="2666">
        <v>3500000</v>
      </c>
      <c r="G184" s="2667">
        <f t="shared" si="6"/>
        <v>3500000</v>
      </c>
    </row>
    <row r="185" spans="1:9">
      <c r="A185" s="1593"/>
      <c r="B185" s="1596"/>
      <c r="C185" s="2668"/>
      <c r="D185" s="2674"/>
      <c r="E185" s="2674"/>
      <c r="F185" s="2670"/>
      <c r="G185" s="2667" t="str">
        <f t="shared" si="6"/>
        <v/>
      </c>
    </row>
    <row r="186" spans="1:9">
      <c r="A186" s="1604" t="s">
        <v>2140</v>
      </c>
      <c r="B186" s="1596"/>
      <c r="C186" s="2668" t="s">
        <v>2141</v>
      </c>
      <c r="D186" s="2674" t="s">
        <v>548</v>
      </c>
      <c r="E186" s="2674">
        <v>1</v>
      </c>
      <c r="F186" s="2670">
        <v>3200000</v>
      </c>
      <c r="G186" s="2667">
        <f t="shared" si="6"/>
        <v>3200000</v>
      </c>
      <c r="I186" s="2686"/>
    </row>
    <row r="187" spans="1:9">
      <c r="A187" s="1593"/>
      <c r="B187" s="1596"/>
      <c r="C187" s="2668"/>
      <c r="D187" s="2674"/>
      <c r="E187" s="2674"/>
      <c r="F187" s="2670"/>
      <c r="G187" s="2667" t="str">
        <f t="shared" si="6"/>
        <v/>
      </c>
      <c r="I187" s="2686"/>
    </row>
    <row r="188" spans="1:9">
      <c r="A188" s="1604" t="s">
        <v>2142</v>
      </c>
      <c r="B188" s="1596"/>
      <c r="C188" s="2668" t="s">
        <v>2143</v>
      </c>
      <c r="D188" s="2674" t="s">
        <v>548</v>
      </c>
      <c r="E188" s="2674">
        <v>1</v>
      </c>
      <c r="F188" s="2670">
        <v>1500000</v>
      </c>
      <c r="G188" s="2667">
        <f t="shared" si="6"/>
        <v>1500000</v>
      </c>
      <c r="I188" s="2686"/>
    </row>
    <row r="189" spans="1:9">
      <c r="A189" s="1593"/>
      <c r="B189" s="1596"/>
      <c r="C189" s="2668"/>
      <c r="D189" s="2674"/>
      <c r="E189" s="2674"/>
      <c r="F189" s="2670"/>
      <c r="G189" s="2667" t="str">
        <f t="shared" si="6"/>
        <v/>
      </c>
      <c r="I189" s="2686"/>
    </row>
    <row r="190" spans="1:9">
      <c r="A190" s="1604" t="s">
        <v>2144</v>
      </c>
      <c r="B190" s="1596"/>
      <c r="C190" s="2668" t="s">
        <v>2145</v>
      </c>
      <c r="D190" s="2674" t="s">
        <v>548</v>
      </c>
      <c r="E190" s="2674">
        <v>1</v>
      </c>
      <c r="F190" s="2670">
        <v>1500000</v>
      </c>
      <c r="G190" s="2667">
        <f t="shared" si="6"/>
        <v>1500000</v>
      </c>
      <c r="I190" s="2686"/>
    </row>
    <row r="191" spans="1:9">
      <c r="A191" s="1593"/>
      <c r="B191" s="1596"/>
      <c r="C191" s="2668"/>
      <c r="D191" s="2674"/>
      <c r="E191" s="2674"/>
      <c r="F191" s="2670"/>
      <c r="G191" s="2667" t="str">
        <f t="shared" si="6"/>
        <v/>
      </c>
      <c r="I191" s="2686"/>
    </row>
    <row r="192" spans="1:9">
      <c r="A192" s="1604" t="s">
        <v>2146</v>
      </c>
      <c r="B192" s="1596"/>
      <c r="C192" s="2668" t="s">
        <v>2147</v>
      </c>
      <c r="D192" s="2674" t="s">
        <v>548</v>
      </c>
      <c r="E192" s="2674">
        <v>1</v>
      </c>
      <c r="F192" s="2670">
        <v>500000</v>
      </c>
      <c r="G192" s="2667">
        <f t="shared" si="6"/>
        <v>500000</v>
      </c>
      <c r="I192" s="2686"/>
    </row>
    <row r="193" spans="1:9">
      <c r="A193" s="1593"/>
      <c r="B193" s="1596"/>
      <c r="C193" s="2668"/>
      <c r="D193" s="2674"/>
      <c r="E193" s="2674"/>
      <c r="F193" s="2670"/>
      <c r="G193" s="2667" t="str">
        <f t="shared" si="6"/>
        <v/>
      </c>
      <c r="I193" s="2686"/>
    </row>
    <row r="194" spans="1:9">
      <c r="A194" s="1604" t="s">
        <v>2148</v>
      </c>
      <c r="B194" s="1596"/>
      <c r="C194" s="2668" t="s">
        <v>2149</v>
      </c>
      <c r="D194" s="2674" t="s">
        <v>548</v>
      </c>
      <c r="E194" s="2674">
        <v>1</v>
      </c>
      <c r="F194" s="2670">
        <v>2000000</v>
      </c>
      <c r="G194" s="2667">
        <f t="shared" si="6"/>
        <v>2000000</v>
      </c>
    </row>
    <row r="195" spans="1:9">
      <c r="A195" s="1593"/>
      <c r="B195" s="1596"/>
      <c r="C195" s="2668"/>
      <c r="D195" s="2674"/>
      <c r="E195" s="2674"/>
      <c r="F195" s="2670"/>
      <c r="G195" s="2667" t="str">
        <f t="shared" si="6"/>
        <v/>
      </c>
    </row>
    <row r="196" spans="1:9">
      <c r="A196" s="1604" t="s">
        <v>2150</v>
      </c>
      <c r="B196" s="1596"/>
      <c r="C196" s="2668" t="s">
        <v>2151</v>
      </c>
      <c r="D196" s="2674" t="s">
        <v>548</v>
      </c>
      <c r="E196" s="2674">
        <v>1</v>
      </c>
      <c r="F196" s="2670">
        <v>1000000</v>
      </c>
      <c r="G196" s="2667">
        <f t="shared" si="6"/>
        <v>1000000</v>
      </c>
    </row>
    <row r="197" spans="1:9">
      <c r="A197" s="1593"/>
      <c r="B197" s="1596"/>
      <c r="C197" s="2668"/>
      <c r="D197" s="2674"/>
      <c r="E197" s="2674"/>
      <c r="F197" s="2670"/>
      <c r="G197" s="2667" t="str">
        <f t="shared" si="6"/>
        <v/>
      </c>
    </row>
    <row r="198" spans="1:9">
      <c r="A198" s="1604" t="s">
        <v>2152</v>
      </c>
      <c r="B198" s="1596"/>
      <c r="C198" s="2668" t="s">
        <v>2153</v>
      </c>
      <c r="D198" s="2674" t="s">
        <v>548</v>
      </c>
      <c r="E198" s="2674">
        <v>1</v>
      </c>
      <c r="F198" s="2670">
        <v>2400000</v>
      </c>
      <c r="G198" s="2667">
        <f t="shared" si="6"/>
        <v>2400000</v>
      </c>
    </row>
    <row r="199" spans="1:9">
      <c r="A199" s="1593"/>
      <c r="B199" s="1596"/>
      <c r="C199" s="2668"/>
      <c r="D199" s="2674"/>
      <c r="E199" s="2674"/>
      <c r="F199" s="2670"/>
      <c r="G199" s="2686"/>
    </row>
    <row r="200" spans="1:9">
      <c r="A200" s="1593"/>
      <c r="B200" s="1596"/>
      <c r="C200" s="2668"/>
      <c r="D200" s="2674"/>
      <c r="E200" s="2674"/>
      <c r="F200" s="2670"/>
      <c r="G200" s="2686"/>
    </row>
    <row r="201" spans="1:9">
      <c r="A201" s="1593"/>
      <c r="B201" s="1596"/>
      <c r="C201" s="2668"/>
      <c r="D201" s="2674"/>
      <c r="E201" s="2674"/>
      <c r="F201" s="2670"/>
      <c r="G201" s="2686"/>
    </row>
    <row r="202" spans="1:9">
      <c r="A202" s="1593"/>
      <c r="B202" s="1596"/>
      <c r="C202" s="2668"/>
      <c r="D202" s="2674"/>
      <c r="E202" s="2674"/>
      <c r="F202" s="2670"/>
      <c r="G202" s="2686"/>
    </row>
    <row r="203" spans="1:9">
      <c r="A203" s="1593"/>
      <c r="B203" s="1596"/>
      <c r="C203" s="2668"/>
      <c r="D203" s="2674"/>
      <c r="E203" s="2674"/>
      <c r="F203" s="2670"/>
      <c r="G203" s="2686"/>
    </row>
    <row r="204" spans="1:9">
      <c r="A204" s="1593"/>
      <c r="B204" s="1596"/>
      <c r="C204" s="2668"/>
      <c r="D204" s="2674"/>
      <c r="E204" s="2674"/>
      <c r="F204" s="2670"/>
      <c r="G204" s="2686"/>
    </row>
    <row r="205" spans="1:9">
      <c r="A205" s="1593"/>
      <c r="B205" s="1596"/>
      <c r="C205" s="2668"/>
      <c r="D205" s="2674"/>
      <c r="E205" s="2674"/>
      <c r="F205" s="2670"/>
      <c r="G205" s="2686"/>
    </row>
    <row r="206" spans="1:9">
      <c r="A206" s="1593"/>
      <c r="B206" s="1596"/>
      <c r="C206" s="2668"/>
      <c r="D206" s="2674"/>
      <c r="E206" s="2674"/>
      <c r="F206" s="2670"/>
      <c r="G206" s="2686"/>
    </row>
    <row r="207" spans="1:9">
      <c r="A207" s="1593"/>
      <c r="B207" s="1596"/>
      <c r="C207" s="2668"/>
      <c r="D207" s="2674"/>
      <c r="E207" s="2674"/>
      <c r="F207" s="2670"/>
      <c r="G207" s="2686"/>
    </row>
    <row r="208" spans="1:9">
      <c r="A208" s="1593"/>
      <c r="B208" s="1596"/>
      <c r="C208" s="2668"/>
      <c r="D208" s="2674"/>
      <c r="E208" s="2674"/>
      <c r="F208" s="2670"/>
      <c r="G208" s="2686"/>
    </row>
    <row r="209" spans="1:7">
      <c r="A209" s="1593"/>
      <c r="B209" s="1596"/>
      <c r="C209" s="2668"/>
      <c r="D209" s="2674"/>
      <c r="E209" s="2674"/>
      <c r="F209" s="2670"/>
      <c r="G209" s="2686"/>
    </row>
    <row r="210" spans="1:7">
      <c r="A210" s="1593"/>
      <c r="B210" s="1596"/>
      <c r="C210" s="2668"/>
      <c r="D210" s="2674"/>
      <c r="E210" s="2674"/>
      <c r="F210" s="2670"/>
      <c r="G210" s="2686"/>
    </row>
    <row r="211" spans="1:7">
      <c r="A211" s="1593"/>
      <c r="B211" s="1596"/>
      <c r="C211" s="2668"/>
      <c r="D211" s="2674"/>
      <c r="E211" s="2674"/>
      <c r="F211" s="2670"/>
      <c r="G211" s="2686"/>
    </row>
    <row r="212" spans="1:7">
      <c r="A212" s="1593"/>
      <c r="B212" s="1596"/>
      <c r="C212" s="2668"/>
      <c r="D212" s="2674"/>
      <c r="E212" s="2674"/>
      <c r="F212" s="2670"/>
      <c r="G212" s="2686"/>
    </row>
    <row r="213" spans="1:7">
      <c r="A213" s="1593"/>
      <c r="B213" s="1596"/>
      <c r="C213" s="2668"/>
      <c r="D213" s="2674"/>
      <c r="E213" s="2674"/>
      <c r="F213" s="2670"/>
      <c r="G213" s="2686"/>
    </row>
    <row r="214" spans="1:7">
      <c r="A214" s="1593"/>
      <c r="B214" s="1596"/>
      <c r="C214" s="2668"/>
      <c r="D214" s="2674"/>
      <c r="E214" s="2674"/>
      <c r="F214" s="2670"/>
      <c r="G214" s="2686"/>
    </row>
    <row r="215" spans="1:7">
      <c r="A215" s="1593"/>
      <c r="B215" s="1596"/>
      <c r="C215" s="2668"/>
      <c r="D215" s="2674"/>
      <c r="E215" s="2674"/>
      <c r="F215" s="2670"/>
      <c r="G215" s="2686"/>
    </row>
    <row r="216" spans="1:7">
      <c r="A216" s="1593"/>
      <c r="B216" s="1596"/>
      <c r="C216" s="2668"/>
      <c r="D216" s="2674"/>
      <c r="E216" s="2674"/>
      <c r="F216" s="2670"/>
      <c r="G216" s="2686"/>
    </row>
    <row r="217" spans="1:7">
      <c r="A217" s="1593"/>
      <c r="B217" s="1596"/>
      <c r="C217" s="2668"/>
      <c r="D217" s="2674"/>
      <c r="E217" s="2674"/>
      <c r="F217" s="2670"/>
      <c r="G217" s="2686"/>
    </row>
    <row r="218" spans="1:7">
      <c r="A218" s="1593"/>
      <c r="B218" s="1596"/>
      <c r="C218" s="2668"/>
      <c r="D218" s="2674"/>
      <c r="E218" s="2674"/>
      <c r="F218" s="2670"/>
      <c r="G218" s="2686"/>
    </row>
    <row r="219" spans="1:7">
      <c r="A219" s="1593"/>
      <c r="B219" s="1596"/>
      <c r="C219" s="2668"/>
      <c r="D219" s="2674"/>
      <c r="E219" s="2674"/>
      <c r="F219" s="2670"/>
      <c r="G219" s="2686"/>
    </row>
    <row r="220" spans="1:7">
      <c r="A220" s="1593"/>
      <c r="B220" s="1596"/>
      <c r="C220" s="2668"/>
      <c r="D220" s="2674"/>
      <c r="E220" s="2674"/>
      <c r="F220" s="2670"/>
      <c r="G220" s="2686"/>
    </row>
    <row r="221" spans="1:7">
      <c r="A221" s="1593"/>
      <c r="B221" s="1596"/>
      <c r="C221" s="2668"/>
      <c r="D221" s="2674"/>
      <c r="E221" s="2674"/>
      <c r="F221" s="2670"/>
      <c r="G221" s="2686"/>
    </row>
    <row r="222" spans="1:7">
      <c r="A222" s="1593"/>
      <c r="B222" s="1596"/>
      <c r="C222" s="2668"/>
      <c r="D222" s="2674"/>
      <c r="E222" s="2674"/>
      <c r="F222" s="2670"/>
      <c r="G222" s="2686"/>
    </row>
    <row r="223" spans="1:7">
      <c r="A223" s="1593"/>
      <c r="B223" s="1596"/>
      <c r="C223" s="2668"/>
      <c r="D223" s="2674"/>
      <c r="E223" s="2674"/>
      <c r="F223" s="2670"/>
      <c r="G223" s="2686"/>
    </row>
    <row r="224" spans="1:7">
      <c r="A224" s="2333"/>
      <c r="B224" s="819"/>
      <c r="C224" s="819"/>
      <c r="D224" s="837"/>
      <c r="E224" s="838"/>
      <c r="F224" s="2687"/>
      <c r="G224" s="2711"/>
    </row>
    <row r="225" spans="1:7">
      <c r="A225" s="2336"/>
      <c r="B225" s="438"/>
      <c r="C225" s="413" t="s">
        <v>2154</v>
      </c>
      <c r="D225" s="426"/>
      <c r="E225" s="24"/>
      <c r="F225" s="446"/>
      <c r="G225" s="2622">
        <f>SUM(G155:G222)</f>
        <v>43649700</v>
      </c>
    </row>
    <row r="226" spans="1:7">
      <c r="F226" s="347"/>
    </row>
    <row r="227" spans="1:7">
      <c r="G227" s="684"/>
    </row>
    <row r="231" spans="1:7">
      <c r="F231" s="692"/>
      <c r="G231" s="691"/>
    </row>
  </sheetData>
  <mergeCells count="1">
    <mergeCell ref="A1:G1"/>
  </mergeCells>
  <phoneticPr fontId="33" type="noConversion"/>
  <pageMargins left="0.59055118110236227" right="0.59055118110236227" top="1.1023622047244095" bottom="0.78740157480314965" header="0.27559055118110237" footer="0.27559055118110237"/>
  <pageSetup paperSize="9" scale="70" firstPageNumber="51" fitToHeight="0" orientation="portrait" useFirstPageNumber="1" r:id="rId1"/>
  <headerFooter alignWithMargins="0">
    <oddHeader>&amp;L&amp;G&amp;CContract JW13896RR
Bushkoppie Wastewater Treatment Works:
Infrastructure Renewal Plan
Volume 1 
C 2.2 Bill of Quantities&amp;R&amp;G</oddHeader>
    <oddFooter>&amp;C&amp;12PD.&amp;P&amp;R&amp;12Bill of Quantities</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44609-BD99-4507-B711-7EAF568B57E1}">
  <sheetPr>
    <pageSetUpPr fitToPage="1"/>
  </sheetPr>
  <dimension ref="A1:K1966"/>
  <sheetViews>
    <sheetView view="pageBreakPreview" topLeftCell="A1676" zoomScaleNormal="100" zoomScaleSheetLayoutView="100" workbookViewId="0">
      <selection activeCell="J1689" sqref="J1689"/>
    </sheetView>
  </sheetViews>
  <sheetFormatPr defaultColWidth="9.109375" defaultRowHeight="14.4"/>
  <cols>
    <col min="1" max="1" width="9.109375" style="842" customWidth="1"/>
    <col min="2" max="2" width="7.88671875" style="767" customWidth="1"/>
    <col min="3" max="3" width="10" style="767" customWidth="1"/>
    <col min="4" max="4" width="58.88671875" style="781" customWidth="1"/>
    <col min="5" max="5" width="8.88671875" style="767" customWidth="1"/>
    <col min="6" max="6" width="10.88671875" style="767" customWidth="1"/>
    <col min="7" max="7" width="14.88671875" style="780" customWidth="1"/>
    <col min="8" max="8" width="20.88671875" style="767" customWidth="1"/>
    <col min="9" max="9" width="7.88671875" style="767" customWidth="1"/>
    <col min="10" max="10" width="16.88671875" style="767" customWidth="1"/>
    <col min="11" max="11" width="5.88671875" style="767" customWidth="1"/>
    <col min="12" max="16384" width="9.109375" style="767"/>
  </cols>
  <sheetData>
    <row r="1" spans="1:8">
      <c r="A1" s="3043" t="s">
        <v>2155</v>
      </c>
      <c r="B1" s="3043"/>
      <c r="C1" s="3043"/>
      <c r="D1" s="3043"/>
      <c r="E1" s="3043"/>
      <c r="F1" s="3043"/>
      <c r="G1" s="3043"/>
      <c r="H1" s="3043"/>
    </row>
    <row r="2" spans="1:8" ht="25.35" customHeight="1">
      <c r="A2" s="768" t="s">
        <v>541</v>
      </c>
      <c r="B2" s="768" t="s">
        <v>217</v>
      </c>
      <c r="C2" s="769" t="s">
        <v>2156</v>
      </c>
      <c r="D2" s="770" t="s">
        <v>219</v>
      </c>
      <c r="E2" s="771" t="s">
        <v>220</v>
      </c>
      <c r="F2" s="771" t="s">
        <v>221</v>
      </c>
      <c r="G2" s="772" t="s">
        <v>222</v>
      </c>
      <c r="H2" s="773" t="s">
        <v>223</v>
      </c>
    </row>
    <row r="3" spans="1:8" ht="12.6" customHeight="1">
      <c r="A3" s="2712"/>
      <c r="B3" s="2713"/>
      <c r="C3" s="2714"/>
      <c r="D3" s="898"/>
      <c r="E3" s="2715"/>
      <c r="F3" s="2716"/>
      <c r="G3" s="2717"/>
      <c r="H3" s="2718"/>
    </row>
    <row r="4" spans="1:8" ht="12.6" customHeight="1">
      <c r="A4" s="2684">
        <v>19</v>
      </c>
      <c r="B4" s="2578"/>
      <c r="C4" s="2579"/>
      <c r="D4" s="2594" t="s">
        <v>2022</v>
      </c>
      <c r="E4" s="1596"/>
      <c r="F4" s="2719"/>
      <c r="G4" s="1472"/>
      <c r="H4" s="2720"/>
    </row>
    <row r="5" spans="1:8" ht="24.9" customHeight="1">
      <c r="A5" s="2684"/>
      <c r="B5" s="2721"/>
      <c r="C5" s="1594"/>
      <c r="D5" s="2722" t="s">
        <v>2157</v>
      </c>
      <c r="E5" s="1596"/>
      <c r="F5" s="2719"/>
      <c r="G5" s="1472"/>
      <c r="H5" s="2720"/>
    </row>
    <row r="6" spans="1:8" ht="12.6" customHeight="1">
      <c r="A6" s="2684">
        <f>$A$4</f>
        <v>19</v>
      </c>
      <c r="B6" s="2684">
        <v>1</v>
      </c>
      <c r="C6" s="1594" t="s">
        <v>2158</v>
      </c>
      <c r="D6" s="2723" t="s">
        <v>2159</v>
      </c>
      <c r="E6" s="1596"/>
      <c r="F6" s="2719"/>
      <c r="G6" s="1472"/>
      <c r="H6" s="1592"/>
    </row>
    <row r="7" spans="1:8" ht="12.6" customHeight="1">
      <c r="A7" s="2684"/>
      <c r="B7" s="2721"/>
      <c r="C7" s="1594"/>
      <c r="D7" s="2722"/>
      <c r="E7" s="1596"/>
      <c r="F7" s="2719"/>
      <c r="G7" s="1472"/>
      <c r="H7" s="2720"/>
    </row>
    <row r="8" spans="1:8" ht="39.6">
      <c r="A8" s="2684"/>
      <c r="B8" s="2721"/>
      <c r="C8" s="1594"/>
      <c r="D8" s="2722" t="s">
        <v>2160</v>
      </c>
      <c r="E8" s="1596"/>
      <c r="F8" s="2719"/>
      <c r="G8" s="1472"/>
      <c r="H8" s="2720"/>
    </row>
    <row r="9" spans="1:8" ht="12.6" customHeight="1">
      <c r="A9" s="2684"/>
      <c r="B9" s="1604"/>
      <c r="C9" s="1594"/>
      <c r="D9" s="900"/>
      <c r="E9" s="1596"/>
      <c r="F9" s="2724"/>
      <c r="G9" s="1472"/>
      <c r="H9" s="2720"/>
    </row>
    <row r="10" spans="1:8" ht="12.6" customHeight="1">
      <c r="A10" s="2684">
        <f>$A$4</f>
        <v>19</v>
      </c>
      <c r="B10" s="2684">
        <v>1.1000000000000001</v>
      </c>
      <c r="C10" s="1594"/>
      <c r="D10" s="2725" t="s">
        <v>2161</v>
      </c>
      <c r="E10" s="1596"/>
      <c r="F10" s="2724"/>
      <c r="G10" s="1472"/>
      <c r="H10" s="2720"/>
    </row>
    <row r="11" spans="1:8" ht="12.6" customHeight="1">
      <c r="A11" s="2684"/>
      <c r="B11" s="1604"/>
      <c r="C11" s="1594"/>
      <c r="D11" s="2725"/>
      <c r="E11" s="1596"/>
      <c r="F11" s="2724"/>
      <c r="G11" s="1472"/>
      <c r="H11" s="2720"/>
    </row>
    <row r="12" spans="1:8" ht="39.6">
      <c r="A12" s="2684"/>
      <c r="B12" s="1593" t="s">
        <v>2162</v>
      </c>
      <c r="C12" s="1594" t="s">
        <v>2158</v>
      </c>
      <c r="D12" s="1589" t="s">
        <v>2163</v>
      </c>
      <c r="E12" s="2726" t="s">
        <v>230</v>
      </c>
      <c r="F12" s="2724">
        <v>1</v>
      </c>
      <c r="G12" s="1472"/>
      <c r="H12" s="1501">
        <f t="shared" ref="H12:H59" si="0">IF(E12="","",ROUND(F12*G12,2))</f>
        <v>0</v>
      </c>
    </row>
    <row r="13" spans="1:8" ht="12.6" customHeight="1">
      <c r="A13" s="1586"/>
      <c r="B13" s="2727"/>
      <c r="C13" s="1594"/>
      <c r="D13" s="1595"/>
      <c r="E13" s="1596"/>
      <c r="F13" s="1597"/>
      <c r="G13" s="1472"/>
      <c r="H13" s="1501" t="str">
        <f t="shared" si="0"/>
        <v/>
      </c>
    </row>
    <row r="14" spans="1:8" ht="12.6" customHeight="1">
      <c r="A14" s="1586"/>
      <c r="B14" s="1593" t="s">
        <v>2164</v>
      </c>
      <c r="C14" s="1594" t="s">
        <v>2158</v>
      </c>
      <c r="D14" s="1595" t="s">
        <v>2165</v>
      </c>
      <c r="E14" s="1596" t="s">
        <v>691</v>
      </c>
      <c r="F14" s="1604">
        <v>3</v>
      </c>
      <c r="G14" s="1473"/>
      <c r="H14" s="1501">
        <f t="shared" si="0"/>
        <v>0</v>
      </c>
    </row>
    <row r="15" spans="1:8" ht="12.6" customHeight="1">
      <c r="A15" s="1586"/>
      <c r="B15" s="2727"/>
      <c r="C15" s="1594"/>
      <c r="D15" s="1589"/>
      <c r="E15" s="1596"/>
      <c r="F15" s="1604"/>
      <c r="G15" s="1473"/>
      <c r="H15" s="1501" t="str">
        <f t="shared" si="0"/>
        <v/>
      </c>
    </row>
    <row r="16" spans="1:8" ht="39.6">
      <c r="A16" s="1586"/>
      <c r="B16" s="1593" t="s">
        <v>2166</v>
      </c>
      <c r="C16" s="1594" t="s">
        <v>2158</v>
      </c>
      <c r="D16" s="1589" t="s">
        <v>2167</v>
      </c>
      <c r="E16" s="2728" t="s">
        <v>691</v>
      </c>
      <c r="F16" s="2729">
        <v>1</v>
      </c>
      <c r="G16" s="1472"/>
      <c r="H16" s="1501">
        <f t="shared" si="0"/>
        <v>0</v>
      </c>
    </row>
    <row r="17" spans="1:8" ht="12.6" customHeight="1">
      <c r="A17" s="1586"/>
      <c r="B17" s="1593"/>
      <c r="C17" s="2684"/>
      <c r="D17" s="1589"/>
      <c r="E17" s="1596"/>
      <c r="F17" s="2730"/>
      <c r="G17" s="1472"/>
      <c r="H17" s="1501" t="str">
        <f t="shared" si="0"/>
        <v/>
      </c>
    </row>
    <row r="18" spans="1:8" ht="26.4">
      <c r="A18" s="1586"/>
      <c r="B18" s="1593" t="s">
        <v>2168</v>
      </c>
      <c r="C18" s="1594" t="s">
        <v>2169</v>
      </c>
      <c r="D18" s="1589" t="s">
        <v>2170</v>
      </c>
      <c r="E18" s="1596" t="s">
        <v>691</v>
      </c>
      <c r="F18" s="1604">
        <v>1</v>
      </c>
      <c r="G18" s="1473"/>
      <c r="H18" s="1501">
        <f t="shared" si="0"/>
        <v>0</v>
      </c>
    </row>
    <row r="19" spans="1:8" ht="12.6" customHeight="1">
      <c r="A19" s="1586"/>
      <c r="B19" s="2727"/>
      <c r="C19" s="1594"/>
      <c r="D19" s="1589"/>
      <c r="E19" s="1596"/>
      <c r="F19" s="1597"/>
      <c r="G19" s="1473"/>
      <c r="H19" s="1501" t="str">
        <f t="shared" si="0"/>
        <v/>
      </c>
    </row>
    <row r="20" spans="1:8" ht="26.4">
      <c r="A20" s="1586"/>
      <c r="B20" s="1593" t="s">
        <v>2171</v>
      </c>
      <c r="C20" s="1594" t="s">
        <v>2172</v>
      </c>
      <c r="D20" s="1595" t="s">
        <v>2173</v>
      </c>
      <c r="E20" s="1596" t="s">
        <v>691</v>
      </c>
      <c r="F20" s="1604">
        <v>1</v>
      </c>
      <c r="G20" s="1474"/>
      <c r="H20" s="1501">
        <f t="shared" si="0"/>
        <v>0</v>
      </c>
    </row>
    <row r="21" spans="1:8" ht="12.6" customHeight="1">
      <c r="A21" s="1586"/>
      <c r="B21" s="2731"/>
      <c r="C21" s="1594"/>
      <c r="D21" s="1595"/>
      <c r="E21" s="1596"/>
      <c r="F21" s="1604"/>
      <c r="G21" s="1472"/>
      <c r="H21" s="1501" t="str">
        <f t="shared" si="0"/>
        <v/>
      </c>
    </row>
    <row r="22" spans="1:8" ht="12.6" customHeight="1">
      <c r="A22" s="1586"/>
      <c r="B22" s="1593" t="s">
        <v>2174</v>
      </c>
      <c r="C22" s="1594" t="s">
        <v>2175</v>
      </c>
      <c r="D22" s="1595" t="s">
        <v>2176</v>
      </c>
      <c r="E22" s="2732"/>
      <c r="F22" s="2733"/>
      <c r="G22" s="1472"/>
      <c r="H22" s="1501" t="str">
        <f t="shared" si="0"/>
        <v/>
      </c>
    </row>
    <row r="23" spans="1:8" ht="12.6" customHeight="1">
      <c r="A23" s="1586"/>
      <c r="B23" s="2727"/>
      <c r="C23" s="1594"/>
      <c r="D23" s="1595"/>
      <c r="E23" s="2732"/>
      <c r="F23" s="2733"/>
      <c r="G23" s="1474"/>
      <c r="H23" s="1501" t="str">
        <f t="shared" si="0"/>
        <v/>
      </c>
    </row>
    <row r="24" spans="1:8" ht="15.6">
      <c r="A24" s="1586"/>
      <c r="B24" s="2727"/>
      <c r="C24" s="1594" t="s">
        <v>2175</v>
      </c>
      <c r="D24" s="1589" t="s">
        <v>2177</v>
      </c>
      <c r="E24" s="2734" t="s">
        <v>561</v>
      </c>
      <c r="F24" s="1597">
        <v>12</v>
      </c>
      <c r="G24" s="1472"/>
      <c r="H24" s="1501">
        <f t="shared" si="0"/>
        <v>0</v>
      </c>
    </row>
    <row r="25" spans="1:8" ht="12.6" customHeight="1">
      <c r="A25" s="1586"/>
      <c r="B25" s="2727"/>
      <c r="C25" s="1594"/>
      <c r="D25" s="1589"/>
      <c r="E25" s="2732"/>
      <c r="F25" s="2730"/>
      <c r="G25" s="1473"/>
      <c r="H25" s="1501" t="str">
        <f t="shared" si="0"/>
        <v/>
      </c>
    </row>
    <row r="26" spans="1:8" ht="26.4">
      <c r="A26" s="1586"/>
      <c r="B26" s="1604" t="s">
        <v>2178</v>
      </c>
      <c r="C26" s="1594" t="s">
        <v>2175</v>
      </c>
      <c r="D26" s="1595" t="s">
        <v>2179</v>
      </c>
      <c r="E26" s="2732"/>
      <c r="F26" s="1604"/>
      <c r="G26" s="1473"/>
      <c r="H26" s="1501" t="str">
        <f t="shared" si="0"/>
        <v/>
      </c>
    </row>
    <row r="27" spans="1:8" ht="12.6" customHeight="1">
      <c r="A27" s="1586"/>
      <c r="B27" s="2721"/>
      <c r="C27" s="1594"/>
      <c r="D27" s="1595"/>
      <c r="E27" s="2732"/>
      <c r="F27" s="2735"/>
      <c r="G27" s="1472"/>
      <c r="H27" s="1501" t="str">
        <f t="shared" si="0"/>
        <v/>
      </c>
    </row>
    <row r="28" spans="1:8" ht="15.6">
      <c r="A28" s="1586"/>
      <c r="B28" s="2721"/>
      <c r="C28" s="1594" t="s">
        <v>2175</v>
      </c>
      <c r="D28" s="1589" t="s">
        <v>2177</v>
      </c>
      <c r="E28" s="1596" t="s">
        <v>691</v>
      </c>
      <c r="F28" s="2729">
        <v>4</v>
      </c>
      <c r="G28" s="1472"/>
      <c r="H28" s="1501">
        <f t="shared" si="0"/>
        <v>0</v>
      </c>
    </row>
    <row r="29" spans="1:8" ht="12.6" customHeight="1">
      <c r="A29" s="1586"/>
      <c r="B29" s="1604"/>
      <c r="C29" s="1594"/>
      <c r="D29" s="1595"/>
      <c r="E29" s="2732"/>
      <c r="F29" s="1604"/>
      <c r="G29" s="1472"/>
      <c r="H29" s="1501" t="str">
        <f t="shared" si="0"/>
        <v/>
      </c>
    </row>
    <row r="30" spans="1:8" ht="26.4">
      <c r="A30" s="1586"/>
      <c r="B30" s="1604" t="s">
        <v>2180</v>
      </c>
      <c r="C30" s="1594" t="s">
        <v>2181</v>
      </c>
      <c r="D30" s="1595" t="s">
        <v>2182</v>
      </c>
      <c r="E30" s="1596" t="s">
        <v>561</v>
      </c>
      <c r="F30" s="2729">
        <v>12</v>
      </c>
      <c r="G30" s="1474"/>
      <c r="H30" s="1501">
        <f t="shared" si="0"/>
        <v>0</v>
      </c>
    </row>
    <row r="31" spans="1:8" ht="12.6" customHeight="1">
      <c r="A31" s="1586"/>
      <c r="B31" s="2721"/>
      <c r="C31" s="1594"/>
      <c r="D31" s="1589"/>
      <c r="E31" s="1596"/>
      <c r="F31" s="2729"/>
      <c r="G31" s="1472"/>
      <c r="H31" s="1501" t="str">
        <f t="shared" si="0"/>
        <v/>
      </c>
    </row>
    <row r="32" spans="1:8" ht="42">
      <c r="A32" s="1586"/>
      <c r="B32" s="1604" t="s">
        <v>2183</v>
      </c>
      <c r="C32" s="1594" t="s">
        <v>2184</v>
      </c>
      <c r="D32" s="1589" t="s">
        <v>2185</v>
      </c>
      <c r="E32" s="1590" t="s">
        <v>561</v>
      </c>
      <c r="F32" s="1601">
        <v>20</v>
      </c>
      <c r="G32" s="1473"/>
      <c r="H32" s="1501">
        <f t="shared" si="0"/>
        <v>0</v>
      </c>
    </row>
    <row r="33" spans="1:8" ht="12.6" customHeight="1">
      <c r="A33" s="1586"/>
      <c r="B33" s="2736"/>
      <c r="C33" s="1594"/>
      <c r="D33" s="1589"/>
      <c r="E33" s="1590"/>
      <c r="F33" s="1601"/>
      <c r="G33" s="1474"/>
      <c r="H33" s="1501" t="str">
        <f t="shared" si="0"/>
        <v/>
      </c>
    </row>
    <row r="34" spans="1:8" ht="15.6">
      <c r="A34" s="1586"/>
      <c r="B34" s="2737" t="s">
        <v>2186</v>
      </c>
      <c r="C34" s="2738" t="s">
        <v>2184</v>
      </c>
      <c r="D34" s="1589" t="s">
        <v>2187</v>
      </c>
      <c r="E34" s="1590" t="s">
        <v>691</v>
      </c>
      <c r="F34" s="1601">
        <v>2</v>
      </c>
      <c r="G34" s="1472"/>
      <c r="H34" s="1501">
        <f t="shared" si="0"/>
        <v>0</v>
      </c>
    </row>
    <row r="35" spans="1:8" ht="12.6" customHeight="1">
      <c r="A35" s="1586"/>
      <c r="B35" s="2739"/>
      <c r="C35" s="2738"/>
      <c r="D35" s="1595"/>
      <c r="E35" s="1590"/>
      <c r="F35" s="1601"/>
      <c r="G35" s="1472"/>
      <c r="H35" s="1501" t="str">
        <f t="shared" si="0"/>
        <v/>
      </c>
    </row>
    <row r="36" spans="1:8" ht="15.6">
      <c r="A36" s="1586"/>
      <c r="B36" s="2740" t="s">
        <v>2188</v>
      </c>
      <c r="C36" s="2741" t="s">
        <v>2184</v>
      </c>
      <c r="D36" s="1589" t="s">
        <v>2189</v>
      </c>
      <c r="E36" s="2726" t="s">
        <v>691</v>
      </c>
      <c r="F36" s="2726">
        <v>2</v>
      </c>
      <c r="G36" s="1473"/>
      <c r="H36" s="1501">
        <f t="shared" si="0"/>
        <v>0</v>
      </c>
    </row>
    <row r="37" spans="1:8" ht="12.6" customHeight="1">
      <c r="A37" s="1586"/>
      <c r="B37" s="2739"/>
      <c r="C37" s="2738"/>
      <c r="D37" s="1595"/>
      <c r="E37" s="1590"/>
      <c r="F37" s="1601"/>
      <c r="G37" s="1475"/>
      <c r="H37" s="1501" t="str">
        <f t="shared" si="0"/>
        <v/>
      </c>
    </row>
    <row r="38" spans="1:8" ht="28.8">
      <c r="A38" s="1586"/>
      <c r="B38" s="2726" t="s">
        <v>2190</v>
      </c>
      <c r="C38" s="2741" t="s">
        <v>2184</v>
      </c>
      <c r="D38" s="1589" t="s">
        <v>2191</v>
      </c>
      <c r="E38" s="1605" t="s">
        <v>561</v>
      </c>
      <c r="F38" s="2742">
        <v>30</v>
      </c>
      <c r="G38" s="1473"/>
      <c r="H38" s="1501">
        <f t="shared" si="0"/>
        <v>0</v>
      </c>
    </row>
    <row r="39" spans="1:8" ht="12.6" customHeight="1">
      <c r="A39" s="1586"/>
      <c r="B39" s="2739"/>
      <c r="C39" s="2738"/>
      <c r="D39" s="1589"/>
      <c r="E39" s="1590"/>
      <c r="F39" s="1601"/>
      <c r="G39" s="1475"/>
      <c r="H39" s="1501" t="str">
        <f t="shared" si="0"/>
        <v/>
      </c>
    </row>
    <row r="40" spans="1:8" ht="15.6">
      <c r="A40" s="2684"/>
      <c r="B40" s="1605" t="s">
        <v>561</v>
      </c>
      <c r="C40" s="2743" t="s">
        <v>2184</v>
      </c>
      <c r="D40" s="1589" t="s">
        <v>2192</v>
      </c>
      <c r="E40" s="2744" t="s">
        <v>691</v>
      </c>
      <c r="F40" s="1609">
        <v>1</v>
      </c>
      <c r="G40" s="1475"/>
      <c r="H40" s="1501">
        <f t="shared" si="0"/>
        <v>0</v>
      </c>
    </row>
    <row r="41" spans="1:8" ht="12.6" customHeight="1">
      <c r="A41" s="2684"/>
      <c r="B41" s="1605"/>
      <c r="C41" s="2743"/>
      <c r="D41" s="1595"/>
      <c r="E41" s="2744"/>
      <c r="F41" s="1609"/>
      <c r="G41" s="1473"/>
      <c r="H41" s="1501" t="str">
        <f t="shared" si="0"/>
        <v/>
      </c>
    </row>
    <row r="42" spans="1:8" ht="15.6">
      <c r="A42" s="2684"/>
      <c r="B42" s="1605" t="s">
        <v>2193</v>
      </c>
      <c r="C42" s="2743" t="s">
        <v>2184</v>
      </c>
      <c r="D42" s="1589" t="s">
        <v>2194</v>
      </c>
      <c r="E42" s="2726" t="s">
        <v>691</v>
      </c>
      <c r="F42" s="2742">
        <v>5</v>
      </c>
      <c r="G42" s="1475"/>
      <c r="H42" s="1501">
        <f t="shared" si="0"/>
        <v>0</v>
      </c>
    </row>
    <row r="43" spans="1:8" ht="12.6" customHeight="1">
      <c r="A43" s="2684"/>
      <c r="B43" s="1271"/>
      <c r="C43" s="1792"/>
      <c r="D43" s="2647"/>
      <c r="E43" s="882"/>
      <c r="F43" s="1577"/>
      <c r="G43" s="1476"/>
      <c r="H43" s="1501" t="str">
        <f t="shared" si="0"/>
        <v/>
      </c>
    </row>
    <row r="44" spans="1:8" ht="12.6" customHeight="1">
      <c r="A44" s="2684">
        <f>$A$4</f>
        <v>19</v>
      </c>
      <c r="B44" s="2684">
        <v>1.2</v>
      </c>
      <c r="C44" s="1594"/>
      <c r="D44" s="2725" t="s">
        <v>2195</v>
      </c>
      <c r="E44" s="1596"/>
      <c r="F44" s="2724"/>
      <c r="G44" s="1472"/>
      <c r="H44" s="1501" t="str">
        <f t="shared" si="0"/>
        <v/>
      </c>
    </row>
    <row r="45" spans="1:8" ht="12.6" customHeight="1">
      <c r="A45" s="2684"/>
      <c r="B45" s="1604"/>
      <c r="C45" s="1594"/>
      <c r="D45" s="2745"/>
      <c r="E45" s="1596"/>
      <c r="F45" s="2724"/>
      <c r="G45" s="1472"/>
      <c r="H45" s="1501" t="str">
        <f t="shared" si="0"/>
        <v/>
      </c>
    </row>
    <row r="46" spans="1:8" ht="39.6">
      <c r="A46" s="2684"/>
      <c r="B46" s="1593" t="s">
        <v>2162</v>
      </c>
      <c r="C46" s="1594" t="s">
        <v>2158</v>
      </c>
      <c r="D46" s="1589" t="s">
        <v>2196</v>
      </c>
      <c r="E46" s="2726" t="s">
        <v>230</v>
      </c>
      <c r="F46" s="2724">
        <v>1</v>
      </c>
      <c r="G46" s="1472"/>
      <c r="H46" s="1501">
        <f t="shared" si="0"/>
        <v>0</v>
      </c>
    </row>
    <row r="47" spans="1:8" ht="12.6" customHeight="1">
      <c r="A47" s="1586"/>
      <c r="B47" s="2727"/>
      <c r="C47" s="2684"/>
      <c r="D47" s="1589"/>
      <c r="E47" s="1596"/>
      <c r="F47" s="2730"/>
      <c r="G47" s="1473"/>
      <c r="H47" s="1501" t="str">
        <f t="shared" si="0"/>
        <v/>
      </c>
    </row>
    <row r="48" spans="1:8">
      <c r="A48" s="1586"/>
      <c r="B48" s="1593" t="s">
        <v>2164</v>
      </c>
      <c r="C48" s="1594" t="s">
        <v>2158</v>
      </c>
      <c r="D48" s="1595" t="s">
        <v>2165</v>
      </c>
      <c r="E48" s="1596" t="s">
        <v>691</v>
      </c>
      <c r="F48" s="1604">
        <v>2</v>
      </c>
      <c r="G48" s="1473"/>
      <c r="H48" s="1501">
        <f t="shared" si="0"/>
        <v>0</v>
      </c>
    </row>
    <row r="49" spans="1:8" ht="12.6" customHeight="1">
      <c r="A49" s="1586"/>
      <c r="B49" s="2727"/>
      <c r="C49" s="1594"/>
      <c r="D49" s="1589"/>
      <c r="E49" s="1596"/>
      <c r="F49" s="1604"/>
      <c r="G49" s="1473"/>
      <c r="H49" s="1501" t="str">
        <f t="shared" si="0"/>
        <v/>
      </c>
    </row>
    <row r="50" spans="1:8" ht="39.6">
      <c r="A50" s="1586"/>
      <c r="B50" s="1593" t="s">
        <v>2166</v>
      </c>
      <c r="C50" s="1594" t="s">
        <v>2158</v>
      </c>
      <c r="D50" s="1589" t="s">
        <v>2167</v>
      </c>
      <c r="E50" s="2728" t="s">
        <v>691</v>
      </c>
      <c r="F50" s="2729">
        <v>1</v>
      </c>
      <c r="G50" s="1472"/>
      <c r="H50" s="1501">
        <f t="shared" si="0"/>
        <v>0</v>
      </c>
    </row>
    <row r="51" spans="1:8" ht="12.6" customHeight="1">
      <c r="A51" s="1586"/>
      <c r="B51" s="1593"/>
      <c r="C51" s="2684"/>
      <c r="D51" s="1589"/>
      <c r="E51" s="1596"/>
      <c r="F51" s="2730"/>
      <c r="G51" s="1472"/>
      <c r="H51" s="1501" t="str">
        <f t="shared" si="0"/>
        <v/>
      </c>
    </row>
    <row r="52" spans="1:8" ht="26.4">
      <c r="A52" s="1586"/>
      <c r="B52" s="1593" t="s">
        <v>2168</v>
      </c>
      <c r="C52" s="1594" t="s">
        <v>2169</v>
      </c>
      <c r="D52" s="1589" t="s">
        <v>2170</v>
      </c>
      <c r="E52" s="1596" t="s">
        <v>691</v>
      </c>
      <c r="F52" s="1604">
        <v>1</v>
      </c>
      <c r="G52" s="1473"/>
      <c r="H52" s="1501">
        <f t="shared" si="0"/>
        <v>0</v>
      </c>
    </row>
    <row r="53" spans="1:8" ht="12.6" customHeight="1">
      <c r="A53" s="1586"/>
      <c r="B53" s="2727"/>
      <c r="C53" s="1594"/>
      <c r="D53" s="1589"/>
      <c r="E53" s="1596"/>
      <c r="F53" s="1597"/>
      <c r="G53" s="1473"/>
      <c r="H53" s="1501" t="str">
        <f t="shared" si="0"/>
        <v/>
      </c>
    </row>
    <row r="54" spans="1:8" ht="26.4">
      <c r="A54" s="1586"/>
      <c r="B54" s="1593" t="s">
        <v>2171</v>
      </c>
      <c r="C54" s="1594" t="s">
        <v>2172</v>
      </c>
      <c r="D54" s="1595" t="s">
        <v>2173</v>
      </c>
      <c r="E54" s="1596" t="s">
        <v>691</v>
      </c>
      <c r="F54" s="1604">
        <v>1</v>
      </c>
      <c r="G54" s="1474"/>
      <c r="H54" s="1501">
        <f t="shared" si="0"/>
        <v>0</v>
      </c>
    </row>
    <row r="55" spans="1:8" ht="12.6" customHeight="1">
      <c r="A55" s="1586"/>
      <c r="B55" s="2731"/>
      <c r="C55" s="1594"/>
      <c r="D55" s="1595"/>
      <c r="E55" s="1596"/>
      <c r="F55" s="1604"/>
      <c r="G55" s="1472"/>
      <c r="H55" s="1501" t="str">
        <f t="shared" si="0"/>
        <v/>
      </c>
    </row>
    <row r="56" spans="1:8" ht="39.6">
      <c r="A56" s="1586"/>
      <c r="B56" s="1593" t="s">
        <v>2174</v>
      </c>
      <c r="C56" s="1594" t="s">
        <v>2175</v>
      </c>
      <c r="D56" s="1595" t="s">
        <v>2176</v>
      </c>
      <c r="E56" s="2732"/>
      <c r="F56" s="2733"/>
      <c r="G56" s="1472"/>
      <c r="H56" s="1501" t="str">
        <f t="shared" si="0"/>
        <v/>
      </c>
    </row>
    <row r="57" spans="1:8" ht="12.6" customHeight="1">
      <c r="A57" s="1586"/>
      <c r="B57" s="2727"/>
      <c r="C57" s="1594"/>
      <c r="D57" s="1589"/>
      <c r="E57" s="2732"/>
      <c r="F57" s="2730"/>
      <c r="G57" s="1473"/>
      <c r="H57" s="1501" t="str">
        <f t="shared" si="0"/>
        <v/>
      </c>
    </row>
    <row r="58" spans="1:8" ht="15.6">
      <c r="A58" s="1586"/>
      <c r="B58" s="2727"/>
      <c r="C58" s="1594" t="s">
        <v>2175</v>
      </c>
      <c r="D58" s="1589" t="s">
        <v>2177</v>
      </c>
      <c r="E58" s="2734" t="s">
        <v>561</v>
      </c>
      <c r="F58" s="1597">
        <v>12</v>
      </c>
      <c r="G58" s="1472"/>
      <c r="H58" s="1501">
        <f t="shared" si="0"/>
        <v>0</v>
      </c>
    </row>
    <row r="59" spans="1:8" ht="12.6" customHeight="1">
      <c r="A59" s="1586"/>
      <c r="B59" s="2727"/>
      <c r="C59" s="1594"/>
      <c r="D59" s="2746"/>
      <c r="E59" s="2734"/>
      <c r="F59" s="1597"/>
      <c r="G59" s="1474"/>
      <c r="H59" s="1501" t="str">
        <f t="shared" si="0"/>
        <v/>
      </c>
    </row>
    <row r="60" spans="1:8" ht="26.4">
      <c r="A60" s="1586"/>
      <c r="B60" s="1604" t="s">
        <v>2178</v>
      </c>
      <c r="C60" s="1594" t="s">
        <v>2175</v>
      </c>
      <c r="D60" s="1595" t="s">
        <v>2197</v>
      </c>
      <c r="E60" s="2732"/>
      <c r="F60" s="1604"/>
      <c r="G60" s="1473"/>
      <c r="H60" s="2747"/>
    </row>
    <row r="61" spans="1:8" ht="12.6" customHeight="1">
      <c r="A61" s="1586"/>
      <c r="B61" s="2721"/>
      <c r="C61" s="1594"/>
      <c r="D61" s="1595"/>
      <c r="E61" s="2732"/>
      <c r="F61" s="2735"/>
      <c r="G61" s="1472"/>
      <c r="H61" s="2720"/>
    </row>
    <row r="62" spans="1:8" ht="12.6" customHeight="1">
      <c r="A62" s="2333"/>
      <c r="B62" s="822"/>
      <c r="C62" s="1158"/>
      <c r="D62" s="840"/>
      <c r="E62" s="837"/>
      <c r="F62" s="838"/>
      <c r="G62" s="2748"/>
      <c r="H62" s="2749"/>
    </row>
    <row r="63" spans="1:8" ht="12.6" customHeight="1">
      <c r="A63" s="2336"/>
      <c r="B63" s="823"/>
      <c r="C63" s="1159"/>
      <c r="D63" s="774" t="s">
        <v>289</v>
      </c>
      <c r="E63" s="426"/>
      <c r="F63" s="24"/>
      <c r="G63" s="1477"/>
      <c r="H63" s="2750">
        <f>SUM(H3:H61)</f>
        <v>0</v>
      </c>
    </row>
    <row r="64" spans="1:8" ht="12.6" customHeight="1">
      <c r="A64" s="1586"/>
      <c r="B64" s="1271"/>
      <c r="C64" s="1155"/>
      <c r="D64" s="2751" t="s">
        <v>290</v>
      </c>
      <c r="E64" s="147"/>
      <c r="F64" s="1577"/>
      <c r="G64" s="1478"/>
      <c r="H64" s="896">
        <f>H63</f>
        <v>0</v>
      </c>
    </row>
    <row r="65" spans="1:8" ht="12.6" customHeight="1">
      <c r="A65" s="1586"/>
      <c r="B65" s="2721"/>
      <c r="C65" s="1594"/>
      <c r="D65" s="904"/>
      <c r="E65" s="2732"/>
      <c r="F65" s="2735"/>
      <c r="G65" s="1472"/>
      <c r="H65" s="2720"/>
    </row>
    <row r="66" spans="1:8" ht="15.6">
      <c r="A66" s="1586"/>
      <c r="B66" s="2721"/>
      <c r="C66" s="1594" t="s">
        <v>2175</v>
      </c>
      <c r="D66" s="1589" t="s">
        <v>2177</v>
      </c>
      <c r="E66" s="1596" t="s">
        <v>691</v>
      </c>
      <c r="F66" s="2729">
        <v>4</v>
      </c>
      <c r="G66" s="1472"/>
      <c r="H66" s="1501">
        <f t="shared" ref="H66:H122" si="1">IF(E66="","",ROUND(F66*G66,2))</f>
        <v>0</v>
      </c>
    </row>
    <row r="67" spans="1:8" ht="12.6" customHeight="1">
      <c r="A67" s="1586"/>
      <c r="B67" s="1604"/>
      <c r="C67" s="1594"/>
      <c r="D67" s="1595"/>
      <c r="E67" s="2732"/>
      <c r="F67" s="1604"/>
      <c r="G67" s="1472"/>
      <c r="H67" s="1501" t="str">
        <f t="shared" si="1"/>
        <v/>
      </c>
    </row>
    <row r="68" spans="1:8" ht="26.4">
      <c r="A68" s="1586"/>
      <c r="B68" s="1604" t="s">
        <v>2180</v>
      </c>
      <c r="C68" s="1594" t="s">
        <v>2181</v>
      </c>
      <c r="D68" s="1595" t="s">
        <v>2182</v>
      </c>
      <c r="E68" s="1596" t="s">
        <v>561</v>
      </c>
      <c r="F68" s="2729">
        <v>12</v>
      </c>
      <c r="G68" s="1474"/>
      <c r="H68" s="1501">
        <f t="shared" si="1"/>
        <v>0</v>
      </c>
    </row>
    <row r="69" spans="1:8" ht="12.6" customHeight="1">
      <c r="A69" s="1586"/>
      <c r="B69" s="2721"/>
      <c r="C69" s="1594"/>
      <c r="D69" s="1595"/>
      <c r="E69" s="2732"/>
      <c r="F69" s="2735"/>
      <c r="G69" s="1473"/>
      <c r="H69" s="1501" t="str">
        <f t="shared" si="1"/>
        <v/>
      </c>
    </row>
    <row r="70" spans="1:8" ht="42">
      <c r="A70" s="1586"/>
      <c r="B70" s="1604" t="s">
        <v>2183</v>
      </c>
      <c r="C70" s="1594" t="s">
        <v>2184</v>
      </c>
      <c r="D70" s="1589" t="s">
        <v>2185</v>
      </c>
      <c r="E70" s="1590" t="s">
        <v>561</v>
      </c>
      <c r="F70" s="1601">
        <v>20</v>
      </c>
      <c r="G70" s="1474"/>
      <c r="H70" s="1501">
        <f t="shared" si="1"/>
        <v>0</v>
      </c>
    </row>
    <row r="71" spans="1:8" ht="12.6" customHeight="1">
      <c r="A71" s="1586"/>
      <c r="B71" s="2736"/>
      <c r="C71" s="1594"/>
      <c r="D71" s="1589"/>
      <c r="E71" s="1590"/>
      <c r="F71" s="1601"/>
      <c r="G71" s="1473"/>
      <c r="H71" s="1501" t="str">
        <f t="shared" si="1"/>
        <v/>
      </c>
    </row>
    <row r="72" spans="1:8" ht="15.6">
      <c r="A72" s="1586"/>
      <c r="B72" s="2737" t="s">
        <v>2186</v>
      </c>
      <c r="C72" s="2738" t="s">
        <v>2184</v>
      </c>
      <c r="D72" s="1589" t="s">
        <v>2187</v>
      </c>
      <c r="E72" s="1590" t="s">
        <v>691</v>
      </c>
      <c r="F72" s="1601">
        <v>2</v>
      </c>
      <c r="G72" s="1473"/>
      <c r="H72" s="1501">
        <f t="shared" si="1"/>
        <v>0</v>
      </c>
    </row>
    <row r="73" spans="1:8" ht="12.6" customHeight="1">
      <c r="A73" s="1586"/>
      <c r="B73" s="2739"/>
      <c r="C73" s="2738"/>
      <c r="D73" s="1595"/>
      <c r="E73" s="1590"/>
      <c r="F73" s="1601"/>
      <c r="G73" s="1473"/>
      <c r="H73" s="1501" t="str">
        <f t="shared" si="1"/>
        <v/>
      </c>
    </row>
    <row r="74" spans="1:8" ht="15.6">
      <c r="A74" s="1586"/>
      <c r="B74" s="2740" t="s">
        <v>2188</v>
      </c>
      <c r="C74" s="2741" t="s">
        <v>2184</v>
      </c>
      <c r="D74" s="1589" t="s">
        <v>2189</v>
      </c>
      <c r="E74" s="2726" t="s">
        <v>691</v>
      </c>
      <c r="F74" s="2726">
        <v>2</v>
      </c>
      <c r="G74" s="1474"/>
      <c r="H74" s="1501">
        <f t="shared" si="1"/>
        <v>0</v>
      </c>
    </row>
    <row r="75" spans="1:8" ht="12.6" customHeight="1">
      <c r="A75" s="1586"/>
      <c r="B75" s="2739"/>
      <c r="C75" s="2738"/>
      <c r="D75" s="1595"/>
      <c r="E75" s="1590"/>
      <c r="F75" s="1601"/>
      <c r="G75" s="1473"/>
      <c r="H75" s="1501" t="str">
        <f t="shared" si="1"/>
        <v/>
      </c>
    </row>
    <row r="76" spans="1:8" ht="28.8">
      <c r="A76" s="1586"/>
      <c r="B76" s="2726" t="s">
        <v>2190</v>
      </c>
      <c r="C76" s="2741" t="s">
        <v>2184</v>
      </c>
      <c r="D76" s="1589" t="s">
        <v>2191</v>
      </c>
      <c r="E76" s="1605" t="s">
        <v>561</v>
      </c>
      <c r="F76" s="2742">
        <v>20</v>
      </c>
      <c r="G76" s="1475"/>
      <c r="H76" s="1501">
        <f t="shared" si="1"/>
        <v>0</v>
      </c>
    </row>
    <row r="77" spans="1:8" ht="12.6" customHeight="1">
      <c r="A77" s="1586"/>
      <c r="B77" s="2697"/>
      <c r="C77" s="2743"/>
      <c r="D77" s="1595"/>
      <c r="E77" s="1605"/>
      <c r="F77" s="2742"/>
      <c r="G77" s="1475"/>
      <c r="H77" s="1501" t="str">
        <f t="shared" si="1"/>
        <v/>
      </c>
    </row>
    <row r="78" spans="1:8" ht="15.6">
      <c r="A78" s="1586"/>
      <c r="B78" s="1605" t="s">
        <v>561</v>
      </c>
      <c r="C78" s="2743" t="s">
        <v>2184</v>
      </c>
      <c r="D78" s="1589" t="s">
        <v>2192</v>
      </c>
      <c r="E78" s="2744" t="s">
        <v>691</v>
      </c>
      <c r="F78" s="1609">
        <v>1</v>
      </c>
      <c r="G78" s="1475"/>
      <c r="H78" s="1501">
        <f t="shared" si="1"/>
        <v>0</v>
      </c>
    </row>
    <row r="79" spans="1:8" ht="12.6" customHeight="1">
      <c r="A79" s="1586"/>
      <c r="B79" s="1605"/>
      <c r="C79" s="2743"/>
      <c r="D79" s="1595"/>
      <c r="E79" s="2744"/>
      <c r="F79" s="1609"/>
      <c r="G79" s="1475"/>
      <c r="H79" s="1501" t="str">
        <f t="shared" si="1"/>
        <v/>
      </c>
    </row>
    <row r="80" spans="1:8" ht="15.6">
      <c r="A80" s="1586"/>
      <c r="B80" s="1605" t="s">
        <v>2193</v>
      </c>
      <c r="C80" s="2743" t="s">
        <v>2184</v>
      </c>
      <c r="D80" s="1589" t="s">
        <v>2194</v>
      </c>
      <c r="E80" s="2726" t="s">
        <v>691</v>
      </c>
      <c r="F80" s="2742">
        <v>4</v>
      </c>
      <c r="G80" s="1473"/>
      <c r="H80" s="1501">
        <f t="shared" si="1"/>
        <v>0</v>
      </c>
    </row>
    <row r="81" spans="1:8" ht="12.6" customHeight="1">
      <c r="A81" s="2684"/>
      <c r="B81" s="2752"/>
      <c r="C81" s="2743"/>
      <c r="D81" s="1595"/>
      <c r="E81" s="2726"/>
      <c r="F81" s="1609"/>
      <c r="G81" s="1473"/>
      <c r="H81" s="1501" t="str">
        <f t="shared" si="1"/>
        <v/>
      </c>
    </row>
    <row r="82" spans="1:8" ht="12.6" customHeight="1">
      <c r="A82" s="2684">
        <f>$A$4</f>
        <v>19</v>
      </c>
      <c r="B82" s="2684">
        <v>1.3</v>
      </c>
      <c r="C82" s="1594"/>
      <c r="D82" s="2725" t="s">
        <v>2198</v>
      </c>
      <c r="E82" s="1596"/>
      <c r="F82" s="2724"/>
      <c r="G82" s="1472"/>
      <c r="H82" s="1501" t="str">
        <f t="shared" si="1"/>
        <v/>
      </c>
    </row>
    <row r="83" spans="1:8" ht="12.6" customHeight="1">
      <c r="A83" s="2684"/>
      <c r="B83" s="1604"/>
      <c r="C83" s="1594"/>
      <c r="D83" s="2745"/>
      <c r="E83" s="1596"/>
      <c r="F83" s="2724"/>
      <c r="G83" s="1472"/>
      <c r="H83" s="1501" t="str">
        <f t="shared" si="1"/>
        <v/>
      </c>
    </row>
    <row r="84" spans="1:8" ht="39.6">
      <c r="A84" s="2684"/>
      <c r="B84" s="1593" t="s">
        <v>2162</v>
      </c>
      <c r="C84" s="1594" t="s">
        <v>2158</v>
      </c>
      <c r="D84" s="1589" t="s">
        <v>2196</v>
      </c>
      <c r="E84" s="2726" t="s">
        <v>230</v>
      </c>
      <c r="F84" s="2724">
        <v>1</v>
      </c>
      <c r="G84" s="1472"/>
      <c r="H84" s="1501">
        <f t="shared" si="1"/>
        <v>0</v>
      </c>
    </row>
    <row r="85" spans="1:8" ht="12.6" customHeight="1">
      <c r="A85" s="1586"/>
      <c r="B85" s="2727"/>
      <c r="C85" s="2684"/>
      <c r="D85" s="1589"/>
      <c r="E85" s="1596"/>
      <c r="F85" s="2730"/>
      <c r="G85" s="1473"/>
      <c r="H85" s="1501" t="str">
        <f t="shared" si="1"/>
        <v/>
      </c>
    </row>
    <row r="86" spans="1:8" ht="12.6" customHeight="1">
      <c r="A86" s="1586"/>
      <c r="B86" s="1593" t="s">
        <v>2164</v>
      </c>
      <c r="C86" s="1594" t="s">
        <v>2158</v>
      </c>
      <c r="D86" s="1595" t="s">
        <v>2165</v>
      </c>
      <c r="E86" s="1596" t="s">
        <v>691</v>
      </c>
      <c r="F86" s="1604">
        <v>2</v>
      </c>
      <c r="G86" s="1473"/>
      <c r="H86" s="1501">
        <f t="shared" si="1"/>
        <v>0</v>
      </c>
    </row>
    <row r="87" spans="1:8" ht="12.6" customHeight="1">
      <c r="A87" s="1586"/>
      <c r="B87" s="1271"/>
      <c r="C87" s="1792"/>
      <c r="D87" s="2647"/>
      <c r="E87" s="882"/>
      <c r="F87" s="1577"/>
      <c r="G87" s="1476"/>
      <c r="H87" s="1501" t="str">
        <f t="shared" si="1"/>
        <v/>
      </c>
    </row>
    <row r="88" spans="1:8" ht="12.6" customHeight="1">
      <c r="A88" s="1586"/>
      <c r="B88" s="2727"/>
      <c r="C88" s="1594"/>
      <c r="D88" s="1589"/>
      <c r="E88" s="1596"/>
      <c r="F88" s="1604"/>
      <c r="G88" s="1473"/>
      <c r="H88" s="1501" t="str">
        <f t="shared" si="1"/>
        <v/>
      </c>
    </row>
    <row r="89" spans="1:8" ht="39.6">
      <c r="A89" s="1586"/>
      <c r="B89" s="1593" t="s">
        <v>2166</v>
      </c>
      <c r="C89" s="1594" t="s">
        <v>2158</v>
      </c>
      <c r="D89" s="1589" t="s">
        <v>2167</v>
      </c>
      <c r="E89" s="2728" t="s">
        <v>691</v>
      </c>
      <c r="F89" s="2729">
        <v>1</v>
      </c>
      <c r="G89" s="1472"/>
      <c r="H89" s="1501">
        <f t="shared" si="1"/>
        <v>0</v>
      </c>
    </row>
    <row r="90" spans="1:8" ht="12.6" customHeight="1">
      <c r="A90" s="1586"/>
      <c r="B90" s="2727"/>
      <c r="C90" s="2684"/>
      <c r="D90" s="1595"/>
      <c r="E90" s="1596"/>
      <c r="F90" s="1597"/>
      <c r="G90" s="1473"/>
      <c r="H90" s="1501" t="str">
        <f t="shared" si="1"/>
        <v/>
      </c>
    </row>
    <row r="91" spans="1:8" ht="26.4">
      <c r="A91" s="1586"/>
      <c r="B91" s="1593" t="s">
        <v>2168</v>
      </c>
      <c r="C91" s="1594" t="s">
        <v>2169</v>
      </c>
      <c r="D91" s="1589" t="s">
        <v>2170</v>
      </c>
      <c r="E91" s="1596" t="s">
        <v>691</v>
      </c>
      <c r="F91" s="1604">
        <v>1</v>
      </c>
      <c r="G91" s="1473"/>
      <c r="H91" s="1501">
        <f t="shared" si="1"/>
        <v>0</v>
      </c>
    </row>
    <row r="92" spans="1:8" ht="12.6" customHeight="1">
      <c r="A92" s="1586"/>
      <c r="B92" s="2727"/>
      <c r="C92" s="1594"/>
      <c r="D92" s="1589"/>
      <c r="E92" s="1596"/>
      <c r="F92" s="1597"/>
      <c r="G92" s="1473"/>
      <c r="H92" s="1501" t="str">
        <f t="shared" si="1"/>
        <v/>
      </c>
    </row>
    <row r="93" spans="1:8" ht="26.4">
      <c r="A93" s="1586"/>
      <c r="B93" s="1593" t="s">
        <v>2171</v>
      </c>
      <c r="C93" s="1594" t="s">
        <v>2172</v>
      </c>
      <c r="D93" s="1595" t="s">
        <v>2173</v>
      </c>
      <c r="E93" s="1596" t="s">
        <v>691</v>
      </c>
      <c r="F93" s="1604">
        <v>1</v>
      </c>
      <c r="G93" s="1474"/>
      <c r="H93" s="1501">
        <f t="shared" si="1"/>
        <v>0</v>
      </c>
    </row>
    <row r="94" spans="1:8" ht="12.6" customHeight="1">
      <c r="A94" s="1586"/>
      <c r="B94" s="2731"/>
      <c r="C94" s="1594"/>
      <c r="D94" s="1595"/>
      <c r="E94" s="1596"/>
      <c r="F94" s="1604"/>
      <c r="G94" s="1472"/>
      <c r="H94" s="1501" t="str">
        <f t="shared" si="1"/>
        <v/>
      </c>
    </row>
    <row r="95" spans="1:8" ht="39.6">
      <c r="A95" s="1586"/>
      <c r="B95" s="1593" t="s">
        <v>2174</v>
      </c>
      <c r="C95" s="1594" t="s">
        <v>2175</v>
      </c>
      <c r="D95" s="1595" t="s">
        <v>2176</v>
      </c>
      <c r="E95" s="2732"/>
      <c r="F95" s="2733"/>
      <c r="G95" s="1472"/>
      <c r="H95" s="1501" t="str">
        <f t="shared" si="1"/>
        <v/>
      </c>
    </row>
    <row r="96" spans="1:8">
      <c r="A96" s="1586"/>
      <c r="B96" s="2727"/>
      <c r="C96" s="1594"/>
      <c r="D96" s="1589"/>
      <c r="E96" s="2732"/>
      <c r="F96" s="2730"/>
      <c r="G96" s="1473"/>
      <c r="H96" s="1501" t="str">
        <f t="shared" si="1"/>
        <v/>
      </c>
    </row>
    <row r="97" spans="1:8" ht="15.6">
      <c r="A97" s="1586"/>
      <c r="B97" s="2727"/>
      <c r="C97" s="1594" t="s">
        <v>2175</v>
      </c>
      <c r="D97" s="1589" t="s">
        <v>2177</v>
      </c>
      <c r="E97" s="2734" t="s">
        <v>561</v>
      </c>
      <c r="F97" s="1597">
        <v>12</v>
      </c>
      <c r="G97" s="1472"/>
      <c r="H97" s="1501">
        <f t="shared" si="1"/>
        <v>0</v>
      </c>
    </row>
    <row r="98" spans="1:8">
      <c r="A98" s="1586"/>
      <c r="B98" s="2727"/>
      <c r="C98" s="1594"/>
      <c r="D98" s="2746"/>
      <c r="E98" s="2734"/>
      <c r="F98" s="1597"/>
      <c r="G98" s="1474"/>
      <c r="H98" s="1501" t="str">
        <f t="shared" si="1"/>
        <v/>
      </c>
    </row>
    <row r="99" spans="1:8" ht="26.4">
      <c r="A99" s="1586"/>
      <c r="B99" s="1604" t="s">
        <v>2178</v>
      </c>
      <c r="C99" s="1594" t="s">
        <v>2175</v>
      </c>
      <c r="D99" s="1595" t="s">
        <v>2197</v>
      </c>
      <c r="E99" s="2732"/>
      <c r="F99" s="1604"/>
      <c r="G99" s="1473"/>
      <c r="H99" s="1501" t="str">
        <f t="shared" si="1"/>
        <v/>
      </c>
    </row>
    <row r="100" spans="1:8" ht="12.6" customHeight="1">
      <c r="A100" s="1586"/>
      <c r="B100" s="2721"/>
      <c r="C100" s="1594"/>
      <c r="D100" s="1595"/>
      <c r="E100" s="2732"/>
      <c r="F100" s="2735"/>
      <c r="G100" s="1472"/>
      <c r="H100" s="1501" t="str">
        <f t="shared" si="1"/>
        <v/>
      </c>
    </row>
    <row r="101" spans="1:8" ht="15.6">
      <c r="A101" s="1586"/>
      <c r="B101" s="2721"/>
      <c r="C101" s="1594" t="s">
        <v>2175</v>
      </c>
      <c r="D101" s="1589" t="s">
        <v>2177</v>
      </c>
      <c r="E101" s="1596" t="s">
        <v>691</v>
      </c>
      <c r="F101" s="2729">
        <v>4</v>
      </c>
      <c r="G101" s="1472"/>
      <c r="H101" s="1501">
        <f t="shared" si="1"/>
        <v>0</v>
      </c>
    </row>
    <row r="102" spans="1:8" ht="12.6" customHeight="1">
      <c r="A102" s="1586"/>
      <c r="B102" s="1604"/>
      <c r="C102" s="1594"/>
      <c r="D102" s="1595"/>
      <c r="E102" s="2732"/>
      <c r="F102" s="1604"/>
      <c r="G102" s="1472"/>
      <c r="H102" s="1501" t="str">
        <f t="shared" si="1"/>
        <v/>
      </c>
    </row>
    <row r="103" spans="1:8" ht="26.4">
      <c r="A103" s="1586"/>
      <c r="B103" s="1604" t="s">
        <v>2180</v>
      </c>
      <c r="C103" s="1594" t="s">
        <v>2181</v>
      </c>
      <c r="D103" s="1595" t="s">
        <v>2182</v>
      </c>
      <c r="E103" s="1596" t="s">
        <v>561</v>
      </c>
      <c r="F103" s="2729">
        <v>12</v>
      </c>
      <c r="G103" s="1474"/>
      <c r="H103" s="1501">
        <f t="shared" si="1"/>
        <v>0</v>
      </c>
    </row>
    <row r="104" spans="1:8" ht="12.6" customHeight="1">
      <c r="A104" s="1586"/>
      <c r="B104" s="2721"/>
      <c r="C104" s="1594"/>
      <c r="D104" s="1595"/>
      <c r="E104" s="2732"/>
      <c r="F104" s="2735"/>
      <c r="G104" s="1473"/>
      <c r="H104" s="1501" t="str">
        <f t="shared" si="1"/>
        <v/>
      </c>
    </row>
    <row r="105" spans="1:8" ht="42">
      <c r="A105" s="1586"/>
      <c r="B105" s="1604" t="s">
        <v>2183</v>
      </c>
      <c r="C105" s="1594" t="s">
        <v>2184</v>
      </c>
      <c r="D105" s="1589" t="s">
        <v>2185</v>
      </c>
      <c r="E105" s="1590" t="s">
        <v>561</v>
      </c>
      <c r="F105" s="1601">
        <v>20</v>
      </c>
      <c r="G105" s="1474"/>
      <c r="H105" s="1501">
        <f t="shared" si="1"/>
        <v>0</v>
      </c>
    </row>
    <row r="106" spans="1:8">
      <c r="A106" s="1586"/>
      <c r="B106" s="2736"/>
      <c r="C106" s="2738"/>
      <c r="D106" s="1595"/>
      <c r="E106" s="1590"/>
      <c r="F106" s="2753"/>
      <c r="G106" s="1472"/>
      <c r="H106" s="1501" t="str">
        <f t="shared" si="1"/>
        <v/>
      </c>
    </row>
    <row r="107" spans="1:8" ht="15.6">
      <c r="A107" s="1586"/>
      <c r="B107" s="2737" t="s">
        <v>2186</v>
      </c>
      <c r="C107" s="1594" t="s">
        <v>2184</v>
      </c>
      <c r="D107" s="1589" t="s">
        <v>2187</v>
      </c>
      <c r="E107" s="1590" t="s">
        <v>691</v>
      </c>
      <c r="F107" s="1601">
        <v>2</v>
      </c>
      <c r="G107" s="1473"/>
      <c r="H107" s="1501">
        <f t="shared" si="1"/>
        <v>0</v>
      </c>
    </row>
    <row r="108" spans="1:8">
      <c r="A108" s="1586"/>
      <c r="B108" s="2739"/>
      <c r="C108" s="2738"/>
      <c r="D108" s="1595"/>
      <c r="E108" s="1590"/>
      <c r="F108" s="1601"/>
      <c r="G108" s="1473"/>
      <c r="H108" s="1501" t="str">
        <f t="shared" si="1"/>
        <v/>
      </c>
    </row>
    <row r="109" spans="1:8" ht="15.6">
      <c r="A109" s="1586"/>
      <c r="B109" s="2740" t="s">
        <v>2188</v>
      </c>
      <c r="C109" s="1594" t="s">
        <v>2184</v>
      </c>
      <c r="D109" s="1589" t="s">
        <v>2189</v>
      </c>
      <c r="E109" s="2726" t="s">
        <v>691</v>
      </c>
      <c r="F109" s="2726">
        <v>2</v>
      </c>
      <c r="G109" s="1474"/>
      <c r="H109" s="1501">
        <f t="shared" si="1"/>
        <v>0</v>
      </c>
    </row>
    <row r="110" spans="1:8" ht="12.6" customHeight="1">
      <c r="A110" s="1586"/>
      <c r="B110" s="2739"/>
      <c r="C110" s="2738"/>
      <c r="D110" s="1595"/>
      <c r="E110" s="1590"/>
      <c r="F110" s="1601"/>
      <c r="G110" s="1473"/>
      <c r="H110" s="1501" t="str">
        <f t="shared" si="1"/>
        <v/>
      </c>
    </row>
    <row r="111" spans="1:8" ht="28.8">
      <c r="A111" s="1586"/>
      <c r="B111" s="2726" t="s">
        <v>2190</v>
      </c>
      <c r="C111" s="1594" t="s">
        <v>2184</v>
      </c>
      <c r="D111" s="1589" t="s">
        <v>2191</v>
      </c>
      <c r="E111" s="1605" t="s">
        <v>561</v>
      </c>
      <c r="F111" s="2742">
        <v>20</v>
      </c>
      <c r="G111" s="1475"/>
      <c r="H111" s="1501">
        <f t="shared" si="1"/>
        <v>0</v>
      </c>
    </row>
    <row r="112" spans="1:8">
      <c r="A112" s="2684"/>
      <c r="B112" s="2739"/>
      <c r="C112" s="2738"/>
      <c r="D112" s="1589"/>
      <c r="E112" s="1590"/>
      <c r="F112" s="1601"/>
      <c r="G112" s="1473"/>
      <c r="H112" s="1501" t="str">
        <f t="shared" si="1"/>
        <v/>
      </c>
    </row>
    <row r="113" spans="1:8" ht="18" customHeight="1">
      <c r="A113" s="2684"/>
      <c r="B113" s="1605" t="s">
        <v>561</v>
      </c>
      <c r="C113" s="1594" t="s">
        <v>2184</v>
      </c>
      <c r="D113" s="1589" t="s">
        <v>2192</v>
      </c>
      <c r="E113" s="2744" t="s">
        <v>691</v>
      </c>
      <c r="F113" s="1609">
        <v>1</v>
      </c>
      <c r="G113" s="1475"/>
      <c r="H113" s="1501">
        <f t="shared" si="1"/>
        <v>0</v>
      </c>
    </row>
    <row r="114" spans="1:8" ht="12.6" customHeight="1">
      <c r="A114" s="2684"/>
      <c r="B114" s="1605"/>
      <c r="C114" s="2743"/>
      <c r="D114" s="1595"/>
      <c r="E114" s="2744"/>
      <c r="F114" s="1609"/>
      <c r="G114" s="1475"/>
      <c r="H114" s="1501" t="str">
        <f t="shared" si="1"/>
        <v/>
      </c>
    </row>
    <row r="115" spans="1:8" ht="15.6">
      <c r="A115" s="2684"/>
      <c r="B115" s="1605" t="s">
        <v>2193</v>
      </c>
      <c r="C115" s="1594" t="s">
        <v>2184</v>
      </c>
      <c r="D115" s="1589" t="s">
        <v>2194</v>
      </c>
      <c r="E115" s="2726" t="s">
        <v>691</v>
      </c>
      <c r="F115" s="2742">
        <v>4</v>
      </c>
      <c r="G115" s="1473"/>
      <c r="H115" s="1501">
        <f t="shared" si="1"/>
        <v>0</v>
      </c>
    </row>
    <row r="116" spans="1:8" ht="12.6" customHeight="1">
      <c r="A116" s="2684"/>
      <c r="B116" s="2752"/>
      <c r="C116" s="2743"/>
      <c r="D116" s="1595"/>
      <c r="E116" s="2726"/>
      <c r="F116" s="1609"/>
      <c r="G116" s="1473"/>
      <c r="H116" s="1501" t="str">
        <f t="shared" si="1"/>
        <v/>
      </c>
    </row>
    <row r="117" spans="1:8" ht="12.6" customHeight="1">
      <c r="A117" s="2684">
        <f>$A$4</f>
        <v>19</v>
      </c>
      <c r="B117" s="2684">
        <v>1.4</v>
      </c>
      <c r="C117" s="1594"/>
      <c r="D117" s="2725" t="s">
        <v>2199</v>
      </c>
      <c r="E117" s="1596"/>
      <c r="F117" s="2724"/>
      <c r="G117" s="1472"/>
      <c r="H117" s="1501" t="str">
        <f t="shared" si="1"/>
        <v/>
      </c>
    </row>
    <row r="118" spans="1:8" ht="12.6" customHeight="1">
      <c r="A118" s="2684"/>
      <c r="B118" s="1604"/>
      <c r="C118" s="1594"/>
      <c r="D118" s="2745"/>
      <c r="E118" s="1596"/>
      <c r="F118" s="2724"/>
      <c r="G118" s="1472"/>
      <c r="H118" s="1501" t="str">
        <f t="shared" si="1"/>
        <v/>
      </c>
    </row>
    <row r="119" spans="1:8" ht="39.6">
      <c r="A119" s="2684"/>
      <c r="B119" s="1593" t="s">
        <v>2162</v>
      </c>
      <c r="C119" s="1594" t="s">
        <v>2158</v>
      </c>
      <c r="D119" s="1589" t="s">
        <v>2196</v>
      </c>
      <c r="E119" s="2726" t="s">
        <v>230</v>
      </c>
      <c r="F119" s="2724">
        <v>1</v>
      </c>
      <c r="G119" s="1472"/>
      <c r="H119" s="1501">
        <f t="shared" si="1"/>
        <v>0</v>
      </c>
    </row>
    <row r="120" spans="1:8" ht="12.6" customHeight="1">
      <c r="A120" s="1586"/>
      <c r="B120" s="2727"/>
      <c r="C120" s="1594"/>
      <c r="D120" s="1595"/>
      <c r="E120" s="1596"/>
      <c r="F120" s="1597"/>
      <c r="G120" s="1472"/>
      <c r="H120" s="1501" t="str">
        <f t="shared" si="1"/>
        <v/>
      </c>
    </row>
    <row r="121" spans="1:8" ht="12.6" customHeight="1">
      <c r="A121" s="1586"/>
      <c r="B121" s="1593" t="s">
        <v>2164</v>
      </c>
      <c r="C121" s="1594" t="s">
        <v>2158</v>
      </c>
      <c r="D121" s="1595" t="s">
        <v>2165</v>
      </c>
      <c r="E121" s="1596" t="s">
        <v>691</v>
      </c>
      <c r="F121" s="1604">
        <v>2</v>
      </c>
      <c r="G121" s="1473"/>
      <c r="H121" s="1501">
        <f t="shared" si="1"/>
        <v>0</v>
      </c>
    </row>
    <row r="122" spans="1:8" ht="12.6" customHeight="1">
      <c r="A122" s="1586"/>
      <c r="B122" s="2727"/>
      <c r="C122" s="1594"/>
      <c r="D122" s="1589"/>
      <c r="E122" s="1596"/>
      <c r="F122" s="1604"/>
      <c r="G122" s="1473"/>
      <c r="H122" s="1501" t="str">
        <f t="shared" si="1"/>
        <v/>
      </c>
    </row>
    <row r="123" spans="1:8" ht="12.6" customHeight="1">
      <c r="A123" s="1586"/>
      <c r="B123" s="2727"/>
      <c r="C123" s="1594"/>
      <c r="D123" s="903"/>
      <c r="E123" s="1596"/>
      <c r="F123" s="1604"/>
      <c r="G123" s="1473"/>
      <c r="H123" s="2747"/>
    </row>
    <row r="124" spans="1:8" ht="12.6" customHeight="1">
      <c r="A124" s="1586"/>
      <c r="B124" s="2727"/>
      <c r="C124" s="1594"/>
      <c r="D124" s="903"/>
      <c r="E124" s="1596"/>
      <c r="F124" s="1604"/>
      <c r="G124" s="1473"/>
      <c r="H124" s="2747"/>
    </row>
    <row r="125" spans="1:8">
      <c r="A125" s="1586"/>
      <c r="B125" s="1593"/>
      <c r="C125" s="1594"/>
      <c r="D125" s="903"/>
      <c r="E125" s="2728"/>
      <c r="F125" s="2729"/>
      <c r="G125" s="1472"/>
      <c r="H125" s="1592"/>
    </row>
    <row r="126" spans="1:8" ht="12.6" customHeight="1">
      <c r="A126" s="2333"/>
      <c r="B126" s="822"/>
      <c r="C126" s="1158"/>
      <c r="D126" s="840"/>
      <c r="E126" s="837"/>
      <c r="F126" s="838"/>
      <c r="G126" s="2748"/>
      <c r="H126" s="2749"/>
    </row>
    <row r="127" spans="1:8" ht="12.6" customHeight="1">
      <c r="A127" s="2336"/>
      <c r="B127" s="823"/>
      <c r="C127" s="1159"/>
      <c r="D127" s="774" t="s">
        <v>289</v>
      </c>
      <c r="E127" s="426"/>
      <c r="F127" s="24"/>
      <c r="G127" s="1477"/>
      <c r="H127" s="2750">
        <f>SUM(H64:H125)</f>
        <v>0</v>
      </c>
    </row>
    <row r="128" spans="1:8" ht="12.6" customHeight="1">
      <c r="A128" s="1586"/>
      <c r="B128" s="1271"/>
      <c r="C128" s="1155"/>
      <c r="D128" s="2754" t="s">
        <v>290</v>
      </c>
      <c r="E128" s="147"/>
      <c r="F128" s="1577"/>
      <c r="G128" s="1478"/>
      <c r="H128" s="896">
        <f>H127</f>
        <v>0</v>
      </c>
    </row>
    <row r="129" spans="1:8">
      <c r="A129" s="1586"/>
      <c r="B129" s="1593"/>
      <c r="C129" s="1594"/>
      <c r="D129" s="903"/>
      <c r="E129" s="2728"/>
      <c r="F129" s="2729"/>
      <c r="G129" s="1472"/>
      <c r="H129" s="1592"/>
    </row>
    <row r="130" spans="1:8" ht="39.6">
      <c r="A130" s="1586"/>
      <c r="B130" s="1593" t="s">
        <v>2166</v>
      </c>
      <c r="C130" s="1594" t="s">
        <v>2158</v>
      </c>
      <c r="D130" s="1589" t="s">
        <v>2167</v>
      </c>
      <c r="E130" s="2728" t="s">
        <v>691</v>
      </c>
      <c r="F130" s="2729">
        <v>1</v>
      </c>
      <c r="G130" s="1472"/>
      <c r="H130" s="1501">
        <f t="shared" ref="H130:H184" si="2">IF(E130="","",ROUND(F130*G130,2))</f>
        <v>0</v>
      </c>
    </row>
    <row r="131" spans="1:8" ht="12.6" customHeight="1">
      <c r="A131" s="1586"/>
      <c r="B131" s="2727"/>
      <c r="C131" s="2684"/>
      <c r="D131" s="1595"/>
      <c r="E131" s="1596"/>
      <c r="F131" s="1597"/>
      <c r="G131" s="1473"/>
      <c r="H131" s="1501" t="str">
        <f t="shared" si="2"/>
        <v/>
      </c>
    </row>
    <row r="132" spans="1:8" ht="26.4">
      <c r="A132" s="1586"/>
      <c r="B132" s="1593" t="s">
        <v>2168</v>
      </c>
      <c r="C132" s="1594" t="s">
        <v>2169</v>
      </c>
      <c r="D132" s="1589" t="s">
        <v>2170</v>
      </c>
      <c r="E132" s="1596" t="s">
        <v>691</v>
      </c>
      <c r="F132" s="1604">
        <v>1</v>
      </c>
      <c r="G132" s="1473"/>
      <c r="H132" s="1501">
        <f t="shared" si="2"/>
        <v>0</v>
      </c>
    </row>
    <row r="133" spans="1:8" ht="12.6" customHeight="1">
      <c r="A133" s="1586"/>
      <c r="B133" s="2727"/>
      <c r="C133" s="1594"/>
      <c r="D133" s="1589"/>
      <c r="E133" s="1596"/>
      <c r="F133" s="1597"/>
      <c r="G133" s="1473"/>
      <c r="H133" s="1501" t="str">
        <f t="shared" si="2"/>
        <v/>
      </c>
    </row>
    <row r="134" spans="1:8" ht="26.4">
      <c r="A134" s="1586"/>
      <c r="B134" s="1593" t="s">
        <v>2171</v>
      </c>
      <c r="C134" s="1594" t="s">
        <v>2172</v>
      </c>
      <c r="D134" s="1600" t="s">
        <v>2173</v>
      </c>
      <c r="E134" s="1596" t="s">
        <v>691</v>
      </c>
      <c r="F134" s="1604">
        <v>1</v>
      </c>
      <c r="G134" s="1474"/>
      <c r="H134" s="1501">
        <f t="shared" si="2"/>
        <v>0</v>
      </c>
    </row>
    <row r="135" spans="1:8" ht="12.6" customHeight="1">
      <c r="A135" s="1586"/>
      <c r="B135" s="2731"/>
      <c r="C135" s="1594"/>
      <c r="D135" s="1595"/>
      <c r="E135" s="1596"/>
      <c r="F135" s="1604"/>
      <c r="G135" s="1472"/>
      <c r="H135" s="1501" t="str">
        <f t="shared" si="2"/>
        <v/>
      </c>
    </row>
    <row r="136" spans="1:8" ht="39.6">
      <c r="A136" s="1586"/>
      <c r="B136" s="1593" t="s">
        <v>2174</v>
      </c>
      <c r="C136" s="1594" t="s">
        <v>2175</v>
      </c>
      <c r="D136" s="1595" t="s">
        <v>2176</v>
      </c>
      <c r="E136" s="2732"/>
      <c r="F136" s="2733"/>
      <c r="G136" s="1472"/>
      <c r="H136" s="1501" t="str">
        <f t="shared" si="2"/>
        <v/>
      </c>
    </row>
    <row r="137" spans="1:8" ht="12.6" customHeight="1">
      <c r="A137" s="1586"/>
      <c r="B137" s="2727"/>
      <c r="C137" s="1594"/>
      <c r="D137" s="1589"/>
      <c r="E137" s="2732"/>
      <c r="F137" s="2730"/>
      <c r="G137" s="1473"/>
      <c r="H137" s="1501" t="str">
        <f t="shared" si="2"/>
        <v/>
      </c>
    </row>
    <row r="138" spans="1:8" ht="15.6">
      <c r="A138" s="1586"/>
      <c r="B138" s="2727"/>
      <c r="C138" s="1594" t="s">
        <v>2175</v>
      </c>
      <c r="D138" s="1589" t="s">
        <v>2177</v>
      </c>
      <c r="E138" s="2734" t="s">
        <v>561</v>
      </c>
      <c r="F138" s="1597">
        <v>12</v>
      </c>
      <c r="G138" s="1472"/>
      <c r="H138" s="1501">
        <f t="shared" si="2"/>
        <v>0</v>
      </c>
    </row>
    <row r="139" spans="1:8" ht="12.6" customHeight="1">
      <c r="A139" s="1586"/>
      <c r="B139" s="2727"/>
      <c r="C139" s="1594"/>
      <c r="D139" s="2746"/>
      <c r="E139" s="2734"/>
      <c r="F139" s="1597"/>
      <c r="G139" s="1474"/>
      <c r="H139" s="1501" t="str">
        <f t="shared" si="2"/>
        <v/>
      </c>
    </row>
    <row r="140" spans="1:8" ht="26.4">
      <c r="A140" s="1586"/>
      <c r="B140" s="1604" t="s">
        <v>2178</v>
      </c>
      <c r="C140" s="1594" t="s">
        <v>2175</v>
      </c>
      <c r="D140" s="1595" t="s">
        <v>2197</v>
      </c>
      <c r="E140" s="2732"/>
      <c r="F140" s="1604"/>
      <c r="G140" s="1473"/>
      <c r="H140" s="1501" t="str">
        <f t="shared" si="2"/>
        <v/>
      </c>
    </row>
    <row r="141" spans="1:8" ht="12.6" customHeight="1">
      <c r="A141" s="1586"/>
      <c r="B141" s="2721"/>
      <c r="C141" s="1594"/>
      <c r="D141" s="1595"/>
      <c r="E141" s="2732"/>
      <c r="F141" s="2735"/>
      <c r="G141" s="1472"/>
      <c r="H141" s="1501" t="str">
        <f t="shared" si="2"/>
        <v/>
      </c>
    </row>
    <row r="142" spans="1:8" ht="15.6">
      <c r="A142" s="1586"/>
      <c r="B142" s="2721"/>
      <c r="C142" s="1594" t="s">
        <v>2175</v>
      </c>
      <c r="D142" s="1589" t="s">
        <v>2177</v>
      </c>
      <c r="E142" s="1596" t="s">
        <v>691</v>
      </c>
      <c r="F142" s="2729">
        <v>4</v>
      </c>
      <c r="G142" s="1472"/>
      <c r="H142" s="1501">
        <f t="shared" si="2"/>
        <v>0</v>
      </c>
    </row>
    <row r="143" spans="1:8" ht="12.6" customHeight="1">
      <c r="A143" s="1586"/>
      <c r="B143" s="1604"/>
      <c r="C143" s="1594"/>
      <c r="D143" s="1595"/>
      <c r="E143" s="2732"/>
      <c r="F143" s="1604"/>
      <c r="G143" s="1472"/>
      <c r="H143" s="1501" t="str">
        <f t="shared" si="2"/>
        <v/>
      </c>
    </row>
    <row r="144" spans="1:8" ht="26.4">
      <c r="A144" s="1586"/>
      <c r="B144" s="1604" t="s">
        <v>2180</v>
      </c>
      <c r="C144" s="1594" t="s">
        <v>2181</v>
      </c>
      <c r="D144" s="1595" t="s">
        <v>2182</v>
      </c>
      <c r="E144" s="1596" t="s">
        <v>561</v>
      </c>
      <c r="F144" s="2729">
        <v>12</v>
      </c>
      <c r="G144" s="1474"/>
      <c r="H144" s="1501">
        <f t="shared" si="2"/>
        <v>0</v>
      </c>
    </row>
    <row r="145" spans="1:8">
      <c r="A145" s="1586"/>
      <c r="B145" s="2721"/>
      <c r="C145" s="1594"/>
      <c r="D145" s="1595"/>
      <c r="E145" s="2732"/>
      <c r="F145" s="2735"/>
      <c r="G145" s="1473"/>
      <c r="H145" s="1501" t="str">
        <f t="shared" si="2"/>
        <v/>
      </c>
    </row>
    <row r="146" spans="1:8" ht="42">
      <c r="A146" s="1586"/>
      <c r="B146" s="1604" t="s">
        <v>2183</v>
      </c>
      <c r="C146" s="1594" t="s">
        <v>2184</v>
      </c>
      <c r="D146" s="1589" t="s">
        <v>2185</v>
      </c>
      <c r="E146" s="1590" t="s">
        <v>561</v>
      </c>
      <c r="F146" s="1601">
        <v>20</v>
      </c>
      <c r="G146" s="1474"/>
      <c r="H146" s="1501">
        <f t="shared" si="2"/>
        <v>0</v>
      </c>
    </row>
    <row r="147" spans="1:8" ht="12.6" customHeight="1">
      <c r="A147" s="1586"/>
      <c r="B147" s="2736"/>
      <c r="C147" s="1594"/>
      <c r="D147" s="1589"/>
      <c r="E147" s="1590"/>
      <c r="F147" s="1601"/>
      <c r="G147" s="1473"/>
      <c r="H147" s="1501" t="str">
        <f t="shared" si="2"/>
        <v/>
      </c>
    </row>
    <row r="148" spans="1:8" ht="15.6">
      <c r="A148" s="1586"/>
      <c r="B148" s="2737" t="s">
        <v>2186</v>
      </c>
      <c r="C148" s="1594" t="s">
        <v>2184</v>
      </c>
      <c r="D148" s="1589" t="s">
        <v>2187</v>
      </c>
      <c r="E148" s="1590" t="s">
        <v>691</v>
      </c>
      <c r="F148" s="1601">
        <v>2</v>
      </c>
      <c r="G148" s="1473"/>
      <c r="H148" s="1501">
        <f t="shared" si="2"/>
        <v>0</v>
      </c>
    </row>
    <row r="149" spans="1:8" ht="12.6" customHeight="1">
      <c r="A149" s="1586"/>
      <c r="B149" s="2739"/>
      <c r="C149" s="2738"/>
      <c r="D149" s="1595"/>
      <c r="E149" s="1590"/>
      <c r="F149" s="1601"/>
      <c r="G149" s="1473"/>
      <c r="H149" s="1501" t="str">
        <f t="shared" si="2"/>
        <v/>
      </c>
    </row>
    <row r="150" spans="1:8" ht="15.6">
      <c r="A150" s="1586"/>
      <c r="B150" s="2740" t="s">
        <v>2188</v>
      </c>
      <c r="C150" s="1594" t="s">
        <v>2184</v>
      </c>
      <c r="D150" s="1589" t="s">
        <v>2189</v>
      </c>
      <c r="E150" s="2726" t="s">
        <v>691</v>
      </c>
      <c r="F150" s="2726">
        <v>2</v>
      </c>
      <c r="G150" s="1474"/>
      <c r="H150" s="1501">
        <f t="shared" si="2"/>
        <v>0</v>
      </c>
    </row>
    <row r="151" spans="1:8" ht="12.6" customHeight="1">
      <c r="A151" s="1586"/>
      <c r="B151" s="2739"/>
      <c r="C151" s="2738"/>
      <c r="D151" s="1595"/>
      <c r="E151" s="1590"/>
      <c r="F151" s="1601"/>
      <c r="G151" s="1473"/>
      <c r="H151" s="1501" t="str">
        <f t="shared" si="2"/>
        <v/>
      </c>
    </row>
    <row r="152" spans="1:8" ht="28.8">
      <c r="A152" s="2684"/>
      <c r="B152" s="2726" t="s">
        <v>2190</v>
      </c>
      <c r="C152" s="1594" t="s">
        <v>2184</v>
      </c>
      <c r="D152" s="1589" t="s">
        <v>2191</v>
      </c>
      <c r="E152" s="1605" t="s">
        <v>561</v>
      </c>
      <c r="F152" s="2742">
        <v>20</v>
      </c>
      <c r="G152" s="1475"/>
      <c r="H152" s="1501">
        <f t="shared" si="2"/>
        <v>0</v>
      </c>
    </row>
    <row r="153" spans="1:8" ht="12.6" customHeight="1">
      <c r="A153" s="2684"/>
      <c r="B153" s="2739"/>
      <c r="C153" s="2738"/>
      <c r="D153" s="1589"/>
      <c r="E153" s="1590"/>
      <c r="F153" s="1601"/>
      <c r="G153" s="1473"/>
      <c r="H153" s="1501" t="str">
        <f t="shared" si="2"/>
        <v/>
      </c>
    </row>
    <row r="154" spans="1:8" ht="15.6">
      <c r="A154" s="2684"/>
      <c r="B154" s="1605" t="s">
        <v>561</v>
      </c>
      <c r="C154" s="1594" t="s">
        <v>2184</v>
      </c>
      <c r="D154" s="1589" t="s">
        <v>2192</v>
      </c>
      <c r="E154" s="2744" t="s">
        <v>691</v>
      </c>
      <c r="F154" s="1609">
        <v>1</v>
      </c>
      <c r="G154" s="1475"/>
      <c r="H154" s="1501">
        <f t="shared" si="2"/>
        <v>0</v>
      </c>
    </row>
    <row r="155" spans="1:8" ht="12.6" customHeight="1">
      <c r="A155" s="2684"/>
      <c r="B155" s="1605"/>
      <c r="C155" s="2743"/>
      <c r="D155" s="1595"/>
      <c r="E155" s="2744"/>
      <c r="F155" s="1609"/>
      <c r="G155" s="1475"/>
      <c r="H155" s="1501" t="str">
        <f t="shared" si="2"/>
        <v/>
      </c>
    </row>
    <row r="156" spans="1:8" ht="15.6">
      <c r="A156" s="2684"/>
      <c r="B156" s="1605" t="s">
        <v>2193</v>
      </c>
      <c r="C156" s="1594" t="s">
        <v>2184</v>
      </c>
      <c r="D156" s="1589" t="s">
        <v>2194</v>
      </c>
      <c r="E156" s="2726" t="s">
        <v>691</v>
      </c>
      <c r="F156" s="2742">
        <v>4</v>
      </c>
      <c r="G156" s="1473"/>
      <c r="H156" s="1501">
        <f t="shared" si="2"/>
        <v>0</v>
      </c>
    </row>
    <row r="157" spans="1:8" ht="12.6" customHeight="1">
      <c r="A157" s="2684"/>
      <c r="B157" s="2755"/>
      <c r="C157" s="1606"/>
      <c r="D157" s="1595"/>
      <c r="E157" s="2744"/>
      <c r="F157" s="1609"/>
      <c r="G157" s="1473"/>
      <c r="H157" s="1501" t="str">
        <f t="shared" si="2"/>
        <v/>
      </c>
    </row>
    <row r="158" spans="1:8" ht="12.6" customHeight="1">
      <c r="A158" s="2684">
        <f>$A$4</f>
        <v>19</v>
      </c>
      <c r="B158" s="2684">
        <v>1.5</v>
      </c>
      <c r="C158" s="1594"/>
      <c r="D158" s="2725" t="s">
        <v>2200</v>
      </c>
      <c r="E158" s="1596"/>
      <c r="F158" s="2724"/>
      <c r="G158" s="1472"/>
      <c r="H158" s="1501" t="str">
        <f t="shared" si="2"/>
        <v/>
      </c>
    </row>
    <row r="159" spans="1:8" ht="12.6" customHeight="1">
      <c r="A159" s="2684"/>
      <c r="B159" s="1604"/>
      <c r="C159" s="1594"/>
      <c r="D159" s="2745"/>
      <c r="E159" s="1596"/>
      <c r="F159" s="2724"/>
      <c r="G159" s="1472"/>
      <c r="H159" s="1501" t="str">
        <f t="shared" si="2"/>
        <v/>
      </c>
    </row>
    <row r="160" spans="1:8" ht="39.6">
      <c r="A160" s="2684"/>
      <c r="B160" s="1593" t="s">
        <v>2162</v>
      </c>
      <c r="C160" s="1594" t="s">
        <v>2158</v>
      </c>
      <c r="D160" s="1589" t="s">
        <v>2201</v>
      </c>
      <c r="E160" s="1596" t="s">
        <v>230</v>
      </c>
      <c r="F160" s="2724">
        <v>1</v>
      </c>
      <c r="G160" s="1472"/>
      <c r="H160" s="1501">
        <f t="shared" si="2"/>
        <v>0</v>
      </c>
    </row>
    <row r="161" spans="1:8" ht="12.6" customHeight="1">
      <c r="A161" s="1586"/>
      <c r="B161" s="2727"/>
      <c r="C161" s="1594"/>
      <c r="D161" s="1595"/>
      <c r="E161" s="1596"/>
      <c r="F161" s="1597"/>
      <c r="G161" s="1472"/>
      <c r="H161" s="1501" t="str">
        <f t="shared" si="2"/>
        <v/>
      </c>
    </row>
    <row r="162" spans="1:8" ht="12.6" customHeight="1">
      <c r="A162" s="1586"/>
      <c r="B162" s="1593" t="s">
        <v>2164</v>
      </c>
      <c r="C162" s="1594" t="s">
        <v>2158</v>
      </c>
      <c r="D162" s="1595" t="s">
        <v>2165</v>
      </c>
      <c r="E162" s="1596" t="s">
        <v>691</v>
      </c>
      <c r="F162" s="1604">
        <v>3</v>
      </c>
      <c r="G162" s="1473"/>
      <c r="H162" s="1501">
        <f t="shared" si="2"/>
        <v>0</v>
      </c>
    </row>
    <row r="163" spans="1:8" ht="12.6" customHeight="1">
      <c r="A163" s="1586"/>
      <c r="B163" s="2727"/>
      <c r="C163" s="1594"/>
      <c r="D163" s="1589"/>
      <c r="E163" s="1596"/>
      <c r="F163" s="1604"/>
      <c r="G163" s="1473"/>
      <c r="H163" s="1501" t="str">
        <f t="shared" si="2"/>
        <v/>
      </c>
    </row>
    <row r="164" spans="1:8" ht="39.6">
      <c r="A164" s="1586"/>
      <c r="B164" s="1593" t="s">
        <v>2166</v>
      </c>
      <c r="C164" s="1594" t="s">
        <v>2158</v>
      </c>
      <c r="D164" s="1589" t="s">
        <v>2167</v>
      </c>
      <c r="E164" s="2728" t="s">
        <v>691</v>
      </c>
      <c r="F164" s="2729">
        <v>1</v>
      </c>
      <c r="G164" s="1472"/>
      <c r="H164" s="1501">
        <f t="shared" si="2"/>
        <v>0</v>
      </c>
    </row>
    <row r="165" spans="1:8">
      <c r="A165" s="1586"/>
      <c r="B165" s="1593"/>
      <c r="C165" s="2684"/>
      <c r="D165" s="1589"/>
      <c r="E165" s="1596"/>
      <c r="F165" s="2730"/>
      <c r="G165" s="1472"/>
      <c r="H165" s="1501" t="str">
        <f t="shared" si="2"/>
        <v/>
      </c>
    </row>
    <row r="166" spans="1:8" ht="26.4">
      <c r="A166" s="1586"/>
      <c r="B166" s="1593" t="s">
        <v>2168</v>
      </c>
      <c r="C166" s="1594" t="s">
        <v>2169</v>
      </c>
      <c r="D166" s="1589" t="s">
        <v>2170</v>
      </c>
      <c r="E166" s="1596" t="s">
        <v>691</v>
      </c>
      <c r="F166" s="1604">
        <v>1</v>
      </c>
      <c r="G166" s="1473"/>
      <c r="H166" s="1501">
        <f t="shared" si="2"/>
        <v>0</v>
      </c>
    </row>
    <row r="167" spans="1:8" ht="12.6" customHeight="1">
      <c r="A167" s="1586"/>
      <c r="B167" s="2727"/>
      <c r="C167" s="1594"/>
      <c r="D167" s="1589"/>
      <c r="E167" s="1596"/>
      <c r="F167" s="1597"/>
      <c r="G167" s="1473"/>
      <c r="H167" s="1501" t="str">
        <f t="shared" si="2"/>
        <v/>
      </c>
    </row>
    <row r="168" spans="1:8" ht="26.4">
      <c r="A168" s="1586"/>
      <c r="B168" s="1593" t="s">
        <v>2171</v>
      </c>
      <c r="C168" s="1594" t="s">
        <v>2172</v>
      </c>
      <c r="D168" s="1595" t="s">
        <v>2173</v>
      </c>
      <c r="E168" s="1596" t="s">
        <v>691</v>
      </c>
      <c r="F168" s="1604">
        <v>1</v>
      </c>
      <c r="G168" s="1474"/>
      <c r="H168" s="1501">
        <f t="shared" si="2"/>
        <v>0</v>
      </c>
    </row>
    <row r="169" spans="1:8" ht="12.6" customHeight="1">
      <c r="A169" s="1586"/>
      <c r="B169" s="2731"/>
      <c r="C169" s="1594"/>
      <c r="D169" s="1595"/>
      <c r="E169" s="1596"/>
      <c r="F169" s="1604"/>
      <c r="G169" s="1472"/>
      <c r="H169" s="1501" t="str">
        <f t="shared" si="2"/>
        <v/>
      </c>
    </row>
    <row r="170" spans="1:8" ht="39.6">
      <c r="A170" s="1586"/>
      <c r="B170" s="1593" t="s">
        <v>2174</v>
      </c>
      <c r="C170" s="1594" t="s">
        <v>2175</v>
      </c>
      <c r="D170" s="1595" t="s">
        <v>2176</v>
      </c>
      <c r="E170" s="2732"/>
      <c r="F170" s="2733"/>
      <c r="G170" s="1472"/>
      <c r="H170" s="1501" t="str">
        <f t="shared" si="2"/>
        <v/>
      </c>
    </row>
    <row r="171" spans="1:8" ht="12.6" customHeight="1">
      <c r="A171" s="1586"/>
      <c r="B171" s="2727"/>
      <c r="C171" s="1594"/>
      <c r="D171" s="1589"/>
      <c r="E171" s="2732"/>
      <c r="F171" s="2730"/>
      <c r="G171" s="1473"/>
      <c r="H171" s="1501" t="str">
        <f t="shared" si="2"/>
        <v/>
      </c>
    </row>
    <row r="172" spans="1:8" ht="15.6">
      <c r="A172" s="1586"/>
      <c r="B172" s="2727"/>
      <c r="C172" s="1594" t="s">
        <v>2175</v>
      </c>
      <c r="D172" s="1589" t="s">
        <v>2177</v>
      </c>
      <c r="E172" s="2734" t="s">
        <v>561</v>
      </c>
      <c r="F172" s="1597">
        <v>12</v>
      </c>
      <c r="G172" s="1472"/>
      <c r="H172" s="1501">
        <f t="shared" si="2"/>
        <v>0</v>
      </c>
    </row>
    <row r="173" spans="1:8">
      <c r="A173" s="2684"/>
      <c r="B173" s="2727"/>
      <c r="C173" s="1594"/>
      <c r="D173" s="2746"/>
      <c r="E173" s="2734"/>
      <c r="F173" s="1597"/>
      <c r="G173" s="1474"/>
      <c r="H173" s="1501" t="str">
        <f t="shared" si="2"/>
        <v/>
      </c>
    </row>
    <row r="174" spans="1:8" ht="26.4">
      <c r="A174" s="2684"/>
      <c r="B174" s="1604" t="s">
        <v>2178</v>
      </c>
      <c r="C174" s="1594" t="s">
        <v>2175</v>
      </c>
      <c r="D174" s="1595" t="s">
        <v>2197</v>
      </c>
      <c r="E174" s="2732"/>
      <c r="F174" s="1604"/>
      <c r="G174" s="1473"/>
      <c r="H174" s="1501" t="str">
        <f t="shared" si="2"/>
        <v/>
      </c>
    </row>
    <row r="175" spans="1:8">
      <c r="A175" s="2684"/>
      <c r="B175" s="2721"/>
      <c r="C175" s="1594"/>
      <c r="D175" s="1595"/>
      <c r="E175" s="2732"/>
      <c r="F175" s="2735"/>
      <c r="G175" s="1472"/>
      <c r="H175" s="1501" t="str">
        <f t="shared" si="2"/>
        <v/>
      </c>
    </row>
    <row r="176" spans="1:8" ht="15.6">
      <c r="A176" s="2684"/>
      <c r="B176" s="2721"/>
      <c r="C176" s="1594" t="s">
        <v>2175</v>
      </c>
      <c r="D176" s="1589" t="s">
        <v>2177</v>
      </c>
      <c r="E176" s="1596" t="s">
        <v>691</v>
      </c>
      <c r="F176" s="2729">
        <v>4</v>
      </c>
      <c r="G176" s="1472"/>
      <c r="H176" s="1501">
        <f t="shared" si="2"/>
        <v>0</v>
      </c>
    </row>
    <row r="177" spans="1:8" ht="12.6" customHeight="1">
      <c r="A177" s="2684"/>
      <c r="B177" s="1604"/>
      <c r="C177" s="1594"/>
      <c r="D177" s="1595"/>
      <c r="E177" s="2732"/>
      <c r="F177" s="1604"/>
      <c r="G177" s="1472"/>
      <c r="H177" s="1501" t="str">
        <f t="shared" si="2"/>
        <v/>
      </c>
    </row>
    <row r="178" spans="1:8" ht="26.4">
      <c r="A178" s="2684"/>
      <c r="B178" s="1604" t="s">
        <v>2180</v>
      </c>
      <c r="C178" s="1594" t="s">
        <v>2181</v>
      </c>
      <c r="D178" s="1595" t="s">
        <v>2182</v>
      </c>
      <c r="E178" s="1596" t="s">
        <v>561</v>
      </c>
      <c r="F178" s="2729">
        <v>12</v>
      </c>
      <c r="G178" s="1474"/>
      <c r="H178" s="1501">
        <f t="shared" si="2"/>
        <v>0</v>
      </c>
    </row>
    <row r="179" spans="1:8">
      <c r="A179" s="2684"/>
      <c r="B179" s="2721"/>
      <c r="C179" s="1594"/>
      <c r="D179" s="1595"/>
      <c r="E179" s="2732"/>
      <c r="F179" s="2735"/>
      <c r="G179" s="1473"/>
      <c r="H179" s="1501" t="str">
        <f t="shared" si="2"/>
        <v/>
      </c>
    </row>
    <row r="180" spans="1:8" ht="37.65" customHeight="1">
      <c r="A180" s="2684"/>
      <c r="B180" s="1604" t="s">
        <v>2183</v>
      </c>
      <c r="C180" s="1594" t="s">
        <v>2184</v>
      </c>
      <c r="D180" s="1589" t="s">
        <v>2185</v>
      </c>
      <c r="E180" s="1590" t="s">
        <v>561</v>
      </c>
      <c r="F180" s="1601">
        <v>10</v>
      </c>
      <c r="G180" s="1474"/>
      <c r="H180" s="1501">
        <f t="shared" si="2"/>
        <v>0</v>
      </c>
    </row>
    <row r="181" spans="1:8" ht="12.6" customHeight="1">
      <c r="A181" s="2684"/>
      <c r="B181" s="2736"/>
      <c r="C181" s="1594"/>
      <c r="D181" s="1589"/>
      <c r="E181" s="1590"/>
      <c r="F181" s="1601"/>
      <c r="G181" s="1473"/>
      <c r="H181" s="1501" t="str">
        <f t="shared" si="2"/>
        <v/>
      </c>
    </row>
    <row r="182" spans="1:8" ht="15.6">
      <c r="A182" s="2684"/>
      <c r="B182" s="2737" t="s">
        <v>2186</v>
      </c>
      <c r="C182" s="1594" t="s">
        <v>2184</v>
      </c>
      <c r="D182" s="1589" t="s">
        <v>2187</v>
      </c>
      <c r="E182" s="1590" t="s">
        <v>691</v>
      </c>
      <c r="F182" s="1601">
        <v>1</v>
      </c>
      <c r="G182" s="1473"/>
      <c r="H182" s="1501">
        <f t="shared" si="2"/>
        <v>0</v>
      </c>
    </row>
    <row r="183" spans="1:8">
      <c r="A183" s="2684"/>
      <c r="B183" s="2737"/>
      <c r="C183" s="2738"/>
      <c r="D183" s="903"/>
      <c r="E183" s="1590"/>
      <c r="F183" s="1601"/>
      <c r="G183" s="1473"/>
      <c r="H183" s="1501" t="str">
        <f t="shared" si="2"/>
        <v/>
      </c>
    </row>
    <row r="184" spans="1:8" ht="15.6">
      <c r="A184" s="2684"/>
      <c r="B184" s="2740" t="s">
        <v>2188</v>
      </c>
      <c r="C184" s="1594" t="s">
        <v>2184</v>
      </c>
      <c r="D184" s="1589" t="s">
        <v>2189</v>
      </c>
      <c r="E184" s="2726" t="s">
        <v>691</v>
      </c>
      <c r="F184" s="2726">
        <v>1</v>
      </c>
      <c r="G184" s="1474"/>
      <c r="H184" s="1501">
        <f t="shared" si="2"/>
        <v>0</v>
      </c>
    </row>
    <row r="185" spans="1:8">
      <c r="A185" s="2684"/>
      <c r="B185" s="2737"/>
      <c r="C185" s="2738"/>
      <c r="D185" s="903"/>
      <c r="E185" s="1590"/>
      <c r="F185" s="1601"/>
      <c r="G185" s="1473"/>
      <c r="H185" s="1592"/>
    </row>
    <row r="186" spans="1:8">
      <c r="A186" s="2333"/>
      <c r="B186" s="822"/>
      <c r="C186" s="1158"/>
      <c r="D186" s="840"/>
      <c r="E186" s="837"/>
      <c r="F186" s="838"/>
      <c r="G186" s="2748"/>
      <c r="H186" s="2749"/>
    </row>
    <row r="187" spans="1:8">
      <c r="A187" s="2336"/>
      <c r="B187" s="823"/>
      <c r="C187" s="1159"/>
      <c r="D187" s="774" t="s">
        <v>289</v>
      </c>
      <c r="E187" s="426"/>
      <c r="F187" s="24"/>
      <c r="G187" s="1477"/>
      <c r="H187" s="2750">
        <f>SUM(H128:H185)</f>
        <v>0</v>
      </c>
    </row>
    <row r="188" spans="1:8" ht="12.6" customHeight="1">
      <c r="A188" s="1586"/>
      <c r="B188" s="1271"/>
      <c r="C188" s="1155"/>
      <c r="D188" s="2751" t="s">
        <v>290</v>
      </c>
      <c r="E188" s="147"/>
      <c r="F188" s="1577"/>
      <c r="G188" s="1478"/>
      <c r="H188" s="896">
        <f>H187</f>
        <v>0</v>
      </c>
    </row>
    <row r="189" spans="1:8" ht="12.6" customHeight="1">
      <c r="A189" s="2684"/>
      <c r="B189" s="2739"/>
      <c r="C189" s="2738"/>
      <c r="D189" s="1595"/>
      <c r="E189" s="1590"/>
      <c r="F189" s="1601"/>
      <c r="G189" s="1473"/>
      <c r="H189" s="2747"/>
    </row>
    <row r="190" spans="1:8" ht="28.8">
      <c r="A190" s="2684"/>
      <c r="B190" s="2726" t="s">
        <v>2190</v>
      </c>
      <c r="C190" s="1594" t="s">
        <v>2184</v>
      </c>
      <c r="D190" s="1589" t="s">
        <v>2191</v>
      </c>
      <c r="E190" s="1605" t="s">
        <v>561</v>
      </c>
      <c r="F190" s="2742">
        <v>30</v>
      </c>
      <c r="G190" s="1475"/>
      <c r="H190" s="1501">
        <f t="shared" ref="H190:H237" si="3">IF(E190="","",ROUND(F190*G190,2))</f>
        <v>0</v>
      </c>
    </row>
    <row r="191" spans="1:8" ht="12.6" customHeight="1">
      <c r="A191" s="2684"/>
      <c r="B191" s="2739"/>
      <c r="C191" s="2738"/>
      <c r="D191" s="1589"/>
      <c r="E191" s="1590"/>
      <c r="F191" s="1601"/>
      <c r="G191" s="1473"/>
      <c r="H191" s="1501" t="str">
        <f t="shared" si="3"/>
        <v/>
      </c>
    </row>
    <row r="192" spans="1:8" ht="15.6">
      <c r="A192" s="2684"/>
      <c r="B192" s="1605" t="s">
        <v>561</v>
      </c>
      <c r="C192" s="1594" t="s">
        <v>2184</v>
      </c>
      <c r="D192" s="1589" t="s">
        <v>2192</v>
      </c>
      <c r="E192" s="2744" t="s">
        <v>691</v>
      </c>
      <c r="F192" s="1609">
        <v>1</v>
      </c>
      <c r="G192" s="1475"/>
      <c r="H192" s="1501">
        <f t="shared" si="3"/>
        <v>0</v>
      </c>
    </row>
    <row r="193" spans="1:8" ht="12.6" customHeight="1">
      <c r="A193" s="2684"/>
      <c r="B193" s="1605"/>
      <c r="C193" s="2743"/>
      <c r="D193" s="1595"/>
      <c r="E193" s="2744"/>
      <c r="F193" s="1609"/>
      <c r="G193" s="1475"/>
      <c r="H193" s="1501" t="str">
        <f t="shared" si="3"/>
        <v/>
      </c>
    </row>
    <row r="194" spans="1:8" ht="15.6">
      <c r="A194" s="2684"/>
      <c r="B194" s="1605" t="s">
        <v>2193</v>
      </c>
      <c r="C194" s="1594" t="s">
        <v>2184</v>
      </c>
      <c r="D194" s="1589" t="s">
        <v>2194</v>
      </c>
      <c r="E194" s="2726" t="s">
        <v>691</v>
      </c>
      <c r="F194" s="2742">
        <v>6</v>
      </c>
      <c r="G194" s="1473"/>
      <c r="H194" s="1501">
        <f t="shared" si="3"/>
        <v>0</v>
      </c>
    </row>
    <row r="195" spans="1:8" ht="12.6" customHeight="1">
      <c r="A195" s="2684"/>
      <c r="B195" s="2756"/>
      <c r="C195" s="1588"/>
      <c r="D195" s="2757"/>
      <c r="E195" s="1591"/>
      <c r="F195" s="1591"/>
      <c r="G195" s="1473"/>
      <c r="H195" s="1501" t="str">
        <f t="shared" si="3"/>
        <v/>
      </c>
    </row>
    <row r="196" spans="1:8" ht="12.6" customHeight="1">
      <c r="A196" s="2684">
        <f>$A$4</f>
        <v>19</v>
      </c>
      <c r="B196" s="2684">
        <v>1.6</v>
      </c>
      <c r="C196" s="1594"/>
      <c r="D196" s="2725" t="s">
        <v>2202</v>
      </c>
      <c r="E196" s="1596"/>
      <c r="F196" s="2724"/>
      <c r="G196" s="1472"/>
      <c r="H196" s="1501" t="str">
        <f t="shared" si="3"/>
        <v/>
      </c>
    </row>
    <row r="197" spans="1:8" ht="12.6" customHeight="1">
      <c r="A197" s="2684"/>
      <c r="B197" s="1604"/>
      <c r="C197" s="1594"/>
      <c r="D197" s="2745"/>
      <c r="E197" s="1596"/>
      <c r="F197" s="2724"/>
      <c r="G197" s="1472"/>
      <c r="H197" s="1501" t="str">
        <f t="shared" si="3"/>
        <v/>
      </c>
    </row>
    <row r="198" spans="1:8" ht="66">
      <c r="A198" s="2684"/>
      <c r="B198" s="1593" t="s">
        <v>2162</v>
      </c>
      <c r="C198" s="1594" t="s">
        <v>2158</v>
      </c>
      <c r="D198" s="1589" t="s">
        <v>2203</v>
      </c>
      <c r="E198" s="2726" t="s">
        <v>230</v>
      </c>
      <c r="F198" s="2758">
        <v>1</v>
      </c>
      <c r="G198" s="1472"/>
      <c r="H198" s="1501">
        <f t="shared" si="3"/>
        <v>0</v>
      </c>
    </row>
    <row r="199" spans="1:8" ht="12.6" customHeight="1">
      <c r="A199" s="1586"/>
      <c r="B199" s="2727"/>
      <c r="C199" s="2684"/>
      <c r="D199" s="1589"/>
      <c r="E199" s="1596"/>
      <c r="F199" s="2730"/>
      <c r="G199" s="1473"/>
      <c r="H199" s="1501" t="str">
        <f t="shared" si="3"/>
        <v/>
      </c>
    </row>
    <row r="200" spans="1:8" ht="12.6" customHeight="1">
      <c r="A200" s="1586"/>
      <c r="B200" s="1593" t="s">
        <v>2164</v>
      </c>
      <c r="C200" s="1594" t="s">
        <v>2158</v>
      </c>
      <c r="D200" s="1595" t="s">
        <v>2165</v>
      </c>
      <c r="E200" s="1596" t="s">
        <v>691</v>
      </c>
      <c r="F200" s="1604">
        <v>11</v>
      </c>
      <c r="G200" s="1473"/>
      <c r="H200" s="1501">
        <f t="shared" si="3"/>
        <v>0</v>
      </c>
    </row>
    <row r="201" spans="1:8" ht="12.6" customHeight="1">
      <c r="A201" s="1586"/>
      <c r="B201" s="2727"/>
      <c r="C201" s="1594"/>
      <c r="D201" s="1589"/>
      <c r="E201" s="1596"/>
      <c r="F201" s="1604"/>
      <c r="G201" s="1473"/>
      <c r="H201" s="1501" t="str">
        <f t="shared" si="3"/>
        <v/>
      </c>
    </row>
    <row r="202" spans="1:8" ht="26.4">
      <c r="A202" s="1586"/>
      <c r="B202" s="1593" t="s">
        <v>2166</v>
      </c>
      <c r="C202" s="1594" t="s">
        <v>2158</v>
      </c>
      <c r="D202" s="1589" t="s">
        <v>2204</v>
      </c>
      <c r="E202" s="2728" t="s">
        <v>691</v>
      </c>
      <c r="F202" s="2729">
        <v>1</v>
      </c>
      <c r="G202" s="1472"/>
      <c r="H202" s="1501">
        <f t="shared" si="3"/>
        <v>0</v>
      </c>
    </row>
    <row r="203" spans="1:8" ht="12.6" customHeight="1">
      <c r="A203" s="1586"/>
      <c r="B203" s="2727"/>
      <c r="C203" s="2684"/>
      <c r="D203" s="1595"/>
      <c r="E203" s="1596"/>
      <c r="F203" s="1597"/>
      <c r="G203" s="1473"/>
      <c r="H203" s="1501" t="str">
        <f t="shared" si="3"/>
        <v/>
      </c>
    </row>
    <row r="204" spans="1:8" ht="26.4">
      <c r="A204" s="1586"/>
      <c r="B204" s="1593" t="s">
        <v>2168</v>
      </c>
      <c r="C204" s="1594" t="s">
        <v>2169</v>
      </c>
      <c r="D204" s="1589" t="s">
        <v>2205</v>
      </c>
      <c r="E204" s="1596" t="s">
        <v>691</v>
      </c>
      <c r="F204" s="1604">
        <v>1</v>
      </c>
      <c r="G204" s="1472"/>
      <c r="H204" s="1501">
        <f t="shared" si="3"/>
        <v>0</v>
      </c>
    </row>
    <row r="205" spans="1:8">
      <c r="A205" s="1586"/>
      <c r="B205" s="2727"/>
      <c r="C205" s="1594"/>
      <c r="D205" s="1589"/>
      <c r="E205" s="1596"/>
      <c r="F205" s="1604"/>
      <c r="G205" s="1473"/>
      <c r="H205" s="1501" t="str">
        <f t="shared" si="3"/>
        <v/>
      </c>
    </row>
    <row r="206" spans="1:8" ht="26.4">
      <c r="A206" s="1586"/>
      <c r="B206" s="1593" t="s">
        <v>2171</v>
      </c>
      <c r="C206" s="1594" t="s">
        <v>2172</v>
      </c>
      <c r="D206" s="1595" t="s">
        <v>2173</v>
      </c>
      <c r="E206" s="1596" t="s">
        <v>691</v>
      </c>
      <c r="F206" s="1604">
        <v>1</v>
      </c>
      <c r="G206" s="1473"/>
      <c r="H206" s="1501">
        <f t="shared" si="3"/>
        <v>0</v>
      </c>
    </row>
    <row r="207" spans="1:8" ht="12.6" customHeight="1">
      <c r="A207" s="1586"/>
      <c r="B207" s="2721"/>
      <c r="C207" s="1594"/>
      <c r="D207" s="1595"/>
      <c r="E207" s="1596"/>
      <c r="F207" s="1604"/>
      <c r="G207" s="1479"/>
      <c r="H207" s="1501" t="str">
        <f t="shared" si="3"/>
        <v/>
      </c>
    </row>
    <row r="208" spans="1:8" ht="39.6">
      <c r="A208" s="1586"/>
      <c r="B208" s="1593" t="s">
        <v>2174</v>
      </c>
      <c r="C208" s="1594" t="s">
        <v>2175</v>
      </c>
      <c r="D208" s="1595" t="s">
        <v>2176</v>
      </c>
      <c r="E208" s="2732"/>
      <c r="F208" s="2733"/>
      <c r="G208" s="1472"/>
      <c r="H208" s="1501" t="str">
        <f t="shared" si="3"/>
        <v/>
      </c>
    </row>
    <row r="209" spans="1:8" ht="12.6" customHeight="1">
      <c r="A209" s="1586"/>
      <c r="B209" s="2727"/>
      <c r="C209" s="1594"/>
      <c r="D209" s="1589"/>
      <c r="E209" s="2732"/>
      <c r="F209" s="2730"/>
      <c r="G209" s="1472"/>
      <c r="H209" s="1501" t="str">
        <f t="shared" si="3"/>
        <v/>
      </c>
    </row>
    <row r="210" spans="1:8" ht="15.6">
      <c r="A210" s="1586"/>
      <c r="B210" s="2727"/>
      <c r="C210" s="1594" t="s">
        <v>2175</v>
      </c>
      <c r="D210" s="1589" t="s">
        <v>2177</v>
      </c>
      <c r="E210" s="2734" t="s">
        <v>561</v>
      </c>
      <c r="F210" s="1597">
        <v>12</v>
      </c>
      <c r="G210" s="1473"/>
      <c r="H210" s="1501">
        <f t="shared" si="3"/>
        <v>0</v>
      </c>
    </row>
    <row r="211" spans="1:8" ht="12.6" customHeight="1">
      <c r="A211" s="1586"/>
      <c r="B211" s="2727"/>
      <c r="C211" s="1594"/>
      <c r="D211" s="1589"/>
      <c r="E211" s="2734"/>
      <c r="F211" s="1597"/>
      <c r="G211" s="1472"/>
      <c r="H211" s="1501" t="str">
        <f t="shared" si="3"/>
        <v/>
      </c>
    </row>
    <row r="212" spans="1:8" ht="26.4">
      <c r="A212" s="1586"/>
      <c r="B212" s="1604" t="s">
        <v>2178</v>
      </c>
      <c r="C212" s="1594" t="s">
        <v>2175</v>
      </c>
      <c r="D212" s="1595" t="s">
        <v>2197</v>
      </c>
      <c r="E212" s="2732"/>
      <c r="F212" s="1604"/>
      <c r="G212" s="1474"/>
      <c r="H212" s="1501" t="str">
        <f t="shared" si="3"/>
        <v/>
      </c>
    </row>
    <row r="213" spans="1:8" ht="12.6" customHeight="1">
      <c r="A213" s="1586"/>
      <c r="B213" s="2721"/>
      <c r="C213" s="1594"/>
      <c r="D213" s="1595"/>
      <c r="E213" s="2732"/>
      <c r="F213" s="2735"/>
      <c r="G213" s="1473"/>
      <c r="H213" s="1501" t="str">
        <f t="shared" si="3"/>
        <v/>
      </c>
    </row>
    <row r="214" spans="1:8" ht="15.6">
      <c r="A214" s="1586"/>
      <c r="B214" s="2721"/>
      <c r="C214" s="1594" t="s">
        <v>2175</v>
      </c>
      <c r="D214" s="1589" t="s">
        <v>2177</v>
      </c>
      <c r="E214" s="1596" t="s">
        <v>691</v>
      </c>
      <c r="F214" s="2729">
        <v>4</v>
      </c>
      <c r="G214" s="1472"/>
      <c r="H214" s="1501">
        <f t="shared" si="3"/>
        <v>0</v>
      </c>
    </row>
    <row r="215" spans="1:8">
      <c r="A215" s="2684"/>
      <c r="B215" s="1604"/>
      <c r="C215" s="1594"/>
      <c r="D215" s="1595"/>
      <c r="E215" s="2732"/>
      <c r="F215" s="1604"/>
      <c r="G215" s="1472"/>
      <c r="H215" s="1501" t="str">
        <f t="shared" si="3"/>
        <v/>
      </c>
    </row>
    <row r="216" spans="1:8" ht="26.4">
      <c r="A216" s="2684"/>
      <c r="B216" s="1604" t="s">
        <v>2180</v>
      </c>
      <c r="C216" s="1594" t="s">
        <v>2181</v>
      </c>
      <c r="D216" s="1595" t="s">
        <v>2182</v>
      </c>
      <c r="E216" s="1596" t="s">
        <v>561</v>
      </c>
      <c r="F216" s="2729">
        <v>12</v>
      </c>
      <c r="G216" s="1472"/>
      <c r="H216" s="1501">
        <f t="shared" si="3"/>
        <v>0</v>
      </c>
    </row>
    <row r="217" spans="1:8" ht="12.6" customHeight="1">
      <c r="A217" s="2684"/>
      <c r="B217" s="2721"/>
      <c r="C217" s="1594"/>
      <c r="D217" s="1589"/>
      <c r="E217" s="1596"/>
      <c r="F217" s="2729"/>
      <c r="G217" s="1472"/>
      <c r="H217" s="1501" t="str">
        <f t="shared" si="3"/>
        <v/>
      </c>
    </row>
    <row r="218" spans="1:8" ht="42">
      <c r="A218" s="2684"/>
      <c r="B218" s="1604" t="s">
        <v>2183</v>
      </c>
      <c r="C218" s="1594" t="s">
        <v>2184</v>
      </c>
      <c r="D218" s="1589" t="s">
        <v>2185</v>
      </c>
      <c r="E218" s="1590" t="s">
        <v>561</v>
      </c>
      <c r="F218" s="1601">
        <v>180</v>
      </c>
      <c r="G218" s="1473"/>
      <c r="H218" s="1501">
        <f t="shared" si="3"/>
        <v>0</v>
      </c>
    </row>
    <row r="219" spans="1:8" ht="12.6" customHeight="1">
      <c r="A219" s="2684"/>
      <c r="B219" s="2736"/>
      <c r="C219" s="1594"/>
      <c r="D219" s="1589"/>
      <c r="E219" s="1590"/>
      <c r="F219" s="1601"/>
      <c r="G219" s="1474"/>
      <c r="H219" s="1501" t="str">
        <f t="shared" si="3"/>
        <v/>
      </c>
    </row>
    <row r="220" spans="1:8" ht="15.6">
      <c r="A220" s="2684"/>
      <c r="B220" s="2737" t="s">
        <v>2186</v>
      </c>
      <c r="C220" s="1594" t="s">
        <v>2184</v>
      </c>
      <c r="D220" s="1589" t="s">
        <v>2187</v>
      </c>
      <c r="E220" s="1590" t="s">
        <v>691</v>
      </c>
      <c r="F220" s="1601">
        <v>10</v>
      </c>
      <c r="G220" s="1472"/>
      <c r="H220" s="1501">
        <f t="shared" si="3"/>
        <v>0</v>
      </c>
    </row>
    <row r="221" spans="1:8">
      <c r="A221" s="2684"/>
      <c r="B221" s="2739"/>
      <c r="C221" s="2738"/>
      <c r="D221" s="1595"/>
      <c r="E221" s="1590"/>
      <c r="F221" s="1601"/>
      <c r="G221" s="1472"/>
      <c r="H221" s="1501" t="str">
        <f t="shared" si="3"/>
        <v/>
      </c>
    </row>
    <row r="222" spans="1:8" ht="15.6">
      <c r="A222" s="2684"/>
      <c r="B222" s="2740" t="s">
        <v>2188</v>
      </c>
      <c r="C222" s="1594" t="s">
        <v>2184</v>
      </c>
      <c r="D222" s="1589" t="s">
        <v>2189</v>
      </c>
      <c r="E222" s="2726" t="s">
        <v>691</v>
      </c>
      <c r="F222" s="2726">
        <v>15</v>
      </c>
      <c r="G222" s="1473"/>
      <c r="H222" s="1501">
        <f t="shared" si="3"/>
        <v>0</v>
      </c>
    </row>
    <row r="223" spans="1:8" ht="12.6" customHeight="1">
      <c r="A223" s="2684"/>
      <c r="B223" s="2739"/>
      <c r="C223" s="2738"/>
      <c r="D223" s="1595"/>
      <c r="E223" s="1590"/>
      <c r="F223" s="1601"/>
      <c r="G223" s="1475"/>
      <c r="H223" s="1501" t="str">
        <f t="shared" si="3"/>
        <v/>
      </c>
    </row>
    <row r="224" spans="1:8" ht="28.8">
      <c r="A224" s="2684"/>
      <c r="B224" s="2726" t="s">
        <v>2190</v>
      </c>
      <c r="C224" s="1594" t="s">
        <v>2184</v>
      </c>
      <c r="D224" s="1589" t="s">
        <v>2191</v>
      </c>
      <c r="E224" s="1605" t="s">
        <v>561</v>
      </c>
      <c r="F224" s="2742">
        <v>30</v>
      </c>
      <c r="G224" s="1473"/>
      <c r="H224" s="1501">
        <f t="shared" si="3"/>
        <v>0</v>
      </c>
    </row>
    <row r="225" spans="1:8" ht="12.6" customHeight="1">
      <c r="A225" s="2684"/>
      <c r="B225" s="2739"/>
      <c r="C225" s="2738"/>
      <c r="D225" s="1589"/>
      <c r="E225" s="1590"/>
      <c r="F225" s="1601"/>
      <c r="G225" s="1475"/>
      <c r="H225" s="1501" t="str">
        <f t="shared" si="3"/>
        <v/>
      </c>
    </row>
    <row r="226" spans="1:8" ht="15.6">
      <c r="A226" s="2684"/>
      <c r="B226" s="1605" t="s">
        <v>561</v>
      </c>
      <c r="C226" s="1594" t="s">
        <v>2184</v>
      </c>
      <c r="D226" s="1589" t="s">
        <v>2192</v>
      </c>
      <c r="E226" s="2744" t="s">
        <v>691</v>
      </c>
      <c r="F226" s="1609">
        <v>1</v>
      </c>
      <c r="G226" s="1475"/>
      <c r="H226" s="1501">
        <f t="shared" si="3"/>
        <v>0</v>
      </c>
    </row>
    <row r="227" spans="1:8" ht="12.6" customHeight="1">
      <c r="A227" s="2684"/>
      <c r="B227" s="1605"/>
      <c r="C227" s="2743"/>
      <c r="D227" s="1595"/>
      <c r="E227" s="2744"/>
      <c r="F227" s="1609"/>
      <c r="G227" s="1473"/>
      <c r="H227" s="1501" t="str">
        <f t="shared" si="3"/>
        <v/>
      </c>
    </row>
    <row r="228" spans="1:8" ht="15.6">
      <c r="A228" s="2684"/>
      <c r="B228" s="1605" t="s">
        <v>2193</v>
      </c>
      <c r="C228" s="1594" t="s">
        <v>2184</v>
      </c>
      <c r="D228" s="1589" t="s">
        <v>2194</v>
      </c>
      <c r="E228" s="2726" t="s">
        <v>691</v>
      </c>
      <c r="F228" s="2742">
        <v>2</v>
      </c>
      <c r="G228" s="1475"/>
      <c r="H228" s="1501">
        <f t="shared" si="3"/>
        <v>0</v>
      </c>
    </row>
    <row r="229" spans="1:8" ht="12.6" customHeight="1">
      <c r="A229" s="2684"/>
      <c r="B229" s="1605"/>
      <c r="C229" s="2743"/>
      <c r="D229" s="1595"/>
      <c r="E229" s="2726"/>
      <c r="F229" s="2742"/>
      <c r="G229" s="1473"/>
      <c r="H229" s="1501" t="str">
        <f t="shared" si="3"/>
        <v/>
      </c>
    </row>
    <row r="230" spans="1:8" ht="12.6" customHeight="1">
      <c r="A230" s="2684">
        <f>$A$4</f>
        <v>19</v>
      </c>
      <c r="B230" s="2697">
        <v>1.7</v>
      </c>
      <c r="C230" s="2743"/>
      <c r="D230" s="2725" t="s">
        <v>2206</v>
      </c>
      <c r="E230" s="2726"/>
      <c r="F230" s="2742"/>
      <c r="G230" s="1473"/>
      <c r="H230" s="1501" t="str">
        <f t="shared" si="3"/>
        <v/>
      </c>
    </row>
    <row r="231" spans="1:8" ht="12.6" customHeight="1">
      <c r="A231" s="2684"/>
      <c r="B231" s="1605"/>
      <c r="C231" s="2743"/>
      <c r="D231" s="1595"/>
      <c r="E231" s="2726"/>
      <c r="F231" s="2742"/>
      <c r="G231" s="1473"/>
      <c r="H231" s="1501" t="str">
        <f t="shared" si="3"/>
        <v/>
      </c>
    </row>
    <row r="232" spans="1:8" ht="79.2">
      <c r="A232" s="2684"/>
      <c r="B232" s="1605" t="s">
        <v>2162</v>
      </c>
      <c r="C232" s="2743" t="s">
        <v>2158</v>
      </c>
      <c r="D232" s="1771" t="s">
        <v>2207</v>
      </c>
      <c r="E232" s="2726" t="s">
        <v>691</v>
      </c>
      <c r="F232" s="2742">
        <v>1</v>
      </c>
      <c r="G232" s="1473"/>
      <c r="H232" s="1501">
        <f t="shared" si="3"/>
        <v>0</v>
      </c>
    </row>
    <row r="233" spans="1:8" ht="12.6" customHeight="1">
      <c r="A233" s="2684"/>
      <c r="B233" s="1605"/>
      <c r="C233" s="2743"/>
      <c r="D233" s="1771"/>
      <c r="E233" s="2726"/>
      <c r="F233" s="2742"/>
      <c r="G233" s="1473"/>
      <c r="H233" s="1501" t="str">
        <f t="shared" si="3"/>
        <v/>
      </c>
    </row>
    <row r="234" spans="1:8" ht="26.4">
      <c r="A234" s="2684"/>
      <c r="B234" s="1605" t="s">
        <v>2164</v>
      </c>
      <c r="C234" s="2743" t="s">
        <v>2158</v>
      </c>
      <c r="D234" s="1595" t="s">
        <v>2208</v>
      </c>
      <c r="E234" s="2726" t="s">
        <v>691</v>
      </c>
      <c r="F234" s="2742">
        <v>1</v>
      </c>
      <c r="G234" s="1473"/>
      <c r="H234" s="1501">
        <f t="shared" si="3"/>
        <v>0</v>
      </c>
    </row>
    <row r="235" spans="1:8" ht="12.6" customHeight="1">
      <c r="A235" s="2684"/>
      <c r="B235" s="1605"/>
      <c r="C235" s="2743"/>
      <c r="D235" s="1595"/>
      <c r="E235" s="2726"/>
      <c r="F235" s="2742"/>
      <c r="G235" s="1474"/>
      <c r="H235" s="1501" t="str">
        <f t="shared" si="3"/>
        <v/>
      </c>
    </row>
    <row r="236" spans="1:8" ht="26.4">
      <c r="A236" s="2684"/>
      <c r="B236" s="1605" t="s">
        <v>2166</v>
      </c>
      <c r="C236" s="2743" t="s">
        <v>2158</v>
      </c>
      <c r="D236" s="1595" t="s">
        <v>2209</v>
      </c>
      <c r="E236" s="2726" t="s">
        <v>976</v>
      </c>
      <c r="F236" s="2742">
        <v>1</v>
      </c>
      <c r="G236" s="1474"/>
      <c r="H236" s="1501">
        <f t="shared" si="3"/>
        <v>0</v>
      </c>
    </row>
    <row r="237" spans="1:8" ht="12.6" customHeight="1">
      <c r="A237" s="2684"/>
      <c r="B237" s="1604"/>
      <c r="C237" s="1594"/>
      <c r="D237" s="2722"/>
      <c r="E237" s="2732"/>
      <c r="F237" s="2759"/>
      <c r="G237" s="1472"/>
      <c r="H237" s="1501" t="str">
        <f t="shared" si="3"/>
        <v/>
      </c>
    </row>
    <row r="238" spans="1:8">
      <c r="A238" s="2684">
        <f>$A$4</f>
        <v>19</v>
      </c>
      <c r="B238" s="2684">
        <v>2</v>
      </c>
      <c r="C238" s="1594"/>
      <c r="D238" s="2723" t="s">
        <v>2210</v>
      </c>
      <c r="E238" s="2732"/>
      <c r="F238" s="2759"/>
      <c r="G238" s="1472"/>
      <c r="H238" s="1592"/>
    </row>
    <row r="239" spans="1:8" ht="12.6" customHeight="1">
      <c r="A239" s="2684"/>
      <c r="B239" s="1604"/>
      <c r="C239" s="1594"/>
      <c r="D239" s="2722"/>
      <c r="E239" s="2732"/>
      <c r="F239" s="2759"/>
      <c r="G239" s="1472"/>
      <c r="H239" s="2720"/>
    </row>
    <row r="240" spans="1:8" ht="12.6" customHeight="1">
      <c r="A240" s="2684">
        <f>$A$4</f>
        <v>19</v>
      </c>
      <c r="B240" s="2684">
        <v>2.1</v>
      </c>
      <c r="C240" s="1594"/>
      <c r="D240" s="2723" t="s">
        <v>2211</v>
      </c>
      <c r="E240" s="2732"/>
      <c r="F240" s="2733"/>
      <c r="G240" s="1472"/>
      <c r="H240" s="2720"/>
    </row>
    <row r="241" spans="1:8">
      <c r="A241" s="2684"/>
      <c r="B241" s="1604"/>
      <c r="C241" s="1594"/>
      <c r="D241" s="2722"/>
      <c r="E241" s="2732"/>
      <c r="F241" s="2733"/>
      <c r="G241" s="1472"/>
      <c r="H241" s="2720"/>
    </row>
    <row r="242" spans="1:8" ht="39.6">
      <c r="A242" s="2684"/>
      <c r="B242" s="1593"/>
      <c r="C242" s="1594" t="s">
        <v>2175</v>
      </c>
      <c r="D242" s="1595" t="s">
        <v>2212</v>
      </c>
      <c r="E242" s="2732"/>
      <c r="F242" s="2733"/>
      <c r="G242" s="1472"/>
      <c r="H242" s="2720"/>
    </row>
    <row r="243" spans="1:8" ht="12.6" customHeight="1">
      <c r="A243" s="1586"/>
      <c r="B243" s="1593"/>
      <c r="C243" s="1594"/>
      <c r="D243" s="1589"/>
      <c r="E243" s="2734"/>
      <c r="F243" s="1597"/>
      <c r="G243" s="1473"/>
      <c r="H243" s="2747"/>
    </row>
    <row r="244" spans="1:8">
      <c r="A244" s="1586"/>
      <c r="B244" s="1271"/>
      <c r="C244" s="1792"/>
      <c r="D244" s="2647"/>
      <c r="E244" s="882"/>
      <c r="F244" s="1577"/>
      <c r="G244" s="1476"/>
      <c r="H244" s="902"/>
    </row>
    <row r="245" spans="1:8">
      <c r="A245" s="2333"/>
      <c r="B245" s="822"/>
      <c r="C245" s="1158"/>
      <c r="D245" s="840"/>
      <c r="E245" s="837"/>
      <c r="F245" s="838"/>
      <c r="G245" s="2748"/>
      <c r="H245" s="2749"/>
    </row>
    <row r="246" spans="1:8" ht="12.6" customHeight="1">
      <c r="A246" s="2336"/>
      <c r="B246" s="823"/>
      <c r="C246" s="1159"/>
      <c r="D246" s="774" t="s">
        <v>289</v>
      </c>
      <c r="E246" s="426"/>
      <c r="F246" s="24"/>
      <c r="G246" s="1477"/>
      <c r="H246" s="2750">
        <f>SUM(H188:H244)</f>
        <v>0</v>
      </c>
    </row>
    <row r="247" spans="1:8">
      <c r="A247" s="2684"/>
      <c r="B247" s="1271"/>
      <c r="C247" s="1155"/>
      <c r="D247" s="2751" t="s">
        <v>290</v>
      </c>
      <c r="E247" s="147"/>
      <c r="F247" s="1577"/>
      <c r="G247" s="1478"/>
      <c r="H247" s="896">
        <f>H246</f>
        <v>0</v>
      </c>
    </row>
    <row r="248" spans="1:8">
      <c r="A248" s="2760"/>
      <c r="B248" s="1271"/>
      <c r="C248" s="1155"/>
      <c r="D248" s="2751"/>
      <c r="E248" s="147"/>
      <c r="F248" s="1577"/>
      <c r="G248" s="1478"/>
      <c r="H248" s="897"/>
    </row>
    <row r="249" spans="1:8" ht="28.8">
      <c r="A249" s="1586"/>
      <c r="B249" s="1593" t="s">
        <v>2162</v>
      </c>
      <c r="C249" s="1594" t="s">
        <v>2175</v>
      </c>
      <c r="D249" s="1589" t="s">
        <v>2213</v>
      </c>
      <c r="E249" s="1596" t="s">
        <v>561</v>
      </c>
      <c r="F249" s="1597">
        <v>200</v>
      </c>
      <c r="G249" s="1473"/>
      <c r="H249" s="1501">
        <f t="shared" ref="H249:H312" si="4">IF(E249="","",ROUND(F249*G249,2))</f>
        <v>0</v>
      </c>
    </row>
    <row r="250" spans="1:8">
      <c r="A250" s="2760"/>
      <c r="B250" s="1271"/>
      <c r="C250" s="1155"/>
      <c r="D250" s="2751"/>
      <c r="E250" s="147"/>
      <c r="F250" s="1577"/>
      <c r="G250" s="1478"/>
      <c r="H250" s="1501" t="str">
        <f t="shared" si="4"/>
        <v/>
      </c>
    </row>
    <row r="251" spans="1:8" ht="15.6">
      <c r="A251" s="1586"/>
      <c r="B251" s="1593" t="s">
        <v>2164</v>
      </c>
      <c r="C251" s="1594" t="s">
        <v>2175</v>
      </c>
      <c r="D251" s="1589" t="s">
        <v>2214</v>
      </c>
      <c r="E251" s="2734" t="s">
        <v>561</v>
      </c>
      <c r="F251" s="1597">
        <v>200</v>
      </c>
      <c r="G251" s="1473"/>
      <c r="H251" s="1501">
        <f t="shared" si="4"/>
        <v>0</v>
      </c>
    </row>
    <row r="252" spans="1:8" ht="12.6" customHeight="1">
      <c r="A252" s="1586"/>
      <c r="B252" s="1593"/>
      <c r="C252" s="1594"/>
      <c r="D252" s="2746"/>
      <c r="E252" s="905"/>
      <c r="F252" s="1597"/>
      <c r="G252" s="1472"/>
      <c r="H252" s="1501" t="str">
        <f t="shared" si="4"/>
        <v/>
      </c>
    </row>
    <row r="253" spans="1:8" ht="28.8">
      <c r="A253" s="1586"/>
      <c r="B253" s="1593" t="s">
        <v>2166</v>
      </c>
      <c r="C253" s="1594" t="s">
        <v>2175</v>
      </c>
      <c r="D253" s="1589" t="s">
        <v>2215</v>
      </c>
      <c r="E253" s="1596" t="s">
        <v>561</v>
      </c>
      <c r="F253" s="1604">
        <v>200</v>
      </c>
      <c r="G253" s="1472"/>
      <c r="H253" s="1501">
        <f t="shared" si="4"/>
        <v>0</v>
      </c>
    </row>
    <row r="254" spans="1:8">
      <c r="A254" s="2684"/>
      <c r="B254" s="1593"/>
      <c r="C254" s="1594"/>
      <c r="D254" s="1595"/>
      <c r="E254" s="2732"/>
      <c r="F254" s="1597"/>
      <c r="G254" s="1473"/>
      <c r="H254" s="1501" t="str">
        <f t="shared" si="4"/>
        <v/>
      </c>
    </row>
    <row r="255" spans="1:8" ht="12.6" customHeight="1">
      <c r="A255" s="2684">
        <f>$A$4</f>
        <v>19</v>
      </c>
      <c r="B255" s="2684">
        <v>2.2000000000000002</v>
      </c>
      <c r="C255" s="1594"/>
      <c r="D255" s="2723" t="s">
        <v>2216</v>
      </c>
      <c r="E255" s="2732"/>
      <c r="F255" s="1604"/>
      <c r="G255" s="1472"/>
      <c r="H255" s="1501" t="str">
        <f t="shared" si="4"/>
        <v/>
      </c>
    </row>
    <row r="256" spans="1:8">
      <c r="A256" s="2684"/>
      <c r="B256" s="1593"/>
      <c r="C256" s="1594"/>
      <c r="D256" s="2722"/>
      <c r="E256" s="2732"/>
      <c r="F256" s="1604"/>
      <c r="G256" s="1472"/>
      <c r="H256" s="1501" t="str">
        <f t="shared" si="4"/>
        <v/>
      </c>
    </row>
    <row r="257" spans="1:8" ht="26.4">
      <c r="A257" s="2684"/>
      <c r="B257" s="1593"/>
      <c r="C257" s="1594" t="s">
        <v>2175</v>
      </c>
      <c r="D257" s="1595" t="s">
        <v>2197</v>
      </c>
      <c r="E257" s="2732"/>
      <c r="F257" s="1597"/>
      <c r="G257" s="1473"/>
      <c r="H257" s="1501" t="str">
        <f t="shared" si="4"/>
        <v/>
      </c>
    </row>
    <row r="258" spans="1:8" ht="12.6" customHeight="1">
      <c r="A258" s="2684"/>
      <c r="B258" s="1593"/>
      <c r="C258" s="1594"/>
      <c r="D258" s="1600"/>
      <c r="E258" s="906"/>
      <c r="F258" s="2761"/>
      <c r="G258" s="1473"/>
      <c r="H258" s="1501" t="str">
        <f t="shared" si="4"/>
        <v/>
      </c>
    </row>
    <row r="259" spans="1:8" ht="15.6">
      <c r="A259" s="2684"/>
      <c r="B259" s="1593" t="s">
        <v>2162</v>
      </c>
      <c r="C259" s="2684" t="s">
        <v>2175</v>
      </c>
      <c r="D259" s="1589" t="s">
        <v>2217</v>
      </c>
      <c r="E259" s="2734" t="s">
        <v>691</v>
      </c>
      <c r="F259" s="2730">
        <v>2</v>
      </c>
      <c r="G259" s="1472"/>
      <c r="H259" s="1501">
        <f t="shared" si="4"/>
        <v>0</v>
      </c>
    </row>
    <row r="260" spans="1:8" ht="12.6" customHeight="1">
      <c r="A260" s="2684"/>
      <c r="B260" s="1593"/>
      <c r="C260" s="2684"/>
      <c r="D260" s="1589"/>
      <c r="E260" s="2734"/>
      <c r="F260" s="2730"/>
      <c r="G260" s="1472"/>
      <c r="H260" s="1501" t="str">
        <f t="shared" si="4"/>
        <v/>
      </c>
    </row>
    <row r="261" spans="1:8" ht="15.6">
      <c r="A261" s="2684"/>
      <c r="B261" s="1593" t="s">
        <v>2164</v>
      </c>
      <c r="C261" s="2684" t="s">
        <v>2175</v>
      </c>
      <c r="D261" s="1589" t="s">
        <v>2218</v>
      </c>
      <c r="E261" s="2734" t="s">
        <v>691</v>
      </c>
      <c r="F261" s="2730">
        <v>2</v>
      </c>
      <c r="G261" s="1472"/>
      <c r="H261" s="1501">
        <f t="shared" si="4"/>
        <v>0</v>
      </c>
    </row>
    <row r="262" spans="1:8" ht="12.6" customHeight="1">
      <c r="A262" s="2684"/>
      <c r="B262" s="1593"/>
      <c r="C262" s="2684"/>
      <c r="D262" s="1589"/>
      <c r="E262" s="2734"/>
      <c r="F262" s="2730"/>
      <c r="G262" s="1472"/>
      <c r="H262" s="1501" t="str">
        <f t="shared" si="4"/>
        <v/>
      </c>
    </row>
    <row r="263" spans="1:8" ht="15.6">
      <c r="A263" s="2684"/>
      <c r="B263" s="1593" t="s">
        <v>2166</v>
      </c>
      <c r="C263" s="2684" t="s">
        <v>2175</v>
      </c>
      <c r="D263" s="1589" t="s">
        <v>2219</v>
      </c>
      <c r="E263" s="2734" t="s">
        <v>691</v>
      </c>
      <c r="F263" s="1604">
        <v>2</v>
      </c>
      <c r="G263" s="1473"/>
      <c r="H263" s="1501">
        <f t="shared" si="4"/>
        <v>0</v>
      </c>
    </row>
    <row r="264" spans="1:8" ht="12.6" customHeight="1">
      <c r="A264" s="2684"/>
      <c r="B264" s="1593"/>
      <c r="C264" s="1594"/>
      <c r="D264" s="1595"/>
      <c r="E264" s="2762"/>
      <c r="F264" s="1604"/>
      <c r="G264" s="1474"/>
      <c r="H264" s="1501" t="str">
        <f t="shared" si="4"/>
        <v/>
      </c>
    </row>
    <row r="265" spans="1:8" ht="12.6" customHeight="1">
      <c r="A265" s="2684">
        <f>$A$4</f>
        <v>19</v>
      </c>
      <c r="B265" s="2684">
        <v>2.2999999999999998</v>
      </c>
      <c r="C265" s="1594"/>
      <c r="D265" s="2723" t="s">
        <v>2220</v>
      </c>
      <c r="E265" s="2732"/>
      <c r="F265" s="2735"/>
      <c r="G265" s="1473"/>
      <c r="H265" s="1501" t="str">
        <f t="shared" si="4"/>
        <v/>
      </c>
    </row>
    <row r="266" spans="1:8" ht="12.6" customHeight="1">
      <c r="A266" s="2684"/>
      <c r="B266" s="1593"/>
      <c r="C266" s="1594"/>
      <c r="D266" s="2722"/>
      <c r="E266" s="2732"/>
      <c r="F266" s="2735"/>
      <c r="G266" s="1473"/>
      <c r="H266" s="1501" t="str">
        <f t="shared" si="4"/>
        <v/>
      </c>
    </row>
    <row r="267" spans="1:8" ht="16.2">
      <c r="A267" s="2684"/>
      <c r="B267" s="1593" t="s">
        <v>2162</v>
      </c>
      <c r="C267" s="1594" t="s">
        <v>2221</v>
      </c>
      <c r="D267" s="1595" t="s">
        <v>2222</v>
      </c>
      <c r="E267" s="2762" t="s">
        <v>631</v>
      </c>
      <c r="F267" s="1604">
        <v>50</v>
      </c>
      <c r="G267" s="1474"/>
      <c r="H267" s="1501">
        <f t="shared" si="4"/>
        <v>0</v>
      </c>
    </row>
    <row r="268" spans="1:8">
      <c r="A268" s="2684"/>
      <c r="B268" s="1593"/>
      <c r="C268" s="1594"/>
      <c r="D268" s="1595"/>
      <c r="E268" s="2762"/>
      <c r="F268" s="1604"/>
      <c r="G268" s="1474"/>
      <c r="H268" s="1501" t="str">
        <f t="shared" si="4"/>
        <v/>
      </c>
    </row>
    <row r="269" spans="1:8" ht="16.2">
      <c r="A269" s="2684"/>
      <c r="B269" s="1604" t="s">
        <v>2164</v>
      </c>
      <c r="C269" s="1594" t="s">
        <v>2221</v>
      </c>
      <c r="D269" s="1595" t="s">
        <v>2223</v>
      </c>
      <c r="E269" s="2762" t="s">
        <v>631</v>
      </c>
      <c r="F269" s="1604">
        <v>50</v>
      </c>
      <c r="G269" s="1479"/>
      <c r="H269" s="1501">
        <f t="shared" si="4"/>
        <v>0</v>
      </c>
    </row>
    <row r="270" spans="1:8">
      <c r="A270" s="2684"/>
      <c r="B270" s="2684"/>
      <c r="C270" s="1594"/>
      <c r="D270" s="1595"/>
      <c r="E270" s="2732"/>
      <c r="F270" s="2673"/>
      <c r="G270" s="1472"/>
      <c r="H270" s="1501" t="str">
        <f t="shared" si="4"/>
        <v/>
      </c>
    </row>
    <row r="271" spans="1:8" ht="12.6" customHeight="1">
      <c r="A271" s="2684">
        <f>$A$4</f>
        <v>19</v>
      </c>
      <c r="B271" s="2684">
        <v>2.4</v>
      </c>
      <c r="C271" s="1594"/>
      <c r="D271" s="2723" t="s">
        <v>2224</v>
      </c>
      <c r="E271" s="1596"/>
      <c r="F271" s="2763"/>
      <c r="G271" s="1472"/>
      <c r="H271" s="1501" t="str">
        <f t="shared" si="4"/>
        <v/>
      </c>
    </row>
    <row r="272" spans="1:8" ht="12.6" customHeight="1">
      <c r="A272" s="2684"/>
      <c r="B272" s="2684"/>
      <c r="C272" s="1594"/>
      <c r="D272" s="2722"/>
      <c r="E272" s="1596"/>
      <c r="F272" s="2763"/>
      <c r="G272" s="1472"/>
      <c r="H272" s="1501" t="str">
        <f t="shared" si="4"/>
        <v/>
      </c>
    </row>
    <row r="273" spans="1:8" ht="12.6" customHeight="1">
      <c r="A273" s="2684"/>
      <c r="B273" s="1593" t="s">
        <v>2162</v>
      </c>
      <c r="C273" s="1594" t="s">
        <v>2225</v>
      </c>
      <c r="D273" s="1595" t="s">
        <v>2226</v>
      </c>
      <c r="E273" s="1596" t="s">
        <v>691</v>
      </c>
      <c r="F273" s="1604">
        <v>10</v>
      </c>
      <c r="G273" s="1474"/>
      <c r="H273" s="1501">
        <f t="shared" si="4"/>
        <v>0</v>
      </c>
    </row>
    <row r="274" spans="1:8">
      <c r="A274" s="2684"/>
      <c r="B274" s="1593"/>
      <c r="C274" s="1594"/>
      <c r="D274" s="1595"/>
      <c r="E274" s="1596"/>
      <c r="F274" s="2673"/>
      <c r="G274" s="1473"/>
      <c r="H274" s="1501" t="str">
        <f t="shared" si="4"/>
        <v/>
      </c>
    </row>
    <row r="275" spans="1:8" ht="12.6" customHeight="1">
      <c r="A275" s="2684">
        <f>$A$4</f>
        <v>19</v>
      </c>
      <c r="B275" s="2684">
        <v>2.5</v>
      </c>
      <c r="C275" s="1594"/>
      <c r="D275" s="2723" t="s">
        <v>2227</v>
      </c>
      <c r="E275" s="1596"/>
      <c r="F275" s="2673"/>
      <c r="G275" s="1472"/>
      <c r="H275" s="1501" t="str">
        <f t="shared" si="4"/>
        <v/>
      </c>
    </row>
    <row r="276" spans="1:8" ht="12.6" customHeight="1">
      <c r="A276" s="2684"/>
      <c r="B276" s="2684"/>
      <c r="C276" s="1594"/>
      <c r="D276" s="2723"/>
      <c r="E276" s="1596"/>
      <c r="F276" s="2673"/>
      <c r="G276" s="1472"/>
      <c r="H276" s="1501" t="str">
        <f t="shared" si="4"/>
        <v/>
      </c>
    </row>
    <row r="277" spans="1:8" ht="26.4">
      <c r="A277" s="2684"/>
      <c r="B277" s="1593"/>
      <c r="C277" s="1594" t="s">
        <v>2228</v>
      </c>
      <c r="D277" s="1595" t="s">
        <v>2229</v>
      </c>
      <c r="E277" s="1596"/>
      <c r="F277" s="2673"/>
      <c r="G277" s="1474"/>
      <c r="H277" s="1501" t="str">
        <f t="shared" si="4"/>
        <v/>
      </c>
    </row>
    <row r="278" spans="1:8" ht="12.6" customHeight="1">
      <c r="A278" s="2684"/>
      <c r="B278" s="1593"/>
      <c r="C278" s="1594"/>
      <c r="D278" s="1595"/>
      <c r="E278" s="1596"/>
      <c r="F278" s="1597"/>
      <c r="G278" s="1473"/>
      <c r="H278" s="1501" t="str">
        <f t="shared" si="4"/>
        <v/>
      </c>
    </row>
    <row r="279" spans="1:8" ht="12.6" customHeight="1">
      <c r="A279" s="2684"/>
      <c r="B279" s="1593" t="s">
        <v>2162</v>
      </c>
      <c r="C279" s="1594" t="s">
        <v>2228</v>
      </c>
      <c r="D279" s="1595" t="s">
        <v>2230</v>
      </c>
      <c r="E279" s="1596" t="s">
        <v>561</v>
      </c>
      <c r="F279" s="1597">
        <v>20</v>
      </c>
      <c r="G279" s="1472"/>
      <c r="H279" s="1501">
        <f t="shared" si="4"/>
        <v>0</v>
      </c>
    </row>
    <row r="280" spans="1:8" ht="12.6" customHeight="1">
      <c r="A280" s="2684"/>
      <c r="B280" s="1593"/>
      <c r="C280" s="1594"/>
      <c r="D280" s="1595"/>
      <c r="E280" s="1596"/>
      <c r="F280" s="1597"/>
      <c r="G280" s="1472"/>
      <c r="H280" s="1501" t="str">
        <f t="shared" si="4"/>
        <v/>
      </c>
    </row>
    <row r="281" spans="1:8" ht="12.6" customHeight="1">
      <c r="A281" s="2684"/>
      <c r="B281" s="1604" t="s">
        <v>2164</v>
      </c>
      <c r="C281" s="1594" t="s">
        <v>2228</v>
      </c>
      <c r="D281" s="1595" t="s">
        <v>2231</v>
      </c>
      <c r="E281" s="1596" t="s">
        <v>561</v>
      </c>
      <c r="F281" s="2724">
        <v>20</v>
      </c>
      <c r="G281" s="1472"/>
      <c r="H281" s="1501">
        <f t="shared" si="4"/>
        <v>0</v>
      </c>
    </row>
    <row r="282" spans="1:8" ht="12.6" customHeight="1">
      <c r="A282" s="2684"/>
      <c r="B282" s="1604"/>
      <c r="C282" s="1594"/>
      <c r="D282" s="1595"/>
      <c r="E282" s="1596"/>
      <c r="F282" s="2724"/>
      <c r="G282" s="1472"/>
      <c r="H282" s="1501" t="str">
        <f t="shared" si="4"/>
        <v/>
      </c>
    </row>
    <row r="283" spans="1:8" ht="15.6">
      <c r="A283" s="2684"/>
      <c r="B283" s="1604" t="s">
        <v>2166</v>
      </c>
      <c r="C283" s="1594" t="s">
        <v>2228</v>
      </c>
      <c r="D283" s="1595" t="s">
        <v>2232</v>
      </c>
      <c r="E283" s="1596" t="s">
        <v>691</v>
      </c>
      <c r="F283" s="2724">
        <v>4</v>
      </c>
      <c r="G283" s="1472"/>
      <c r="H283" s="1501">
        <f t="shared" si="4"/>
        <v>0</v>
      </c>
    </row>
    <row r="284" spans="1:8" ht="12.6" customHeight="1">
      <c r="A284" s="2684"/>
      <c r="B284" s="1604"/>
      <c r="C284" s="1594"/>
      <c r="D284" s="1595"/>
      <c r="E284" s="1596"/>
      <c r="F284" s="2724"/>
      <c r="G284" s="1472"/>
      <c r="H284" s="1501" t="str">
        <f t="shared" si="4"/>
        <v/>
      </c>
    </row>
    <row r="285" spans="1:8" ht="15.6">
      <c r="A285" s="2684"/>
      <c r="B285" s="1604" t="s">
        <v>2168</v>
      </c>
      <c r="C285" s="1594" t="s">
        <v>2228</v>
      </c>
      <c r="D285" s="1595" t="s">
        <v>2233</v>
      </c>
      <c r="E285" s="1596" t="s">
        <v>691</v>
      </c>
      <c r="F285" s="2724">
        <v>4</v>
      </c>
      <c r="G285" s="1474"/>
      <c r="H285" s="1501">
        <f t="shared" si="4"/>
        <v>0</v>
      </c>
    </row>
    <row r="286" spans="1:8" ht="12.6" customHeight="1">
      <c r="A286" s="2684"/>
      <c r="B286" s="1604"/>
      <c r="C286" s="1594"/>
      <c r="D286" s="1595"/>
      <c r="E286" s="1596"/>
      <c r="F286" s="2733"/>
      <c r="G286" s="1472"/>
      <c r="H286" s="1501" t="str">
        <f t="shared" si="4"/>
        <v/>
      </c>
    </row>
    <row r="287" spans="1:8" ht="12.6" customHeight="1">
      <c r="A287" s="2684">
        <f>$A$4</f>
        <v>19</v>
      </c>
      <c r="B287" s="2684">
        <v>2.6</v>
      </c>
      <c r="C287" s="1603"/>
      <c r="D287" s="2725" t="s">
        <v>2234</v>
      </c>
      <c r="E287" s="2764"/>
      <c r="F287" s="2765"/>
      <c r="G287" s="1472"/>
      <c r="H287" s="1501" t="str">
        <f t="shared" si="4"/>
        <v/>
      </c>
    </row>
    <row r="288" spans="1:8" ht="12.6" customHeight="1">
      <c r="A288" s="2684"/>
      <c r="B288" s="2684"/>
      <c r="C288" s="1603"/>
      <c r="D288" s="2745"/>
      <c r="E288" s="2764"/>
      <c r="F288" s="2765"/>
      <c r="G288" s="1472"/>
      <c r="H288" s="1501" t="str">
        <f t="shared" si="4"/>
        <v/>
      </c>
    </row>
    <row r="289" spans="1:8" ht="39.6">
      <c r="A289" s="2684"/>
      <c r="B289" s="2697"/>
      <c r="C289" s="1606" t="s">
        <v>2175</v>
      </c>
      <c r="D289" s="1589" t="s">
        <v>2235</v>
      </c>
      <c r="E289" s="2766"/>
      <c r="F289" s="2767"/>
      <c r="G289" s="1472"/>
      <c r="H289" s="1501" t="str">
        <f t="shared" si="4"/>
        <v/>
      </c>
    </row>
    <row r="290" spans="1:8" ht="12.6" customHeight="1">
      <c r="A290" s="2684"/>
      <c r="B290" s="1605"/>
      <c r="C290" s="1606"/>
      <c r="D290" s="1589"/>
      <c r="E290" s="2768"/>
      <c r="F290" s="1607"/>
      <c r="G290" s="1473"/>
      <c r="H290" s="1501" t="str">
        <f t="shared" si="4"/>
        <v/>
      </c>
    </row>
    <row r="291" spans="1:8" ht="15.6">
      <c r="A291" s="2684"/>
      <c r="B291" s="1605" t="s">
        <v>2162</v>
      </c>
      <c r="C291" s="1606" t="s">
        <v>2175</v>
      </c>
      <c r="D291" s="1589" t="s">
        <v>2218</v>
      </c>
      <c r="E291" s="2744" t="s">
        <v>691</v>
      </c>
      <c r="F291" s="1609">
        <v>1</v>
      </c>
      <c r="G291" s="1472"/>
      <c r="H291" s="1501">
        <f t="shared" si="4"/>
        <v>0</v>
      </c>
    </row>
    <row r="292" spans="1:8" ht="12.6" customHeight="1">
      <c r="A292" s="2684"/>
      <c r="B292" s="2737"/>
      <c r="C292" s="2738"/>
      <c r="D292" s="1595"/>
      <c r="E292" s="1596"/>
      <c r="F292" s="1604"/>
      <c r="G292" s="1473"/>
      <c r="H292" s="1501" t="str">
        <f t="shared" si="4"/>
        <v/>
      </c>
    </row>
    <row r="293" spans="1:8" ht="12.6" customHeight="1">
      <c r="A293" s="2684">
        <f>$A$4</f>
        <v>19</v>
      </c>
      <c r="B293" s="2684">
        <v>2.7</v>
      </c>
      <c r="C293" s="2741"/>
      <c r="D293" s="2723" t="s">
        <v>2236</v>
      </c>
      <c r="E293" s="2726"/>
      <c r="F293" s="2726"/>
      <c r="G293" s="1474"/>
      <c r="H293" s="1501" t="str">
        <f t="shared" si="4"/>
        <v/>
      </c>
    </row>
    <row r="294" spans="1:8">
      <c r="A294" s="2684"/>
      <c r="B294" s="2769"/>
      <c r="C294" s="2770"/>
      <c r="D294" s="2725"/>
      <c r="E294" s="1590"/>
      <c r="F294" s="1601"/>
      <c r="G294" s="1475"/>
      <c r="H294" s="1501" t="str">
        <f t="shared" si="4"/>
        <v/>
      </c>
    </row>
    <row r="295" spans="1:8" ht="26.4">
      <c r="A295" s="2684"/>
      <c r="B295" s="2737" t="s">
        <v>2162</v>
      </c>
      <c r="C295" s="2770" t="s">
        <v>2237</v>
      </c>
      <c r="D295" s="1589" t="s">
        <v>2238</v>
      </c>
      <c r="E295" s="1590" t="s">
        <v>691</v>
      </c>
      <c r="F295" s="1601">
        <v>1</v>
      </c>
      <c r="G295" s="1475"/>
      <c r="H295" s="1501">
        <f t="shared" si="4"/>
        <v>0</v>
      </c>
    </row>
    <row r="296" spans="1:8" ht="12.6" customHeight="1">
      <c r="A296" s="2684"/>
      <c r="B296" s="2769"/>
      <c r="C296" s="2770"/>
      <c r="D296" s="1589"/>
      <c r="E296" s="1590"/>
      <c r="F296" s="1601"/>
      <c r="G296" s="1475"/>
      <c r="H296" s="1501" t="str">
        <f t="shared" si="4"/>
        <v/>
      </c>
    </row>
    <row r="297" spans="1:8" ht="12.6" customHeight="1">
      <c r="A297" s="2684"/>
      <c r="B297" s="2769" t="s">
        <v>2164</v>
      </c>
      <c r="C297" s="2770" t="s">
        <v>2237</v>
      </c>
      <c r="D297" s="1589" t="s">
        <v>2239</v>
      </c>
      <c r="E297" s="1590" t="s">
        <v>691</v>
      </c>
      <c r="F297" s="1601">
        <v>1</v>
      </c>
      <c r="G297" s="1472"/>
      <c r="H297" s="1501">
        <f t="shared" si="4"/>
        <v>0</v>
      </c>
    </row>
    <row r="298" spans="1:8" ht="12.6" customHeight="1">
      <c r="A298" s="2684"/>
      <c r="B298" s="2769"/>
      <c r="C298" s="2770"/>
      <c r="D298" s="1589"/>
      <c r="E298" s="907"/>
      <c r="F298" s="1601"/>
      <c r="G298" s="1472"/>
      <c r="H298" s="1501" t="str">
        <f t="shared" si="4"/>
        <v/>
      </c>
    </row>
    <row r="299" spans="1:8" ht="12.6" customHeight="1">
      <c r="A299" s="2684">
        <f>$A$4</f>
        <v>19</v>
      </c>
      <c r="B299" s="2771">
        <v>3</v>
      </c>
      <c r="C299" s="2771"/>
      <c r="D299" s="2723" t="s">
        <v>2240</v>
      </c>
      <c r="E299" s="2772"/>
      <c r="F299" s="2772"/>
      <c r="G299" s="1472"/>
      <c r="H299" s="1501" t="str">
        <f t="shared" si="4"/>
        <v/>
      </c>
    </row>
    <row r="300" spans="1:8" ht="12.6" customHeight="1">
      <c r="A300" s="2684"/>
      <c r="B300" s="2772"/>
      <c r="C300" s="2771"/>
      <c r="D300" s="908"/>
      <c r="E300" s="2772"/>
      <c r="F300" s="2772"/>
      <c r="G300" s="1472"/>
      <c r="H300" s="1501" t="str">
        <f t="shared" si="4"/>
        <v/>
      </c>
    </row>
    <row r="301" spans="1:8" ht="12.6" customHeight="1">
      <c r="A301" s="2684">
        <f>$A$4</f>
        <v>19</v>
      </c>
      <c r="B301" s="2771">
        <v>3.1</v>
      </c>
      <c r="C301" s="2771"/>
      <c r="D301" s="909" t="s">
        <v>2241</v>
      </c>
      <c r="E301" s="2772"/>
      <c r="F301" s="2772"/>
      <c r="G301" s="1472"/>
      <c r="H301" s="1501" t="str">
        <f t="shared" si="4"/>
        <v/>
      </c>
    </row>
    <row r="302" spans="1:8" ht="12.6" customHeight="1">
      <c r="A302" s="2684"/>
      <c r="B302" s="2772"/>
      <c r="C302" s="2771"/>
      <c r="D302" s="910"/>
      <c r="E302" s="2772"/>
      <c r="F302" s="2772"/>
      <c r="G302" s="1472"/>
      <c r="H302" s="1501" t="str">
        <f t="shared" si="4"/>
        <v/>
      </c>
    </row>
    <row r="303" spans="1:8" ht="28.8">
      <c r="A303" s="2684"/>
      <c r="B303" s="2772" t="s">
        <v>2162</v>
      </c>
      <c r="C303" s="2771" t="s">
        <v>2184</v>
      </c>
      <c r="D303" s="1589" t="s">
        <v>2191</v>
      </c>
      <c r="E303" s="1605" t="s">
        <v>561</v>
      </c>
      <c r="F303" s="2742">
        <v>8</v>
      </c>
      <c r="G303" s="1472"/>
      <c r="H303" s="1501">
        <f t="shared" si="4"/>
        <v>0</v>
      </c>
    </row>
    <row r="304" spans="1:8" ht="12.6" customHeight="1">
      <c r="A304" s="1586"/>
      <c r="B304" s="2772"/>
      <c r="C304" s="2771"/>
      <c r="D304" s="1589"/>
      <c r="E304" s="1590"/>
      <c r="F304" s="1601"/>
      <c r="G304" s="1472"/>
      <c r="H304" s="1501" t="str">
        <f t="shared" si="4"/>
        <v/>
      </c>
    </row>
    <row r="305" spans="1:8" ht="15.6">
      <c r="A305" s="1586"/>
      <c r="B305" s="2772" t="s">
        <v>2164</v>
      </c>
      <c r="C305" s="2771" t="s">
        <v>2184</v>
      </c>
      <c r="D305" s="1589" t="s">
        <v>2194</v>
      </c>
      <c r="E305" s="911" t="s">
        <v>691</v>
      </c>
      <c r="F305" s="2742">
        <v>2</v>
      </c>
      <c r="G305" s="1472"/>
      <c r="H305" s="1501">
        <f t="shared" si="4"/>
        <v>0</v>
      </c>
    </row>
    <row r="306" spans="1:8">
      <c r="A306" s="2684"/>
      <c r="B306" s="2772"/>
      <c r="C306" s="2771"/>
      <c r="D306" s="1595"/>
      <c r="E306" s="2744"/>
      <c r="F306" s="1609"/>
      <c r="G306" s="1480"/>
      <c r="H306" s="1501" t="str">
        <f t="shared" si="4"/>
        <v/>
      </c>
    </row>
    <row r="307" spans="1:8">
      <c r="A307" s="2684">
        <f>$A$4</f>
        <v>19</v>
      </c>
      <c r="B307" s="2771">
        <v>3.2</v>
      </c>
      <c r="C307" s="2771"/>
      <c r="D307" s="2725" t="s">
        <v>2242</v>
      </c>
      <c r="E307" s="2744"/>
      <c r="F307" s="1609"/>
      <c r="G307" s="1480"/>
      <c r="H307" s="1501" t="str">
        <f t="shared" si="4"/>
        <v/>
      </c>
    </row>
    <row r="308" spans="1:8">
      <c r="A308" s="2684"/>
      <c r="B308" s="2772"/>
      <c r="C308" s="2771"/>
      <c r="D308" s="912"/>
      <c r="E308" s="2744"/>
      <c r="F308" s="1609"/>
      <c r="G308" s="1480"/>
      <c r="H308" s="1501" t="str">
        <f t="shared" si="4"/>
        <v/>
      </c>
    </row>
    <row r="309" spans="1:8" ht="26.4">
      <c r="A309" s="2684"/>
      <c r="B309" s="1604" t="s">
        <v>2162</v>
      </c>
      <c r="C309" s="1594" t="s">
        <v>2243</v>
      </c>
      <c r="D309" s="1595" t="s">
        <v>2244</v>
      </c>
      <c r="E309" s="1596" t="s">
        <v>976</v>
      </c>
      <c r="F309" s="2730">
        <v>1</v>
      </c>
      <c r="G309" s="1480"/>
      <c r="H309" s="1501">
        <f t="shared" si="4"/>
        <v>0</v>
      </c>
    </row>
    <row r="310" spans="1:8">
      <c r="A310" s="2684"/>
      <c r="B310" s="1593"/>
      <c r="C310" s="1594"/>
      <c r="D310" s="1595"/>
      <c r="E310" s="2732"/>
      <c r="F310" s="2733"/>
      <c r="G310" s="1480"/>
      <c r="H310" s="1501" t="str">
        <f t="shared" si="4"/>
        <v/>
      </c>
    </row>
    <row r="311" spans="1:8">
      <c r="A311" s="2684"/>
      <c r="B311" s="2772"/>
      <c r="C311" s="2771"/>
      <c r="D311" s="910" t="s">
        <v>2245</v>
      </c>
      <c r="E311" s="2772"/>
      <c r="F311" s="2772"/>
      <c r="G311" s="1480"/>
      <c r="H311" s="1501" t="str">
        <f t="shared" si="4"/>
        <v/>
      </c>
    </row>
    <row r="312" spans="1:8" ht="12.6" customHeight="1">
      <c r="A312" s="2684"/>
      <c r="B312" s="2772"/>
      <c r="C312" s="2771"/>
      <c r="D312" s="910"/>
      <c r="E312" s="2772"/>
      <c r="F312" s="2772"/>
      <c r="G312" s="1480"/>
      <c r="H312" s="1501" t="str">
        <f t="shared" si="4"/>
        <v/>
      </c>
    </row>
    <row r="313" spans="1:8" ht="26.4">
      <c r="A313" s="2684"/>
      <c r="B313" s="2772"/>
      <c r="C313" s="2771" t="s">
        <v>2243</v>
      </c>
      <c r="D313" s="1600" t="s">
        <v>2246</v>
      </c>
      <c r="E313" s="911"/>
      <c r="F313" s="2742"/>
      <c r="G313" s="1480"/>
      <c r="H313" s="1501" t="str">
        <f t="shared" ref="H313:H315" si="5">IF(E313="","",ROUND(F313*G313,2))</f>
        <v/>
      </c>
    </row>
    <row r="314" spans="1:8" ht="12.6" customHeight="1">
      <c r="A314" s="2684"/>
      <c r="B314" s="2772"/>
      <c r="C314" s="2771"/>
      <c r="D314" s="2773"/>
      <c r="E314" s="913"/>
      <c r="F314" s="2772"/>
      <c r="G314" s="1480"/>
      <c r="H314" s="1501" t="str">
        <f t="shared" si="5"/>
        <v/>
      </c>
    </row>
    <row r="315" spans="1:8">
      <c r="A315" s="2684"/>
      <c r="B315" s="2772" t="s">
        <v>2164</v>
      </c>
      <c r="C315" s="2771" t="s">
        <v>2243</v>
      </c>
      <c r="D315" s="2773" t="s">
        <v>2247</v>
      </c>
      <c r="E315" s="913" t="s">
        <v>561</v>
      </c>
      <c r="F315" s="2772">
        <v>14</v>
      </c>
      <c r="G315" s="1480"/>
      <c r="H315" s="1501">
        <f t="shared" si="5"/>
        <v>0</v>
      </c>
    </row>
    <row r="316" spans="1:8" ht="12.6" customHeight="1">
      <c r="A316" s="2760"/>
      <c r="B316" s="2772"/>
      <c r="C316" s="2771"/>
      <c r="D316" s="2773"/>
      <c r="E316" s="913"/>
      <c r="F316" s="2772"/>
      <c r="G316" s="1480"/>
      <c r="H316" s="914"/>
    </row>
    <row r="317" spans="1:8" ht="12.6" customHeight="1">
      <c r="A317" s="2333"/>
      <c r="B317" s="822"/>
      <c r="C317" s="1158"/>
      <c r="D317" s="840"/>
      <c r="E317" s="837"/>
      <c r="F317" s="838"/>
      <c r="G317" s="2748"/>
      <c r="H317" s="2749"/>
    </row>
    <row r="318" spans="1:8">
      <c r="A318" s="2336"/>
      <c r="B318" s="823"/>
      <c r="C318" s="1159"/>
      <c r="D318" s="774" t="s">
        <v>289</v>
      </c>
      <c r="E318" s="426"/>
      <c r="F318" s="24"/>
      <c r="G318" s="1477"/>
      <c r="H318" s="2750">
        <f>SUM(H247:H316)</f>
        <v>0</v>
      </c>
    </row>
    <row r="319" spans="1:8" ht="12.6" customHeight="1">
      <c r="A319" s="1586"/>
      <c r="B319" s="1271"/>
      <c r="C319" s="1155"/>
      <c r="D319" s="2751" t="s">
        <v>290</v>
      </c>
      <c r="E319" s="147"/>
      <c r="F319" s="1577"/>
      <c r="G319" s="1478"/>
      <c r="H319" s="896">
        <f>H318</f>
        <v>0</v>
      </c>
    </row>
    <row r="320" spans="1:8" ht="12.6" customHeight="1">
      <c r="A320" s="2684"/>
      <c r="B320" s="2772"/>
      <c r="C320" s="2771"/>
      <c r="D320" s="2773"/>
      <c r="E320" s="913"/>
      <c r="F320" s="2772"/>
      <c r="G320" s="1480"/>
      <c r="H320" s="914"/>
    </row>
    <row r="321" spans="1:8">
      <c r="A321" s="2684"/>
      <c r="B321" s="2772" t="s">
        <v>2166</v>
      </c>
      <c r="C321" s="2771" t="s">
        <v>2243</v>
      </c>
      <c r="D321" s="2773" t="s">
        <v>2248</v>
      </c>
      <c r="E321" s="913" t="s">
        <v>691</v>
      </c>
      <c r="F321" s="2772">
        <v>1</v>
      </c>
      <c r="G321" s="1480"/>
      <c r="H321" s="1501">
        <f t="shared" ref="H321:H384" si="6">IF(E321="","",ROUND(F321*G321,2))</f>
        <v>0</v>
      </c>
    </row>
    <row r="322" spans="1:8">
      <c r="A322" s="2684"/>
      <c r="B322" s="2772"/>
      <c r="C322" s="2771"/>
      <c r="D322" s="908"/>
      <c r="E322" s="2772"/>
      <c r="F322" s="2772"/>
      <c r="G322" s="1480"/>
      <c r="H322" s="1501" t="str">
        <f t="shared" si="6"/>
        <v/>
      </c>
    </row>
    <row r="323" spans="1:8">
      <c r="A323" s="2684"/>
      <c r="B323" s="2772" t="s">
        <v>2168</v>
      </c>
      <c r="C323" s="2771" t="s">
        <v>2243</v>
      </c>
      <c r="D323" s="908" t="s">
        <v>2249</v>
      </c>
      <c r="E323" s="2772" t="s">
        <v>691</v>
      </c>
      <c r="F323" s="2772">
        <v>1</v>
      </c>
      <c r="G323" s="1480"/>
      <c r="H323" s="1501">
        <f t="shared" si="6"/>
        <v>0</v>
      </c>
    </row>
    <row r="324" spans="1:8">
      <c r="A324" s="2684"/>
      <c r="B324" s="2772"/>
      <c r="C324" s="2771"/>
      <c r="D324" s="908"/>
      <c r="E324" s="2772"/>
      <c r="F324" s="2772"/>
      <c r="G324" s="1480"/>
      <c r="H324" s="1501" t="str">
        <f t="shared" si="6"/>
        <v/>
      </c>
    </row>
    <row r="325" spans="1:8">
      <c r="A325" s="2684"/>
      <c r="B325" s="2772" t="s">
        <v>2171</v>
      </c>
      <c r="C325" s="2771" t="s">
        <v>2243</v>
      </c>
      <c r="D325" s="908" t="s">
        <v>2250</v>
      </c>
      <c r="E325" s="2772" t="s">
        <v>691</v>
      </c>
      <c r="F325" s="2772">
        <v>1</v>
      </c>
      <c r="G325" s="1480"/>
      <c r="H325" s="1501">
        <f t="shared" si="6"/>
        <v>0</v>
      </c>
    </row>
    <row r="326" spans="1:8" ht="12.6" customHeight="1">
      <c r="A326" s="2684"/>
      <c r="B326" s="2772"/>
      <c r="C326" s="2771"/>
      <c r="D326" s="908"/>
      <c r="E326" s="2772"/>
      <c r="F326" s="2772"/>
      <c r="G326" s="1480"/>
      <c r="H326" s="1501" t="str">
        <f t="shared" si="6"/>
        <v/>
      </c>
    </row>
    <row r="327" spans="1:8">
      <c r="A327" s="2684"/>
      <c r="B327" s="2772" t="s">
        <v>2174</v>
      </c>
      <c r="C327" s="2771" t="s">
        <v>2243</v>
      </c>
      <c r="D327" s="908" t="s">
        <v>2251</v>
      </c>
      <c r="E327" s="2772" t="s">
        <v>691</v>
      </c>
      <c r="F327" s="2772">
        <v>5</v>
      </c>
      <c r="G327" s="1480"/>
      <c r="H327" s="1501">
        <f t="shared" si="6"/>
        <v>0</v>
      </c>
    </row>
    <row r="328" spans="1:8" ht="12.6" customHeight="1">
      <c r="A328" s="2684"/>
      <c r="B328" s="2772"/>
      <c r="C328" s="2771"/>
      <c r="D328" s="908"/>
      <c r="E328" s="2772"/>
      <c r="F328" s="2772"/>
      <c r="G328" s="1480"/>
      <c r="H328" s="1501" t="str">
        <f t="shared" si="6"/>
        <v/>
      </c>
    </row>
    <row r="329" spans="1:8">
      <c r="A329" s="2684"/>
      <c r="B329" s="2772" t="s">
        <v>2178</v>
      </c>
      <c r="C329" s="2771" t="s">
        <v>2243</v>
      </c>
      <c r="D329" s="908" t="s">
        <v>2252</v>
      </c>
      <c r="E329" s="2772" t="s">
        <v>691</v>
      </c>
      <c r="F329" s="2772">
        <v>3</v>
      </c>
      <c r="G329" s="1480"/>
      <c r="H329" s="1501">
        <f t="shared" si="6"/>
        <v>0</v>
      </c>
    </row>
    <row r="330" spans="1:8" ht="12.6" customHeight="1">
      <c r="A330" s="2684"/>
      <c r="B330" s="2772"/>
      <c r="C330" s="2771"/>
      <c r="D330" s="908"/>
      <c r="E330" s="2772"/>
      <c r="F330" s="2772"/>
      <c r="G330" s="1480"/>
      <c r="H330" s="1501" t="str">
        <f t="shared" si="6"/>
        <v/>
      </c>
    </row>
    <row r="331" spans="1:8" ht="12.6" customHeight="1">
      <c r="A331" s="2684">
        <f>$A$4</f>
        <v>19</v>
      </c>
      <c r="B331" s="2771">
        <v>3.3</v>
      </c>
      <c r="C331" s="1594"/>
      <c r="D331" s="2774" t="s">
        <v>2253</v>
      </c>
      <c r="E331" s="2772"/>
      <c r="F331" s="2772"/>
      <c r="G331" s="1480"/>
      <c r="H331" s="1501" t="str">
        <f t="shared" si="6"/>
        <v/>
      </c>
    </row>
    <row r="332" spans="1:8" ht="12.6" customHeight="1">
      <c r="A332" s="2684"/>
      <c r="B332" s="2771"/>
      <c r="C332" s="1594"/>
      <c r="D332" s="915"/>
      <c r="E332" s="2772"/>
      <c r="F332" s="2772"/>
      <c r="G332" s="1480"/>
      <c r="H332" s="1501" t="str">
        <f t="shared" si="6"/>
        <v/>
      </c>
    </row>
    <row r="333" spans="1:8" ht="26.4">
      <c r="A333" s="2684"/>
      <c r="B333" s="1604" t="s">
        <v>2162</v>
      </c>
      <c r="C333" s="1594" t="s">
        <v>2254</v>
      </c>
      <c r="D333" s="1595" t="s">
        <v>2255</v>
      </c>
      <c r="E333" s="1596" t="s">
        <v>976</v>
      </c>
      <c r="F333" s="2730">
        <v>1</v>
      </c>
      <c r="G333" s="1480"/>
      <c r="H333" s="1501">
        <f t="shared" si="6"/>
        <v>0</v>
      </c>
    </row>
    <row r="334" spans="1:8" ht="12.6" customHeight="1">
      <c r="A334" s="2684"/>
      <c r="B334" s="1593"/>
      <c r="C334" s="1594"/>
      <c r="D334" s="1595"/>
      <c r="E334" s="2732"/>
      <c r="F334" s="2733"/>
      <c r="G334" s="1480"/>
      <c r="H334" s="1501" t="str">
        <f t="shared" si="6"/>
        <v/>
      </c>
    </row>
    <row r="335" spans="1:8" s="775" customFormat="1" ht="52.8">
      <c r="A335" s="2684"/>
      <c r="B335" s="1593" t="s">
        <v>2164</v>
      </c>
      <c r="C335" s="1594" t="s">
        <v>2254</v>
      </c>
      <c r="D335" s="2746" t="s">
        <v>2256</v>
      </c>
      <c r="E335" s="1596" t="s">
        <v>976</v>
      </c>
      <c r="F335" s="1597">
        <v>1</v>
      </c>
      <c r="G335" s="1481"/>
      <c r="H335" s="1501">
        <f t="shared" si="6"/>
        <v>0</v>
      </c>
    </row>
    <row r="336" spans="1:8" ht="12.6" customHeight="1">
      <c r="A336" s="2684"/>
      <c r="B336" s="1593"/>
      <c r="C336" s="2684"/>
      <c r="D336" s="1589"/>
      <c r="E336" s="2732"/>
      <c r="F336" s="2730"/>
      <c r="G336" s="1480"/>
      <c r="H336" s="1501" t="str">
        <f t="shared" si="6"/>
        <v/>
      </c>
    </row>
    <row r="337" spans="1:8" ht="12.6" customHeight="1">
      <c r="A337" s="2684">
        <f>$A$4</f>
        <v>19</v>
      </c>
      <c r="B337" s="2771">
        <v>3.4</v>
      </c>
      <c r="C337" s="1594"/>
      <c r="D337" s="2723" t="s">
        <v>2211</v>
      </c>
      <c r="E337" s="2732"/>
      <c r="F337" s="2733"/>
      <c r="G337" s="1480"/>
      <c r="H337" s="1501" t="str">
        <f t="shared" si="6"/>
        <v/>
      </c>
    </row>
    <row r="338" spans="1:8" ht="12.6" customHeight="1">
      <c r="A338" s="2684"/>
      <c r="B338" s="2771"/>
      <c r="C338" s="1594"/>
      <c r="D338" s="2723"/>
      <c r="E338" s="2732"/>
      <c r="F338" s="2733"/>
      <c r="G338" s="1480"/>
      <c r="H338" s="1501" t="str">
        <f t="shared" si="6"/>
        <v/>
      </c>
    </row>
    <row r="339" spans="1:8" ht="39.6">
      <c r="A339" s="2684"/>
      <c r="B339" s="1593"/>
      <c r="C339" s="1594" t="s">
        <v>2175</v>
      </c>
      <c r="D339" s="1595" t="s">
        <v>2212</v>
      </c>
      <c r="E339" s="2732"/>
      <c r="F339" s="2733"/>
      <c r="G339" s="1480"/>
      <c r="H339" s="1501" t="str">
        <f t="shared" si="6"/>
        <v/>
      </c>
    </row>
    <row r="340" spans="1:8" ht="12.6" customHeight="1">
      <c r="A340" s="2684"/>
      <c r="B340" s="1593"/>
      <c r="C340" s="1594"/>
      <c r="D340" s="1589"/>
      <c r="E340" s="2734"/>
      <c r="F340" s="1597"/>
      <c r="G340" s="1480"/>
      <c r="H340" s="1501" t="str">
        <f t="shared" si="6"/>
        <v/>
      </c>
    </row>
    <row r="341" spans="1:8" ht="15.6">
      <c r="A341" s="2684"/>
      <c r="B341" s="1593" t="s">
        <v>2162</v>
      </c>
      <c r="C341" s="1594" t="s">
        <v>2175</v>
      </c>
      <c r="D341" s="1589" t="s">
        <v>2257</v>
      </c>
      <c r="E341" s="2734" t="s">
        <v>561</v>
      </c>
      <c r="F341" s="1597">
        <v>33</v>
      </c>
      <c r="G341" s="1480"/>
      <c r="H341" s="1501">
        <f t="shared" si="6"/>
        <v>0</v>
      </c>
    </row>
    <row r="342" spans="1:8" ht="12.6" customHeight="1">
      <c r="A342" s="2684"/>
      <c r="B342" s="1593"/>
      <c r="C342" s="1594"/>
      <c r="D342" s="1589"/>
      <c r="E342" s="2734"/>
      <c r="F342" s="1597"/>
      <c r="G342" s="1480"/>
      <c r="H342" s="1501" t="str">
        <f t="shared" si="6"/>
        <v/>
      </c>
    </row>
    <row r="343" spans="1:8" ht="15.6">
      <c r="A343" s="2684"/>
      <c r="B343" s="1593" t="s">
        <v>2164</v>
      </c>
      <c r="C343" s="1594" t="s">
        <v>2175</v>
      </c>
      <c r="D343" s="1589" t="s">
        <v>2258</v>
      </c>
      <c r="E343" s="2734" t="s">
        <v>561</v>
      </c>
      <c r="F343" s="1597">
        <v>278</v>
      </c>
      <c r="G343" s="1480"/>
      <c r="H343" s="1501">
        <f t="shared" si="6"/>
        <v>0</v>
      </c>
    </row>
    <row r="344" spans="1:8" ht="12.6" customHeight="1">
      <c r="A344" s="2684"/>
      <c r="B344" s="1593"/>
      <c r="C344" s="1594"/>
      <c r="D344" s="1589"/>
      <c r="E344" s="2734"/>
      <c r="F344" s="1597"/>
      <c r="G344" s="1480"/>
      <c r="H344" s="1501" t="str">
        <f t="shared" si="6"/>
        <v/>
      </c>
    </row>
    <row r="345" spans="1:8" ht="15.6">
      <c r="A345" s="2684"/>
      <c r="B345" s="1593" t="s">
        <v>2166</v>
      </c>
      <c r="C345" s="1594" t="s">
        <v>2175</v>
      </c>
      <c r="D345" s="1589" t="s">
        <v>2259</v>
      </c>
      <c r="E345" s="2734" t="s">
        <v>561</v>
      </c>
      <c r="F345" s="1597">
        <v>340</v>
      </c>
      <c r="G345" s="1480"/>
      <c r="H345" s="1501">
        <f t="shared" si="6"/>
        <v>0</v>
      </c>
    </row>
    <row r="346" spans="1:8" ht="12.6" customHeight="1">
      <c r="A346" s="2684"/>
      <c r="B346" s="1593"/>
      <c r="C346" s="1594"/>
      <c r="D346" s="1589"/>
      <c r="E346" s="2734"/>
      <c r="F346" s="1597"/>
      <c r="G346" s="1480"/>
      <c r="H346" s="1501" t="str">
        <f t="shared" si="6"/>
        <v/>
      </c>
    </row>
    <row r="347" spans="1:8" ht="15.6">
      <c r="A347" s="2684"/>
      <c r="B347" s="1593" t="s">
        <v>2168</v>
      </c>
      <c r="C347" s="1594" t="s">
        <v>2175</v>
      </c>
      <c r="D347" s="1589" t="s">
        <v>2260</v>
      </c>
      <c r="E347" s="2734" t="s">
        <v>561</v>
      </c>
      <c r="F347" s="1597">
        <v>33</v>
      </c>
      <c r="G347" s="1480"/>
      <c r="H347" s="1501">
        <f t="shared" si="6"/>
        <v>0</v>
      </c>
    </row>
    <row r="348" spans="1:8" ht="12.6" customHeight="1">
      <c r="A348" s="2684"/>
      <c r="B348" s="1593"/>
      <c r="C348" s="1594"/>
      <c r="D348" s="1589"/>
      <c r="E348" s="2734"/>
      <c r="F348" s="1597"/>
      <c r="G348" s="1480"/>
      <c r="H348" s="1501" t="str">
        <f t="shared" si="6"/>
        <v/>
      </c>
    </row>
    <row r="349" spans="1:8" ht="15.6">
      <c r="A349" s="2684"/>
      <c r="B349" s="1593" t="s">
        <v>2171</v>
      </c>
      <c r="C349" s="1594" t="s">
        <v>2175</v>
      </c>
      <c r="D349" s="1589" t="s">
        <v>2261</v>
      </c>
      <c r="E349" s="2734" t="s">
        <v>561</v>
      </c>
      <c r="F349" s="1597">
        <v>618</v>
      </c>
      <c r="G349" s="1480"/>
      <c r="H349" s="1501">
        <f t="shared" si="6"/>
        <v>0</v>
      </c>
    </row>
    <row r="350" spans="1:8" ht="12.6" customHeight="1">
      <c r="A350" s="2684"/>
      <c r="B350" s="1593"/>
      <c r="C350" s="1594"/>
      <c r="D350" s="2775"/>
      <c r="E350" s="2734"/>
      <c r="F350" s="1604"/>
      <c r="G350" s="1480"/>
      <c r="H350" s="1501" t="str">
        <f t="shared" si="6"/>
        <v/>
      </c>
    </row>
    <row r="351" spans="1:8" ht="12.6" customHeight="1">
      <c r="A351" s="2684">
        <f>$A$4</f>
        <v>19</v>
      </c>
      <c r="B351" s="2771">
        <v>3.5</v>
      </c>
      <c r="C351" s="1594"/>
      <c r="D351" s="2723" t="s">
        <v>2216</v>
      </c>
      <c r="E351" s="2732"/>
      <c r="F351" s="1597"/>
      <c r="G351" s="1480"/>
      <c r="H351" s="1501" t="str">
        <f t="shared" si="6"/>
        <v/>
      </c>
    </row>
    <row r="352" spans="1:8" ht="12.6" customHeight="1">
      <c r="A352" s="2684"/>
      <c r="B352" s="1593"/>
      <c r="C352" s="1594"/>
      <c r="D352" s="2722"/>
      <c r="E352" s="2732"/>
      <c r="F352" s="1597"/>
      <c r="G352" s="1480"/>
      <c r="H352" s="1501" t="str">
        <f t="shared" si="6"/>
        <v/>
      </c>
    </row>
    <row r="353" spans="1:8" ht="26.4">
      <c r="A353" s="2684"/>
      <c r="B353" s="1593"/>
      <c r="C353" s="1594" t="s">
        <v>2175</v>
      </c>
      <c r="D353" s="1595" t="s">
        <v>2197</v>
      </c>
      <c r="E353" s="2732"/>
      <c r="F353" s="1597"/>
      <c r="G353" s="1480"/>
      <c r="H353" s="1501" t="str">
        <f t="shared" si="6"/>
        <v/>
      </c>
    </row>
    <row r="354" spans="1:8" ht="12.6" customHeight="1">
      <c r="A354" s="2684"/>
      <c r="B354" s="2772"/>
      <c r="C354" s="2771"/>
      <c r="D354" s="904"/>
      <c r="E354" s="2732"/>
      <c r="F354" s="2772"/>
      <c r="G354" s="1480"/>
      <c r="H354" s="1501" t="str">
        <f t="shared" si="6"/>
        <v/>
      </c>
    </row>
    <row r="355" spans="1:8" ht="15.6">
      <c r="A355" s="2684"/>
      <c r="B355" s="2772" t="s">
        <v>2162</v>
      </c>
      <c r="C355" s="1594" t="s">
        <v>2175</v>
      </c>
      <c r="D355" s="1589" t="s">
        <v>2257</v>
      </c>
      <c r="E355" s="2734" t="s">
        <v>691</v>
      </c>
      <c r="F355" s="2772">
        <v>2</v>
      </c>
      <c r="G355" s="1480"/>
      <c r="H355" s="1501">
        <f t="shared" si="6"/>
        <v>0</v>
      </c>
    </row>
    <row r="356" spans="1:8" ht="12.6" customHeight="1">
      <c r="A356" s="1586"/>
      <c r="B356" s="2772"/>
      <c r="C356" s="2771"/>
      <c r="D356" s="1589"/>
      <c r="E356" s="2734"/>
      <c r="F356" s="2772"/>
      <c r="G356" s="1480"/>
      <c r="H356" s="1501" t="str">
        <f t="shared" si="6"/>
        <v/>
      </c>
    </row>
    <row r="357" spans="1:8" ht="15.6">
      <c r="A357" s="1586"/>
      <c r="B357" s="2772" t="s">
        <v>2164</v>
      </c>
      <c r="C357" s="1594" t="s">
        <v>2175</v>
      </c>
      <c r="D357" s="1589" t="s">
        <v>2258</v>
      </c>
      <c r="E357" s="2734" t="s">
        <v>691</v>
      </c>
      <c r="F357" s="2772">
        <v>16</v>
      </c>
      <c r="G357" s="1480"/>
      <c r="H357" s="1501">
        <f t="shared" si="6"/>
        <v>0</v>
      </c>
    </row>
    <row r="358" spans="1:8" ht="12.6" customHeight="1">
      <c r="A358" s="2684"/>
      <c r="B358" s="1271"/>
      <c r="C358" s="1155"/>
      <c r="D358" s="2751"/>
      <c r="E358" s="147"/>
      <c r="F358" s="1577"/>
      <c r="G358" s="1478"/>
      <c r="H358" s="1501" t="str">
        <f t="shared" si="6"/>
        <v/>
      </c>
    </row>
    <row r="359" spans="1:8" ht="15.6">
      <c r="A359" s="2684"/>
      <c r="B359" s="2772" t="s">
        <v>2166</v>
      </c>
      <c r="C359" s="1594" t="s">
        <v>2175</v>
      </c>
      <c r="D359" s="1589" t="s">
        <v>2259</v>
      </c>
      <c r="E359" s="2734" t="s">
        <v>691</v>
      </c>
      <c r="F359" s="2772">
        <v>4</v>
      </c>
      <c r="G359" s="1480"/>
      <c r="H359" s="1501">
        <f t="shared" si="6"/>
        <v>0</v>
      </c>
    </row>
    <row r="360" spans="1:8" ht="12.6" customHeight="1">
      <c r="A360" s="2684"/>
      <c r="B360" s="2772"/>
      <c r="C360" s="2771"/>
      <c r="D360" s="1589"/>
      <c r="E360" s="2734"/>
      <c r="F360" s="2772"/>
      <c r="G360" s="1480"/>
      <c r="H360" s="1501" t="str">
        <f t="shared" si="6"/>
        <v/>
      </c>
    </row>
    <row r="361" spans="1:8" ht="15.6">
      <c r="A361" s="2684"/>
      <c r="B361" s="2772" t="s">
        <v>2168</v>
      </c>
      <c r="C361" s="1594" t="s">
        <v>2175</v>
      </c>
      <c r="D361" s="1589" t="s">
        <v>2260</v>
      </c>
      <c r="E361" s="2734" t="s">
        <v>691</v>
      </c>
      <c r="F361" s="2772">
        <v>2</v>
      </c>
      <c r="G361" s="1480"/>
      <c r="H361" s="1501">
        <f t="shared" si="6"/>
        <v>0</v>
      </c>
    </row>
    <row r="362" spans="1:8" ht="12.6" customHeight="1">
      <c r="A362" s="2684"/>
      <c r="B362" s="2772"/>
      <c r="C362" s="2771"/>
      <c r="D362" s="1589"/>
      <c r="E362" s="2734"/>
      <c r="F362" s="2772"/>
      <c r="G362" s="1480"/>
      <c r="H362" s="1501" t="str">
        <f t="shared" si="6"/>
        <v/>
      </c>
    </row>
    <row r="363" spans="1:8" ht="15.6">
      <c r="A363" s="2684"/>
      <c r="B363" s="2772" t="s">
        <v>2171</v>
      </c>
      <c r="C363" s="1594" t="s">
        <v>2175</v>
      </c>
      <c r="D363" s="1589" t="s">
        <v>2261</v>
      </c>
      <c r="E363" s="2734" t="s">
        <v>691</v>
      </c>
      <c r="F363" s="2772">
        <v>20</v>
      </c>
      <c r="G363" s="1480"/>
      <c r="H363" s="1501">
        <f t="shared" si="6"/>
        <v>0</v>
      </c>
    </row>
    <row r="364" spans="1:8" ht="12.6" customHeight="1">
      <c r="A364" s="2684"/>
      <c r="B364" s="2772"/>
      <c r="C364" s="2771"/>
      <c r="D364" s="908"/>
      <c r="E364" s="2772"/>
      <c r="F364" s="2772"/>
      <c r="G364" s="1480"/>
      <c r="H364" s="1501" t="str">
        <f t="shared" si="6"/>
        <v/>
      </c>
    </row>
    <row r="365" spans="1:8">
      <c r="A365" s="2684">
        <f>$A$4</f>
        <v>19</v>
      </c>
      <c r="B365" s="2771">
        <v>3.6</v>
      </c>
      <c r="C365" s="1594"/>
      <c r="D365" s="2723" t="s">
        <v>2220</v>
      </c>
      <c r="E365" s="2732"/>
      <c r="F365" s="2735"/>
      <c r="G365" s="1480"/>
      <c r="H365" s="1501" t="str">
        <f t="shared" si="6"/>
        <v/>
      </c>
    </row>
    <row r="366" spans="1:8" ht="12.6" customHeight="1">
      <c r="A366" s="2684"/>
      <c r="B366" s="1593"/>
      <c r="C366" s="1594"/>
      <c r="D366" s="2722"/>
      <c r="E366" s="2732"/>
      <c r="F366" s="2735"/>
      <c r="G366" s="1480"/>
      <c r="H366" s="1501" t="str">
        <f t="shared" si="6"/>
        <v/>
      </c>
    </row>
    <row r="367" spans="1:8" ht="16.2">
      <c r="A367" s="2684"/>
      <c r="B367" s="1593" t="s">
        <v>2162</v>
      </c>
      <c r="C367" s="1594" t="s">
        <v>2221</v>
      </c>
      <c r="D367" s="1595" t="s">
        <v>2222</v>
      </c>
      <c r="E367" s="2762" t="s">
        <v>631</v>
      </c>
      <c r="F367" s="1604">
        <v>20</v>
      </c>
      <c r="G367" s="1480"/>
      <c r="H367" s="1501">
        <f t="shared" si="6"/>
        <v>0</v>
      </c>
    </row>
    <row r="368" spans="1:8">
      <c r="A368" s="2684"/>
      <c r="B368" s="1593"/>
      <c r="C368" s="1594"/>
      <c r="D368" s="1595"/>
      <c r="E368" s="2762"/>
      <c r="F368" s="1604"/>
      <c r="G368" s="1480"/>
      <c r="H368" s="1501" t="str">
        <f t="shared" si="6"/>
        <v/>
      </c>
    </row>
    <row r="369" spans="1:8" ht="16.2">
      <c r="A369" s="2684"/>
      <c r="B369" s="1604" t="s">
        <v>2164</v>
      </c>
      <c r="C369" s="1594" t="s">
        <v>2221</v>
      </c>
      <c r="D369" s="1595" t="s">
        <v>2223</v>
      </c>
      <c r="E369" s="2762" t="s">
        <v>631</v>
      </c>
      <c r="F369" s="1604">
        <v>20</v>
      </c>
      <c r="G369" s="1480"/>
      <c r="H369" s="1501">
        <f t="shared" si="6"/>
        <v>0</v>
      </c>
    </row>
    <row r="370" spans="1:8" ht="12.6" customHeight="1">
      <c r="A370" s="2684"/>
      <c r="B370" s="2684"/>
      <c r="C370" s="1594"/>
      <c r="D370" s="1595"/>
      <c r="E370" s="2732"/>
      <c r="F370" s="2673"/>
      <c r="G370" s="1480"/>
      <c r="H370" s="1501" t="str">
        <f t="shared" si="6"/>
        <v/>
      </c>
    </row>
    <row r="371" spans="1:8" ht="12.6" customHeight="1">
      <c r="A371" s="2684">
        <f>$A$4</f>
        <v>19</v>
      </c>
      <c r="B371" s="2771">
        <v>3.7</v>
      </c>
      <c r="C371" s="1594"/>
      <c r="D371" s="2723" t="s">
        <v>2224</v>
      </c>
      <c r="E371" s="1596"/>
      <c r="F371" s="2763"/>
      <c r="G371" s="1480"/>
      <c r="H371" s="1501" t="str">
        <f t="shared" si="6"/>
        <v/>
      </c>
    </row>
    <row r="372" spans="1:8">
      <c r="A372" s="2684"/>
      <c r="B372" s="2771"/>
      <c r="C372" s="1594"/>
      <c r="D372" s="2722"/>
      <c r="E372" s="1596"/>
      <c r="F372" s="2763"/>
      <c r="G372" s="1480"/>
      <c r="H372" s="1501" t="str">
        <f t="shared" si="6"/>
        <v/>
      </c>
    </row>
    <row r="373" spans="1:8" ht="12.6" customHeight="1">
      <c r="A373" s="2684"/>
      <c r="B373" s="1593" t="s">
        <v>2162</v>
      </c>
      <c r="C373" s="1594" t="s">
        <v>2225</v>
      </c>
      <c r="D373" s="1595" t="s">
        <v>2226</v>
      </c>
      <c r="E373" s="1596" t="s">
        <v>691</v>
      </c>
      <c r="F373" s="1604">
        <v>10</v>
      </c>
      <c r="G373" s="1480"/>
      <c r="H373" s="1501">
        <f t="shared" si="6"/>
        <v>0</v>
      </c>
    </row>
    <row r="374" spans="1:8" ht="12.6" customHeight="1">
      <c r="A374" s="2684"/>
      <c r="B374" s="1593"/>
      <c r="C374" s="1594"/>
      <c r="D374" s="1595"/>
      <c r="E374" s="1596"/>
      <c r="F374" s="2673"/>
      <c r="G374" s="1480"/>
      <c r="H374" s="1501" t="str">
        <f t="shared" si="6"/>
        <v/>
      </c>
    </row>
    <row r="375" spans="1:8">
      <c r="A375" s="2684">
        <f>$A$4</f>
        <v>19</v>
      </c>
      <c r="B375" s="2771">
        <v>3.8</v>
      </c>
      <c r="C375" s="1594"/>
      <c r="D375" s="2723" t="s">
        <v>2227</v>
      </c>
      <c r="E375" s="1596"/>
      <c r="F375" s="2673"/>
      <c r="G375" s="1480"/>
      <c r="H375" s="1501" t="str">
        <f t="shared" si="6"/>
        <v/>
      </c>
    </row>
    <row r="376" spans="1:8" ht="12.6" customHeight="1">
      <c r="A376" s="2684"/>
      <c r="B376" s="2771"/>
      <c r="C376" s="1594"/>
      <c r="D376" s="2723"/>
      <c r="E376" s="1596"/>
      <c r="F376" s="2673"/>
      <c r="G376" s="1480"/>
      <c r="H376" s="1501" t="str">
        <f t="shared" si="6"/>
        <v/>
      </c>
    </row>
    <row r="377" spans="1:8" ht="26.4">
      <c r="A377" s="2684"/>
      <c r="B377" s="1593"/>
      <c r="C377" s="1594" t="s">
        <v>2228</v>
      </c>
      <c r="D377" s="1595" t="s">
        <v>2262</v>
      </c>
      <c r="E377" s="1596"/>
      <c r="F377" s="2673"/>
      <c r="G377" s="1480"/>
      <c r="H377" s="1501" t="str">
        <f t="shared" si="6"/>
        <v/>
      </c>
    </row>
    <row r="378" spans="1:8" ht="12.6" customHeight="1">
      <c r="A378" s="2684"/>
      <c r="B378" s="1593"/>
      <c r="C378" s="1594"/>
      <c r="D378" s="1595"/>
      <c r="E378" s="1596"/>
      <c r="F378" s="1597"/>
      <c r="G378" s="1480"/>
      <c r="H378" s="1501" t="str">
        <f t="shared" si="6"/>
        <v/>
      </c>
    </row>
    <row r="379" spans="1:8">
      <c r="A379" s="2684"/>
      <c r="B379" s="1593" t="s">
        <v>2162</v>
      </c>
      <c r="C379" s="1594" t="s">
        <v>2228</v>
      </c>
      <c r="D379" s="1595" t="s">
        <v>2263</v>
      </c>
      <c r="E379" s="1596" t="s">
        <v>561</v>
      </c>
      <c r="F379" s="1597">
        <v>20</v>
      </c>
      <c r="G379" s="1480"/>
      <c r="H379" s="1501">
        <f t="shared" si="6"/>
        <v>0</v>
      </c>
    </row>
    <row r="380" spans="1:8" ht="12.6" customHeight="1">
      <c r="A380" s="2684"/>
      <c r="B380" s="1593"/>
      <c r="C380" s="1594"/>
      <c r="D380" s="1595"/>
      <c r="E380" s="1596"/>
      <c r="F380" s="1597"/>
      <c r="G380" s="1480"/>
      <c r="H380" s="1501" t="str">
        <f t="shared" si="6"/>
        <v/>
      </c>
    </row>
    <row r="381" spans="1:8" ht="12.6" customHeight="1">
      <c r="A381" s="2684"/>
      <c r="B381" s="1604" t="s">
        <v>2164</v>
      </c>
      <c r="C381" s="1594" t="s">
        <v>2228</v>
      </c>
      <c r="D381" s="1595" t="s">
        <v>2264</v>
      </c>
      <c r="E381" s="1596" t="s">
        <v>561</v>
      </c>
      <c r="F381" s="2724">
        <v>20</v>
      </c>
      <c r="G381" s="1480"/>
      <c r="H381" s="1501">
        <f t="shared" si="6"/>
        <v>0</v>
      </c>
    </row>
    <row r="382" spans="1:8" ht="12.6" customHeight="1">
      <c r="A382" s="2684"/>
      <c r="B382" s="1604"/>
      <c r="C382" s="1594"/>
      <c r="D382" s="1595"/>
      <c r="E382" s="1596"/>
      <c r="F382" s="2724"/>
      <c r="G382" s="1480"/>
      <c r="H382" s="1501" t="str">
        <f t="shared" si="6"/>
        <v/>
      </c>
    </row>
    <row r="383" spans="1:8" ht="15.6">
      <c r="A383" s="2684"/>
      <c r="B383" s="1604" t="s">
        <v>2166</v>
      </c>
      <c r="C383" s="1594" t="s">
        <v>2228</v>
      </c>
      <c r="D383" s="1595" t="s">
        <v>2265</v>
      </c>
      <c r="E383" s="1596" t="s">
        <v>691</v>
      </c>
      <c r="F383" s="2724">
        <v>4</v>
      </c>
      <c r="G383" s="1480"/>
      <c r="H383" s="1501">
        <f t="shared" si="6"/>
        <v>0</v>
      </c>
    </row>
    <row r="384" spans="1:8" ht="12.6" customHeight="1">
      <c r="A384" s="2684"/>
      <c r="B384" s="1604"/>
      <c r="C384" s="1594"/>
      <c r="D384" s="1595"/>
      <c r="E384" s="1596"/>
      <c r="F384" s="2724"/>
      <c r="G384" s="1480"/>
      <c r="H384" s="1501" t="str">
        <f t="shared" si="6"/>
        <v/>
      </c>
    </row>
    <row r="385" spans="1:8" ht="15.6">
      <c r="A385" s="2684"/>
      <c r="B385" s="1604" t="s">
        <v>2168</v>
      </c>
      <c r="C385" s="1594" t="s">
        <v>2228</v>
      </c>
      <c r="D385" s="1595" t="s">
        <v>2266</v>
      </c>
      <c r="E385" s="1596" t="s">
        <v>691</v>
      </c>
      <c r="F385" s="2724">
        <v>4</v>
      </c>
      <c r="G385" s="1480"/>
      <c r="H385" s="1501">
        <f t="shared" ref="H385:H389" si="7">IF(E385="","",ROUND(F385*G385,2))</f>
        <v>0</v>
      </c>
    </row>
    <row r="386" spans="1:8" ht="12.6" customHeight="1">
      <c r="A386" s="2684"/>
      <c r="B386" s="2772"/>
      <c r="C386" s="2771"/>
      <c r="D386" s="908"/>
      <c r="E386" s="2772"/>
      <c r="F386" s="2772"/>
      <c r="G386" s="1480"/>
      <c r="H386" s="1501" t="str">
        <f t="shared" si="7"/>
        <v/>
      </c>
    </row>
    <row r="387" spans="1:8">
      <c r="A387" s="2684">
        <f>$A$4</f>
        <v>19</v>
      </c>
      <c r="B387" s="2771">
        <v>3.9</v>
      </c>
      <c r="C387" s="2771"/>
      <c r="D387" s="2776" t="s">
        <v>2267</v>
      </c>
      <c r="E387" s="913"/>
      <c r="F387" s="2772"/>
      <c r="G387" s="1480"/>
      <c r="H387" s="1501" t="str">
        <f t="shared" si="7"/>
        <v/>
      </c>
    </row>
    <row r="388" spans="1:8" ht="12.6" customHeight="1">
      <c r="A388" s="1586"/>
      <c r="B388" s="1271"/>
      <c r="C388" s="1792"/>
      <c r="D388" s="2751"/>
      <c r="E388" s="147"/>
      <c r="F388" s="1577"/>
      <c r="G388" s="1478"/>
      <c r="H388" s="1501" t="str">
        <f t="shared" si="7"/>
        <v/>
      </c>
    </row>
    <row r="389" spans="1:8" ht="26.4">
      <c r="A389" s="2684"/>
      <c r="B389" s="2772" t="s">
        <v>2162</v>
      </c>
      <c r="C389" s="2771" t="s">
        <v>2268</v>
      </c>
      <c r="D389" s="1600" t="s">
        <v>2269</v>
      </c>
      <c r="E389" s="916" t="s">
        <v>976</v>
      </c>
      <c r="F389" s="2730">
        <v>1</v>
      </c>
      <c r="G389" s="1480"/>
      <c r="H389" s="1501">
        <f t="shared" si="7"/>
        <v>0</v>
      </c>
    </row>
    <row r="390" spans="1:8" ht="12.6" customHeight="1">
      <c r="A390" s="1586"/>
      <c r="B390" s="1271"/>
      <c r="C390" s="1792"/>
      <c r="D390" s="2647"/>
      <c r="E390" s="882"/>
      <c r="F390" s="1577"/>
      <c r="G390" s="1476"/>
      <c r="H390" s="902"/>
    </row>
    <row r="391" spans="1:8" ht="12.6" customHeight="1">
      <c r="A391" s="2333"/>
      <c r="B391" s="822"/>
      <c r="C391" s="1158"/>
      <c r="D391" s="840"/>
      <c r="E391" s="837"/>
      <c r="F391" s="838"/>
      <c r="G391" s="2748"/>
      <c r="H391" s="2749"/>
    </row>
    <row r="392" spans="1:8" ht="12.6" customHeight="1">
      <c r="A392" s="2336"/>
      <c r="B392" s="823"/>
      <c r="C392" s="1159"/>
      <c r="D392" s="774" t="s">
        <v>289</v>
      </c>
      <c r="E392" s="426"/>
      <c r="F392" s="24"/>
      <c r="G392" s="1477"/>
      <c r="H392" s="2750">
        <f>SUM(H319:H390)</f>
        <v>0</v>
      </c>
    </row>
    <row r="393" spans="1:8" ht="12.6" customHeight="1">
      <c r="A393" s="1586"/>
      <c r="B393" s="1271"/>
      <c r="C393" s="1155"/>
      <c r="D393" s="2754" t="s">
        <v>290</v>
      </c>
      <c r="E393" s="147"/>
      <c r="F393" s="1577"/>
      <c r="G393" s="1478"/>
      <c r="H393" s="896">
        <f>H392</f>
        <v>0</v>
      </c>
    </row>
    <row r="394" spans="1:8">
      <c r="A394" s="2684"/>
      <c r="B394" s="2772"/>
      <c r="C394" s="2771"/>
      <c r="D394" s="1600"/>
      <c r="E394" s="913"/>
      <c r="F394" s="2772"/>
      <c r="G394" s="1480"/>
      <c r="H394" s="2720"/>
    </row>
    <row r="395" spans="1:8" s="775" customFormat="1" ht="52.8">
      <c r="A395" s="2684"/>
      <c r="B395" s="2419" t="s">
        <v>2164</v>
      </c>
      <c r="C395" s="2777" t="s">
        <v>2268</v>
      </c>
      <c r="D395" s="1600" t="s">
        <v>2270</v>
      </c>
      <c r="E395" s="917" t="s">
        <v>976</v>
      </c>
      <c r="F395" s="2419">
        <v>1</v>
      </c>
      <c r="G395" s="1481"/>
      <c r="H395" s="1501">
        <f t="shared" ref="H395:H456" si="8">IF(E395="","",ROUND(F395*G395,2))</f>
        <v>0</v>
      </c>
    </row>
    <row r="396" spans="1:8">
      <c r="A396" s="2684"/>
      <c r="B396" s="2772"/>
      <c r="C396" s="2771"/>
      <c r="D396" s="908"/>
      <c r="E396" s="2772"/>
      <c r="F396" s="2772"/>
      <c r="G396" s="1480"/>
      <c r="H396" s="1501" t="str">
        <f t="shared" si="8"/>
        <v/>
      </c>
    </row>
    <row r="397" spans="1:8" ht="39.6">
      <c r="A397" s="1586"/>
      <c r="B397" s="2772" t="s">
        <v>2166</v>
      </c>
      <c r="C397" s="2771" t="s">
        <v>2268</v>
      </c>
      <c r="D397" s="1595" t="s">
        <v>2271</v>
      </c>
      <c r="E397" s="1596" t="s">
        <v>976</v>
      </c>
      <c r="F397" s="2730">
        <v>1</v>
      </c>
      <c r="G397" s="1480"/>
      <c r="H397" s="1501">
        <f t="shared" si="8"/>
        <v>0</v>
      </c>
    </row>
    <row r="398" spans="1:8">
      <c r="A398" s="1586"/>
      <c r="B398" s="2772"/>
      <c r="C398" s="2771"/>
      <c r="D398" s="1595"/>
      <c r="E398" s="2732"/>
      <c r="F398" s="2733"/>
      <c r="G398" s="1480"/>
      <c r="H398" s="1501" t="str">
        <f t="shared" si="8"/>
        <v/>
      </c>
    </row>
    <row r="399" spans="1:8" ht="26.4">
      <c r="A399" s="1586"/>
      <c r="B399" s="2772" t="s">
        <v>2168</v>
      </c>
      <c r="C399" s="2771" t="s">
        <v>2272</v>
      </c>
      <c r="D399" s="1595" t="s">
        <v>2273</v>
      </c>
      <c r="E399" s="1596" t="s">
        <v>976</v>
      </c>
      <c r="F399" s="2724">
        <v>1</v>
      </c>
      <c r="G399" s="1480"/>
      <c r="H399" s="1501">
        <f t="shared" si="8"/>
        <v>0</v>
      </c>
    </row>
    <row r="400" spans="1:8" ht="12.6" customHeight="1">
      <c r="A400" s="1586"/>
      <c r="B400" s="2772"/>
      <c r="C400" s="2771"/>
      <c r="D400" s="1595"/>
      <c r="E400" s="2732"/>
      <c r="F400" s="2733"/>
      <c r="G400" s="1480"/>
      <c r="H400" s="1501" t="str">
        <f t="shared" si="8"/>
        <v/>
      </c>
    </row>
    <row r="401" spans="1:8" ht="12.6" customHeight="1">
      <c r="A401" s="1586"/>
      <c r="B401" s="2772"/>
      <c r="C401" s="2771"/>
      <c r="D401" s="2722" t="s">
        <v>2274</v>
      </c>
      <c r="E401" s="1596"/>
      <c r="F401" s="2730"/>
      <c r="G401" s="1480"/>
      <c r="H401" s="1501" t="str">
        <f t="shared" si="8"/>
        <v/>
      </c>
    </row>
    <row r="402" spans="1:8" ht="39.6">
      <c r="A402" s="1586"/>
      <c r="B402" s="2772"/>
      <c r="C402" s="2771" t="s">
        <v>2268</v>
      </c>
      <c r="D402" s="1595" t="s">
        <v>2275</v>
      </c>
      <c r="E402" s="2772"/>
      <c r="F402" s="2772"/>
      <c r="G402" s="1480"/>
      <c r="H402" s="1501" t="str">
        <f t="shared" si="8"/>
        <v/>
      </c>
    </row>
    <row r="403" spans="1:8">
      <c r="A403" s="2684"/>
      <c r="B403" s="2772"/>
      <c r="C403" s="2771"/>
      <c r="D403" s="908"/>
      <c r="E403" s="2772"/>
      <c r="F403" s="2772"/>
      <c r="G403" s="1480"/>
      <c r="H403" s="1501" t="str">
        <f t="shared" si="8"/>
        <v/>
      </c>
    </row>
    <row r="404" spans="1:8" ht="12.6" customHeight="1">
      <c r="A404" s="2684">
        <f>$A$4</f>
        <v>19</v>
      </c>
      <c r="B404" s="2684">
        <v>4</v>
      </c>
      <c r="C404" s="1599"/>
      <c r="D404" s="2723" t="s">
        <v>2276</v>
      </c>
      <c r="E404" s="2672"/>
      <c r="F404" s="2759"/>
      <c r="G404" s="1472"/>
      <c r="H404" s="1501" t="str">
        <f t="shared" si="8"/>
        <v/>
      </c>
    </row>
    <row r="405" spans="1:8" ht="12.6" customHeight="1">
      <c r="A405" s="2684"/>
      <c r="B405" s="2778"/>
      <c r="C405" s="1599"/>
      <c r="D405" s="2722"/>
      <c r="E405" s="2672"/>
      <c r="F405" s="2759"/>
      <c r="G405" s="1472"/>
      <c r="H405" s="1501" t="str">
        <f t="shared" si="8"/>
        <v/>
      </c>
    </row>
    <row r="406" spans="1:8" ht="12.6" customHeight="1">
      <c r="A406" s="2684">
        <f>$A$4</f>
        <v>19</v>
      </c>
      <c r="B406" s="2684">
        <v>4.0999999999999996</v>
      </c>
      <c r="C406" s="1594"/>
      <c r="D406" s="2723" t="s">
        <v>2211</v>
      </c>
      <c r="E406" s="2732"/>
      <c r="F406" s="2733"/>
      <c r="G406" s="1472"/>
      <c r="H406" s="1501" t="str">
        <f t="shared" si="8"/>
        <v/>
      </c>
    </row>
    <row r="407" spans="1:8">
      <c r="A407" s="2684"/>
      <c r="B407" s="2684"/>
      <c r="C407" s="1594"/>
      <c r="D407" s="2723"/>
      <c r="E407" s="2732"/>
      <c r="F407" s="2733"/>
      <c r="G407" s="1472"/>
      <c r="H407" s="1501" t="str">
        <f t="shared" si="8"/>
        <v/>
      </c>
    </row>
    <row r="408" spans="1:8" ht="39.6">
      <c r="A408" s="2684"/>
      <c r="B408" s="1593"/>
      <c r="C408" s="1594" t="s">
        <v>2175</v>
      </c>
      <c r="D408" s="1595" t="s">
        <v>2212</v>
      </c>
      <c r="E408" s="2732"/>
      <c r="F408" s="2733"/>
      <c r="G408" s="1472"/>
      <c r="H408" s="1501" t="str">
        <f t="shared" si="8"/>
        <v/>
      </c>
    </row>
    <row r="409" spans="1:8" ht="12.6" customHeight="1">
      <c r="A409" s="2684"/>
      <c r="B409" s="1593"/>
      <c r="C409" s="1594"/>
      <c r="D409" s="1589"/>
      <c r="E409" s="2734"/>
      <c r="F409" s="1597"/>
      <c r="G409" s="1473"/>
      <c r="H409" s="1501" t="str">
        <f t="shared" si="8"/>
        <v/>
      </c>
    </row>
    <row r="410" spans="1:8" ht="15.6">
      <c r="A410" s="2684"/>
      <c r="B410" s="1593" t="s">
        <v>2162</v>
      </c>
      <c r="C410" s="1594" t="s">
        <v>2175</v>
      </c>
      <c r="D410" s="1589" t="s">
        <v>2277</v>
      </c>
      <c r="E410" s="2734" t="s">
        <v>561</v>
      </c>
      <c r="F410" s="1597">
        <v>1745</v>
      </c>
      <c r="G410" s="1472"/>
      <c r="H410" s="1501">
        <f t="shared" si="8"/>
        <v>0</v>
      </c>
    </row>
    <row r="411" spans="1:8" ht="12.6" customHeight="1">
      <c r="A411" s="2684"/>
      <c r="B411" s="1593"/>
      <c r="C411" s="1594"/>
      <c r="D411" s="2746"/>
      <c r="E411" s="2734"/>
      <c r="F411" s="1597"/>
      <c r="G411" s="1473"/>
      <c r="H411" s="1501" t="str">
        <f t="shared" si="8"/>
        <v/>
      </c>
    </row>
    <row r="412" spans="1:8" ht="15.6">
      <c r="A412" s="2684"/>
      <c r="B412" s="1593" t="s">
        <v>2164</v>
      </c>
      <c r="C412" s="1594" t="s">
        <v>2175</v>
      </c>
      <c r="D412" s="1589" t="s">
        <v>2278</v>
      </c>
      <c r="E412" s="2734" t="s">
        <v>561</v>
      </c>
      <c r="F412" s="1597">
        <v>360</v>
      </c>
      <c r="G412" s="1472"/>
      <c r="H412" s="1501">
        <f t="shared" si="8"/>
        <v>0</v>
      </c>
    </row>
    <row r="413" spans="1:8" ht="12.6" customHeight="1">
      <c r="A413" s="2684"/>
      <c r="B413" s="1593"/>
      <c r="C413" s="1594"/>
      <c r="D413" s="1589"/>
      <c r="E413" s="2734"/>
      <c r="F413" s="1597"/>
      <c r="G413" s="1472"/>
      <c r="H413" s="1501" t="str">
        <f t="shared" si="8"/>
        <v/>
      </c>
    </row>
    <row r="414" spans="1:8" ht="15.6">
      <c r="A414" s="2684"/>
      <c r="B414" s="1593" t="s">
        <v>2166</v>
      </c>
      <c r="C414" s="1594" t="s">
        <v>2175</v>
      </c>
      <c r="D414" s="1589" t="s">
        <v>2279</v>
      </c>
      <c r="E414" s="2734" t="s">
        <v>561</v>
      </c>
      <c r="F414" s="1597">
        <v>400</v>
      </c>
      <c r="G414" s="1472"/>
      <c r="H414" s="1501">
        <f t="shared" si="8"/>
        <v>0</v>
      </c>
    </row>
    <row r="415" spans="1:8" ht="12.6" customHeight="1">
      <c r="A415" s="2684"/>
      <c r="B415" s="1593"/>
      <c r="C415" s="1594"/>
      <c r="D415" s="1589"/>
      <c r="E415" s="2734"/>
      <c r="F415" s="1597"/>
      <c r="G415" s="1472"/>
      <c r="H415" s="1501" t="str">
        <f t="shared" si="8"/>
        <v/>
      </c>
    </row>
    <row r="416" spans="1:8" ht="15.6">
      <c r="A416" s="2684"/>
      <c r="B416" s="1593" t="s">
        <v>2168</v>
      </c>
      <c r="C416" s="1594" t="s">
        <v>2175</v>
      </c>
      <c r="D416" s="1589" t="s">
        <v>2280</v>
      </c>
      <c r="E416" s="2734" t="s">
        <v>561</v>
      </c>
      <c r="F416" s="1597">
        <v>300</v>
      </c>
      <c r="G416" s="1472"/>
      <c r="H416" s="1501">
        <f t="shared" si="8"/>
        <v>0</v>
      </c>
    </row>
    <row r="417" spans="1:8" ht="12.6" customHeight="1">
      <c r="A417" s="2684"/>
      <c r="B417" s="1593"/>
      <c r="C417" s="1594"/>
      <c r="D417" s="1589"/>
      <c r="E417" s="2734"/>
      <c r="F417" s="1597"/>
      <c r="G417" s="1472"/>
      <c r="H417" s="1501" t="str">
        <f t="shared" si="8"/>
        <v/>
      </c>
    </row>
    <row r="418" spans="1:8" ht="15.6">
      <c r="A418" s="2684"/>
      <c r="B418" s="1593" t="s">
        <v>2171</v>
      </c>
      <c r="C418" s="1594" t="s">
        <v>2175</v>
      </c>
      <c r="D418" s="1589" t="s">
        <v>2281</v>
      </c>
      <c r="E418" s="2734" t="s">
        <v>561</v>
      </c>
      <c r="F418" s="1597">
        <v>100</v>
      </c>
      <c r="G418" s="1473"/>
      <c r="H418" s="1501">
        <f t="shared" si="8"/>
        <v>0</v>
      </c>
    </row>
    <row r="419" spans="1:8" ht="12.6" customHeight="1">
      <c r="A419" s="2684"/>
      <c r="B419" s="1593"/>
      <c r="C419" s="1594"/>
      <c r="D419" s="1589"/>
      <c r="E419" s="2734"/>
      <c r="F419" s="1597"/>
      <c r="G419" s="1472"/>
      <c r="H419" s="1501" t="str">
        <f t="shared" si="8"/>
        <v/>
      </c>
    </row>
    <row r="420" spans="1:8" ht="15.6">
      <c r="A420" s="2684"/>
      <c r="B420" s="1593" t="s">
        <v>2174</v>
      </c>
      <c r="C420" s="1594" t="s">
        <v>2175</v>
      </c>
      <c r="D420" s="1589" t="s">
        <v>2282</v>
      </c>
      <c r="E420" s="2734" t="s">
        <v>561</v>
      </c>
      <c r="F420" s="1604">
        <v>1260</v>
      </c>
      <c r="G420" s="1473"/>
      <c r="H420" s="1501">
        <f t="shared" si="8"/>
        <v>0</v>
      </c>
    </row>
    <row r="421" spans="1:8" ht="12.6" customHeight="1">
      <c r="A421" s="2684"/>
      <c r="B421" s="1593"/>
      <c r="C421" s="1594"/>
      <c r="D421" s="2746"/>
      <c r="E421" s="2734"/>
      <c r="F421" s="1597"/>
      <c r="G421" s="1472"/>
      <c r="H421" s="1501" t="str">
        <f t="shared" si="8"/>
        <v/>
      </c>
    </row>
    <row r="422" spans="1:8" ht="15.6">
      <c r="A422" s="2684"/>
      <c r="B422" s="1593" t="s">
        <v>2178</v>
      </c>
      <c r="C422" s="1594" t="s">
        <v>2175</v>
      </c>
      <c r="D422" s="1589" t="s">
        <v>2283</v>
      </c>
      <c r="E422" s="2734" t="s">
        <v>561</v>
      </c>
      <c r="F422" s="1604">
        <v>600</v>
      </c>
      <c r="G422" s="1473"/>
      <c r="H422" s="1501">
        <f t="shared" si="8"/>
        <v>0</v>
      </c>
    </row>
    <row r="423" spans="1:8" ht="12.6" customHeight="1">
      <c r="A423" s="2684"/>
      <c r="B423" s="1593"/>
      <c r="C423" s="1594"/>
      <c r="D423" s="2746"/>
      <c r="E423" s="2734"/>
      <c r="F423" s="1604"/>
      <c r="G423" s="1473"/>
      <c r="H423" s="1501" t="str">
        <f t="shared" si="8"/>
        <v/>
      </c>
    </row>
    <row r="424" spans="1:8" ht="15.6">
      <c r="A424" s="2684"/>
      <c r="B424" s="1593" t="s">
        <v>2180</v>
      </c>
      <c r="C424" s="1594" t="s">
        <v>2175</v>
      </c>
      <c r="D424" s="1589" t="s">
        <v>2284</v>
      </c>
      <c r="E424" s="2734" t="s">
        <v>561</v>
      </c>
      <c r="F424" s="1604">
        <v>1305</v>
      </c>
      <c r="G424" s="1473"/>
      <c r="H424" s="1501">
        <f t="shared" si="8"/>
        <v>0</v>
      </c>
    </row>
    <row r="425" spans="1:8" ht="12.6" customHeight="1">
      <c r="A425" s="2684"/>
      <c r="B425" s="1593"/>
      <c r="C425" s="1594"/>
      <c r="D425" s="2746"/>
      <c r="E425" s="2734"/>
      <c r="F425" s="1597"/>
      <c r="G425" s="1473"/>
      <c r="H425" s="1501" t="str">
        <f t="shared" si="8"/>
        <v/>
      </c>
    </row>
    <row r="426" spans="1:8">
      <c r="A426" s="2684">
        <f>$A$4</f>
        <v>19</v>
      </c>
      <c r="B426" s="2684">
        <v>4.2</v>
      </c>
      <c r="C426" s="1594"/>
      <c r="D426" s="2723" t="s">
        <v>2216</v>
      </c>
      <c r="E426" s="2732"/>
      <c r="F426" s="1604"/>
      <c r="G426" s="1472"/>
      <c r="H426" s="1501" t="str">
        <f t="shared" si="8"/>
        <v/>
      </c>
    </row>
    <row r="427" spans="1:8" ht="12.6" customHeight="1">
      <c r="A427" s="2684"/>
      <c r="B427" s="1593"/>
      <c r="C427" s="1594"/>
      <c r="D427" s="2722"/>
      <c r="E427" s="2732"/>
      <c r="F427" s="1604"/>
      <c r="G427" s="1472"/>
      <c r="H427" s="1501" t="str">
        <f t="shared" si="8"/>
        <v/>
      </c>
    </row>
    <row r="428" spans="1:8" ht="26.4">
      <c r="A428" s="2684"/>
      <c r="B428" s="1593"/>
      <c r="C428" s="1594" t="s">
        <v>2175</v>
      </c>
      <c r="D428" s="1595" t="s">
        <v>2197</v>
      </c>
      <c r="E428" s="2732"/>
      <c r="F428" s="1597"/>
      <c r="G428" s="1473"/>
      <c r="H428" s="1501" t="str">
        <f t="shared" si="8"/>
        <v/>
      </c>
    </row>
    <row r="429" spans="1:8" ht="12.6" customHeight="1">
      <c r="A429" s="2684"/>
      <c r="B429" s="1593"/>
      <c r="C429" s="1594"/>
      <c r="D429" s="904"/>
      <c r="E429" s="2732"/>
      <c r="F429" s="2761"/>
      <c r="G429" s="1473"/>
      <c r="H429" s="1501" t="str">
        <f t="shared" si="8"/>
        <v/>
      </c>
    </row>
    <row r="430" spans="1:8" ht="15.6">
      <c r="A430" s="2684"/>
      <c r="B430" s="1593" t="s">
        <v>2162</v>
      </c>
      <c r="C430" s="1594" t="s">
        <v>2175</v>
      </c>
      <c r="D430" s="1589" t="s">
        <v>2277</v>
      </c>
      <c r="E430" s="2734" t="s">
        <v>691</v>
      </c>
      <c r="F430" s="1597">
        <v>24</v>
      </c>
      <c r="G430" s="1473"/>
      <c r="H430" s="1501">
        <f t="shared" si="8"/>
        <v>0</v>
      </c>
    </row>
    <row r="431" spans="1:8" ht="12.6" customHeight="1">
      <c r="A431" s="2684"/>
      <c r="B431" s="1593"/>
      <c r="C431" s="1594"/>
      <c r="D431" s="2746"/>
      <c r="E431" s="2734"/>
      <c r="F431" s="1597"/>
      <c r="G431" s="1473"/>
      <c r="H431" s="1501" t="str">
        <f t="shared" si="8"/>
        <v/>
      </c>
    </row>
    <row r="432" spans="1:8" ht="15.6">
      <c r="A432" s="2684"/>
      <c r="B432" s="1593" t="s">
        <v>2164</v>
      </c>
      <c r="C432" s="1594" t="s">
        <v>2175</v>
      </c>
      <c r="D432" s="1589" t="s">
        <v>2278</v>
      </c>
      <c r="E432" s="2734" t="s">
        <v>691</v>
      </c>
      <c r="F432" s="1597">
        <v>24</v>
      </c>
      <c r="G432" s="1473"/>
      <c r="H432" s="1501">
        <f t="shared" si="8"/>
        <v>0</v>
      </c>
    </row>
    <row r="433" spans="1:8" ht="12.6" customHeight="1">
      <c r="A433" s="2684"/>
      <c r="B433" s="1593"/>
      <c r="C433" s="1594"/>
      <c r="D433" s="1589"/>
      <c r="E433" s="2734"/>
      <c r="F433" s="1597"/>
      <c r="G433" s="1473"/>
      <c r="H433" s="1501" t="str">
        <f t="shared" si="8"/>
        <v/>
      </c>
    </row>
    <row r="434" spans="1:8" ht="15.6">
      <c r="A434" s="2684"/>
      <c r="B434" s="1593" t="s">
        <v>2166</v>
      </c>
      <c r="C434" s="1594" t="s">
        <v>2175</v>
      </c>
      <c r="D434" s="1589" t="s">
        <v>2279</v>
      </c>
      <c r="E434" s="2734" t="s">
        <v>691</v>
      </c>
      <c r="F434" s="1597">
        <v>10</v>
      </c>
      <c r="G434" s="1479"/>
      <c r="H434" s="1501">
        <f t="shared" si="8"/>
        <v>0</v>
      </c>
    </row>
    <row r="435" spans="1:8" ht="12.6" customHeight="1">
      <c r="A435" s="2684"/>
      <c r="B435" s="1593"/>
      <c r="C435" s="1594"/>
      <c r="D435" s="1589"/>
      <c r="E435" s="2734"/>
      <c r="F435" s="1597"/>
      <c r="G435" s="1479"/>
      <c r="H435" s="1501" t="str">
        <f t="shared" si="8"/>
        <v/>
      </c>
    </row>
    <row r="436" spans="1:8" ht="15.6">
      <c r="A436" s="2684"/>
      <c r="B436" s="1593" t="s">
        <v>2168</v>
      </c>
      <c r="C436" s="1594" t="s">
        <v>2175</v>
      </c>
      <c r="D436" s="1589" t="s">
        <v>2280</v>
      </c>
      <c r="E436" s="2734" t="s">
        <v>691</v>
      </c>
      <c r="F436" s="1597">
        <v>6</v>
      </c>
      <c r="G436" s="1473"/>
      <c r="H436" s="1501">
        <f t="shared" si="8"/>
        <v>0</v>
      </c>
    </row>
    <row r="437" spans="1:8" ht="12.6" customHeight="1">
      <c r="A437" s="2684"/>
      <c r="B437" s="1593"/>
      <c r="C437" s="1594"/>
      <c r="D437" s="1589"/>
      <c r="E437" s="2734"/>
      <c r="F437" s="1597"/>
      <c r="G437" s="1473"/>
      <c r="H437" s="1501" t="str">
        <f t="shared" si="8"/>
        <v/>
      </c>
    </row>
    <row r="438" spans="1:8" ht="15.6">
      <c r="A438" s="2684"/>
      <c r="B438" s="1593" t="s">
        <v>2171</v>
      </c>
      <c r="C438" s="1594" t="s">
        <v>2175</v>
      </c>
      <c r="D438" s="1589" t="s">
        <v>2281</v>
      </c>
      <c r="E438" s="2734" t="s">
        <v>691</v>
      </c>
      <c r="F438" s="1597">
        <v>6</v>
      </c>
      <c r="G438" s="1473"/>
      <c r="H438" s="1501">
        <f t="shared" si="8"/>
        <v>0</v>
      </c>
    </row>
    <row r="439" spans="1:8" ht="12.6" customHeight="1">
      <c r="A439" s="2684"/>
      <c r="B439" s="1593"/>
      <c r="C439" s="1594"/>
      <c r="D439" s="1589"/>
      <c r="E439" s="2734"/>
      <c r="F439" s="1597"/>
      <c r="G439" s="1474"/>
      <c r="H439" s="1501" t="str">
        <f t="shared" si="8"/>
        <v/>
      </c>
    </row>
    <row r="440" spans="1:8" ht="15.6">
      <c r="A440" s="2684"/>
      <c r="B440" s="1593" t="s">
        <v>2174</v>
      </c>
      <c r="C440" s="1594" t="s">
        <v>2175</v>
      </c>
      <c r="D440" s="1589" t="s">
        <v>2282</v>
      </c>
      <c r="E440" s="2734" t="s">
        <v>691</v>
      </c>
      <c r="F440" s="1597">
        <v>18</v>
      </c>
      <c r="G440" s="1479"/>
      <c r="H440" s="1501">
        <f t="shared" si="8"/>
        <v>0</v>
      </c>
    </row>
    <row r="441" spans="1:8" ht="12.6" customHeight="1">
      <c r="A441" s="2684"/>
      <c r="B441" s="1593"/>
      <c r="C441" s="1594"/>
      <c r="D441" s="2746"/>
      <c r="E441" s="2734"/>
      <c r="F441" s="1604"/>
      <c r="G441" s="1472"/>
      <c r="H441" s="1501" t="str">
        <f t="shared" si="8"/>
        <v/>
      </c>
    </row>
    <row r="442" spans="1:8" ht="15.6">
      <c r="A442" s="2684"/>
      <c r="B442" s="1593" t="s">
        <v>2178</v>
      </c>
      <c r="C442" s="1594" t="s">
        <v>2175</v>
      </c>
      <c r="D442" s="1589" t="s">
        <v>2283</v>
      </c>
      <c r="E442" s="2734" t="s">
        <v>691</v>
      </c>
      <c r="F442" s="1604">
        <v>10</v>
      </c>
      <c r="G442" s="1473"/>
      <c r="H442" s="1501">
        <f t="shared" si="8"/>
        <v>0</v>
      </c>
    </row>
    <row r="443" spans="1:8" ht="12.6" customHeight="1">
      <c r="A443" s="2684"/>
      <c r="B443" s="1593"/>
      <c r="C443" s="1594"/>
      <c r="D443" s="2746"/>
      <c r="E443" s="2734"/>
      <c r="F443" s="1604"/>
      <c r="G443" s="1472"/>
      <c r="H443" s="1501" t="str">
        <f t="shared" si="8"/>
        <v/>
      </c>
    </row>
    <row r="444" spans="1:8" ht="15.6">
      <c r="A444" s="2684"/>
      <c r="B444" s="1593" t="s">
        <v>2180</v>
      </c>
      <c r="C444" s="1594" t="s">
        <v>2175</v>
      </c>
      <c r="D444" s="1589" t="s">
        <v>2284</v>
      </c>
      <c r="E444" s="2734" t="s">
        <v>691</v>
      </c>
      <c r="F444" s="1604">
        <v>36</v>
      </c>
      <c r="G444" s="1472"/>
      <c r="H444" s="1501">
        <f t="shared" si="8"/>
        <v>0</v>
      </c>
    </row>
    <row r="445" spans="1:8" ht="12.6" customHeight="1">
      <c r="A445" s="2684"/>
      <c r="B445" s="1593"/>
      <c r="C445" s="1594"/>
      <c r="D445" s="1589"/>
      <c r="E445" s="2734"/>
      <c r="F445" s="1597"/>
      <c r="G445" s="1472"/>
      <c r="H445" s="1501" t="str">
        <f t="shared" si="8"/>
        <v/>
      </c>
    </row>
    <row r="446" spans="1:8" ht="12.6" customHeight="1">
      <c r="A446" s="2684">
        <f>$A$4</f>
        <v>19</v>
      </c>
      <c r="B446" s="2684">
        <v>4.3</v>
      </c>
      <c r="C446" s="1603"/>
      <c r="D446" s="2725" t="s">
        <v>2234</v>
      </c>
      <c r="E446" s="2764"/>
      <c r="F446" s="2765"/>
      <c r="G446" s="1473"/>
      <c r="H446" s="1501" t="str">
        <f t="shared" si="8"/>
        <v/>
      </c>
    </row>
    <row r="447" spans="1:8" ht="12.6" customHeight="1">
      <c r="A447" s="2684"/>
      <c r="B447" s="2684"/>
      <c r="C447" s="1603"/>
      <c r="D447" s="2725"/>
      <c r="E447" s="2764"/>
      <c r="F447" s="2765"/>
      <c r="G447" s="1473"/>
      <c r="H447" s="1501" t="str">
        <f t="shared" si="8"/>
        <v/>
      </c>
    </row>
    <row r="448" spans="1:8" ht="39.6">
      <c r="A448" s="2684"/>
      <c r="B448" s="2697"/>
      <c r="C448" s="1606"/>
      <c r="D448" s="1589" t="s">
        <v>2235</v>
      </c>
      <c r="E448" s="2766"/>
      <c r="F448" s="2767"/>
      <c r="G448" s="1472"/>
      <c r="H448" s="1501" t="str">
        <f t="shared" si="8"/>
        <v/>
      </c>
    </row>
    <row r="449" spans="1:8" ht="12.6" customHeight="1">
      <c r="A449" s="2684"/>
      <c r="B449" s="1605"/>
      <c r="C449" s="1606"/>
      <c r="D449" s="1589"/>
      <c r="E449" s="2768"/>
      <c r="F449" s="1607"/>
      <c r="G449" s="1473"/>
      <c r="H449" s="1501" t="str">
        <f t="shared" si="8"/>
        <v/>
      </c>
    </row>
    <row r="450" spans="1:8" ht="15.6">
      <c r="A450" s="1586"/>
      <c r="B450" s="1605" t="s">
        <v>2162</v>
      </c>
      <c r="C450" s="1594" t="s">
        <v>2175</v>
      </c>
      <c r="D450" s="1589" t="s">
        <v>2285</v>
      </c>
      <c r="E450" s="2744" t="s">
        <v>691</v>
      </c>
      <c r="F450" s="1609">
        <v>10</v>
      </c>
      <c r="G450" s="1473"/>
      <c r="H450" s="1501">
        <f t="shared" si="8"/>
        <v>0</v>
      </c>
    </row>
    <row r="451" spans="1:8" ht="12.6" customHeight="1">
      <c r="A451" s="1586"/>
      <c r="B451" s="1605"/>
      <c r="C451" s="1606"/>
      <c r="D451" s="1589"/>
      <c r="E451" s="2744"/>
      <c r="F451" s="1609"/>
      <c r="G451" s="1473"/>
      <c r="H451" s="1501" t="str">
        <f t="shared" si="8"/>
        <v/>
      </c>
    </row>
    <row r="452" spans="1:8" ht="15.6">
      <c r="A452" s="1586"/>
      <c r="B452" s="1605" t="s">
        <v>2164</v>
      </c>
      <c r="C452" s="1594" t="s">
        <v>2175</v>
      </c>
      <c r="D452" s="1589" t="s">
        <v>2286</v>
      </c>
      <c r="E452" s="2744" t="s">
        <v>691</v>
      </c>
      <c r="F452" s="1609">
        <v>10</v>
      </c>
      <c r="G452" s="1473"/>
      <c r="H452" s="1501">
        <f t="shared" si="8"/>
        <v>0</v>
      </c>
    </row>
    <row r="453" spans="1:8" ht="12.6" customHeight="1">
      <c r="A453" s="1586"/>
      <c r="B453" s="1605"/>
      <c r="C453" s="1606"/>
      <c r="D453" s="1589"/>
      <c r="E453" s="2744"/>
      <c r="F453" s="1609"/>
      <c r="G453" s="1473"/>
      <c r="H453" s="1501" t="str">
        <f t="shared" si="8"/>
        <v/>
      </c>
    </row>
    <row r="454" spans="1:8" ht="15.6">
      <c r="A454" s="1586"/>
      <c r="B454" s="1605" t="s">
        <v>2166</v>
      </c>
      <c r="C454" s="1594" t="s">
        <v>2175</v>
      </c>
      <c r="D454" s="1589" t="s">
        <v>2287</v>
      </c>
      <c r="E454" s="2744" t="s">
        <v>691</v>
      </c>
      <c r="F454" s="1609">
        <v>2</v>
      </c>
      <c r="G454" s="1473"/>
      <c r="H454" s="1501">
        <f t="shared" si="8"/>
        <v>0</v>
      </c>
    </row>
    <row r="455" spans="1:8">
      <c r="A455" s="1586"/>
      <c r="B455" s="1605"/>
      <c r="C455" s="1606"/>
      <c r="D455" s="1589"/>
      <c r="E455" s="2744"/>
      <c r="F455" s="1609"/>
      <c r="G455" s="1473"/>
      <c r="H455" s="1501" t="str">
        <f t="shared" si="8"/>
        <v/>
      </c>
    </row>
    <row r="456" spans="1:8" ht="15.6">
      <c r="A456" s="2684"/>
      <c r="B456" s="1605" t="s">
        <v>2168</v>
      </c>
      <c r="C456" s="1594" t="s">
        <v>2175</v>
      </c>
      <c r="D456" s="1589" t="s">
        <v>2288</v>
      </c>
      <c r="E456" s="2744" t="s">
        <v>691</v>
      </c>
      <c r="F456" s="1609">
        <v>2</v>
      </c>
      <c r="G456" s="1473"/>
      <c r="H456" s="1501">
        <f t="shared" si="8"/>
        <v>0</v>
      </c>
    </row>
    <row r="457" spans="1:8">
      <c r="A457" s="1586"/>
      <c r="B457" s="1605"/>
      <c r="C457" s="1606"/>
      <c r="D457" s="1589"/>
      <c r="E457" s="918"/>
      <c r="F457" s="1609"/>
      <c r="G457" s="1473"/>
      <c r="H457" s="919"/>
    </row>
    <row r="458" spans="1:8" ht="12.6" customHeight="1">
      <c r="A458" s="1586"/>
      <c r="B458" s="1271"/>
      <c r="C458" s="1792"/>
      <c r="D458" s="2647"/>
      <c r="E458" s="882"/>
      <c r="F458" s="1577"/>
      <c r="G458" s="1476"/>
      <c r="H458" s="902"/>
    </row>
    <row r="459" spans="1:8">
      <c r="A459" s="2333"/>
      <c r="B459" s="822"/>
      <c r="C459" s="1158"/>
      <c r="D459" s="840"/>
      <c r="E459" s="837"/>
      <c r="F459" s="838"/>
      <c r="G459" s="2748"/>
      <c r="H459" s="2749"/>
    </row>
    <row r="460" spans="1:8">
      <c r="A460" s="2336"/>
      <c r="B460" s="823"/>
      <c r="C460" s="1159"/>
      <c r="D460" s="774" t="s">
        <v>289</v>
      </c>
      <c r="E460" s="426"/>
      <c r="F460" s="24"/>
      <c r="G460" s="1477"/>
      <c r="H460" s="2750">
        <f>SUM(H393:H458)</f>
        <v>0</v>
      </c>
    </row>
    <row r="461" spans="1:8" ht="12.6" customHeight="1">
      <c r="A461" s="1586"/>
      <c r="B461" s="1271"/>
      <c r="C461" s="1155"/>
      <c r="D461" s="2751" t="s">
        <v>290</v>
      </c>
      <c r="E461" s="147"/>
      <c r="F461" s="1577"/>
      <c r="G461" s="1478"/>
      <c r="H461" s="896">
        <f>H460</f>
        <v>0</v>
      </c>
    </row>
    <row r="462" spans="1:8" ht="12.6" customHeight="1">
      <c r="A462" s="2684"/>
      <c r="B462" s="1593"/>
      <c r="C462" s="1594"/>
      <c r="D462" s="2722"/>
      <c r="E462" s="2732"/>
      <c r="F462" s="2735"/>
      <c r="G462" s="1472"/>
      <c r="H462" s="2720"/>
    </row>
    <row r="463" spans="1:8" ht="12.6" customHeight="1">
      <c r="A463" s="2684">
        <f>$A$4</f>
        <v>19</v>
      </c>
      <c r="B463" s="2684">
        <v>4.4000000000000004</v>
      </c>
      <c r="C463" s="1594"/>
      <c r="D463" s="2723" t="s">
        <v>2220</v>
      </c>
      <c r="E463" s="2732"/>
      <c r="F463" s="2735"/>
      <c r="G463" s="1473"/>
      <c r="H463" s="2747"/>
    </row>
    <row r="464" spans="1:8" ht="12.6" customHeight="1">
      <c r="A464" s="2684"/>
      <c r="B464" s="2684"/>
      <c r="C464" s="1594"/>
      <c r="D464" s="2723"/>
      <c r="E464" s="2732"/>
      <c r="F464" s="2735"/>
      <c r="G464" s="1473"/>
      <c r="H464" s="2747"/>
    </row>
    <row r="465" spans="1:8" ht="16.2">
      <c r="A465" s="2684"/>
      <c r="B465" s="1593" t="s">
        <v>2162</v>
      </c>
      <c r="C465" s="1594" t="s">
        <v>2221</v>
      </c>
      <c r="D465" s="1595" t="s">
        <v>2222</v>
      </c>
      <c r="E465" s="2762" t="s">
        <v>631</v>
      </c>
      <c r="F465" s="2719">
        <v>74.399999999999991</v>
      </c>
      <c r="G465" s="1472"/>
      <c r="H465" s="1501">
        <f t="shared" ref="H465:H525" si="9">IF(E465="","",ROUND(F465*G465,2))</f>
        <v>0</v>
      </c>
    </row>
    <row r="466" spans="1:8" ht="12.6" customHeight="1">
      <c r="A466" s="2684"/>
      <c r="B466" s="1593"/>
      <c r="C466" s="1594"/>
      <c r="D466" s="1595"/>
      <c r="E466" s="2762"/>
      <c r="F466" s="2719"/>
      <c r="G466" s="1472"/>
      <c r="H466" s="1501" t="str">
        <f t="shared" si="9"/>
        <v/>
      </c>
    </row>
    <row r="467" spans="1:8" ht="16.2">
      <c r="A467" s="2684"/>
      <c r="B467" s="1604" t="s">
        <v>2164</v>
      </c>
      <c r="C467" s="1594" t="s">
        <v>2221</v>
      </c>
      <c r="D467" s="1595" t="s">
        <v>2223</v>
      </c>
      <c r="E467" s="2762" t="s">
        <v>631</v>
      </c>
      <c r="F467" s="2719">
        <v>74.399999999999991</v>
      </c>
      <c r="G467" s="1474"/>
      <c r="H467" s="1501">
        <f t="shared" si="9"/>
        <v>0</v>
      </c>
    </row>
    <row r="468" spans="1:8" ht="12.6" customHeight="1">
      <c r="A468" s="2684"/>
      <c r="B468" s="1593"/>
      <c r="C468" s="1594"/>
      <c r="D468" s="2722"/>
      <c r="E468" s="1596"/>
      <c r="F468" s="2763"/>
      <c r="G468" s="1473"/>
      <c r="H468" s="1501" t="str">
        <f t="shared" si="9"/>
        <v/>
      </c>
    </row>
    <row r="469" spans="1:8" ht="12.6" customHeight="1">
      <c r="A469" s="2684">
        <f>$A$4</f>
        <v>19</v>
      </c>
      <c r="B469" s="2684">
        <v>4.5</v>
      </c>
      <c r="C469" s="1594"/>
      <c r="D469" s="2723" t="s">
        <v>2224</v>
      </c>
      <c r="E469" s="1596"/>
      <c r="F469" s="2763"/>
      <c r="G469" s="1472"/>
      <c r="H469" s="1501" t="str">
        <f t="shared" si="9"/>
        <v/>
      </c>
    </row>
    <row r="470" spans="1:8" ht="12.6" customHeight="1">
      <c r="A470" s="2684"/>
      <c r="B470" s="1593"/>
      <c r="C470" s="1594"/>
      <c r="D470" s="2722"/>
      <c r="E470" s="1596"/>
      <c r="F470" s="2763"/>
      <c r="G470" s="1472"/>
      <c r="H470" s="1501" t="str">
        <f t="shared" si="9"/>
        <v/>
      </c>
    </row>
    <row r="471" spans="1:8" ht="12.6" customHeight="1">
      <c r="A471" s="2684"/>
      <c r="B471" s="1593" t="s">
        <v>2162</v>
      </c>
      <c r="C471" s="1594" t="s">
        <v>2225</v>
      </c>
      <c r="D471" s="1595" t="s">
        <v>2289</v>
      </c>
      <c r="E471" s="1596" t="s">
        <v>691</v>
      </c>
      <c r="F471" s="1604">
        <v>18</v>
      </c>
      <c r="G471" s="1472"/>
      <c r="H471" s="1501">
        <f t="shared" si="9"/>
        <v>0</v>
      </c>
    </row>
    <row r="472" spans="1:8" ht="12.6" customHeight="1">
      <c r="A472" s="2684"/>
      <c r="B472" s="1593"/>
      <c r="C472" s="1594"/>
      <c r="D472" s="1595"/>
      <c r="E472" s="1596"/>
      <c r="F472" s="1597"/>
      <c r="G472" s="1472"/>
      <c r="H472" s="1501" t="str">
        <f t="shared" si="9"/>
        <v/>
      </c>
    </row>
    <row r="473" spans="1:8" ht="12.6" customHeight="1">
      <c r="A473" s="2684">
        <f>$A$4</f>
        <v>19</v>
      </c>
      <c r="B473" s="2684">
        <v>4.5999999999999996</v>
      </c>
      <c r="C473" s="1594"/>
      <c r="D473" s="2723" t="s">
        <v>2227</v>
      </c>
      <c r="E473" s="1596"/>
      <c r="F473" s="2673"/>
      <c r="G473" s="1472"/>
      <c r="H473" s="1501" t="str">
        <f t="shared" si="9"/>
        <v/>
      </c>
    </row>
    <row r="474" spans="1:8" ht="12.6" customHeight="1">
      <c r="A474" s="2684"/>
      <c r="B474" s="2684"/>
      <c r="C474" s="1594"/>
      <c r="D474" s="2723"/>
      <c r="E474" s="1596"/>
      <c r="F474" s="2673"/>
      <c r="G474" s="1472"/>
      <c r="H474" s="1501" t="str">
        <f t="shared" si="9"/>
        <v/>
      </c>
    </row>
    <row r="475" spans="1:8" ht="26.4">
      <c r="A475" s="2684"/>
      <c r="B475" s="1593"/>
      <c r="C475" s="1594" t="s">
        <v>2228</v>
      </c>
      <c r="D475" s="1595" t="s">
        <v>2290</v>
      </c>
      <c r="E475" s="1596"/>
      <c r="F475" s="2673"/>
      <c r="G475" s="1472"/>
      <c r="H475" s="1501" t="str">
        <f t="shared" si="9"/>
        <v/>
      </c>
    </row>
    <row r="476" spans="1:8" ht="12.6" customHeight="1">
      <c r="A476" s="2684"/>
      <c r="B476" s="1593"/>
      <c r="C476" s="1594"/>
      <c r="D476" s="1595"/>
      <c r="E476" s="1596"/>
      <c r="F476" s="1597"/>
      <c r="G476" s="1472"/>
      <c r="H476" s="1501" t="str">
        <f t="shared" si="9"/>
        <v/>
      </c>
    </row>
    <row r="477" spans="1:8" ht="12.6" customHeight="1">
      <c r="A477" s="2684"/>
      <c r="B477" s="1593" t="s">
        <v>2162</v>
      </c>
      <c r="C477" s="1594" t="s">
        <v>2228</v>
      </c>
      <c r="D477" s="1595" t="s">
        <v>2230</v>
      </c>
      <c r="E477" s="1596" t="s">
        <v>561</v>
      </c>
      <c r="F477" s="1597">
        <v>200</v>
      </c>
      <c r="G477" s="1473"/>
      <c r="H477" s="1501">
        <f t="shared" si="9"/>
        <v>0</v>
      </c>
    </row>
    <row r="478" spans="1:8" ht="12.6" customHeight="1">
      <c r="A478" s="2684"/>
      <c r="B478" s="1593"/>
      <c r="C478" s="1594"/>
      <c r="D478" s="1595"/>
      <c r="E478" s="1596"/>
      <c r="F478" s="1597"/>
      <c r="G478" s="1473"/>
      <c r="H478" s="1501" t="str">
        <f t="shared" si="9"/>
        <v/>
      </c>
    </row>
    <row r="479" spans="1:8" ht="12.6" customHeight="1">
      <c r="A479" s="2684"/>
      <c r="B479" s="1604" t="s">
        <v>2164</v>
      </c>
      <c r="C479" s="1594" t="s">
        <v>2228</v>
      </c>
      <c r="D479" s="1595" t="s">
        <v>2231</v>
      </c>
      <c r="E479" s="1596" t="s">
        <v>561</v>
      </c>
      <c r="F479" s="2724">
        <v>200</v>
      </c>
      <c r="G479" s="1472"/>
      <c r="H479" s="1501">
        <f t="shared" si="9"/>
        <v>0</v>
      </c>
    </row>
    <row r="480" spans="1:8" ht="12.6" customHeight="1">
      <c r="A480" s="2684"/>
      <c r="B480" s="1604"/>
      <c r="C480" s="1594"/>
      <c r="D480" s="1595"/>
      <c r="E480" s="1596"/>
      <c r="F480" s="2724"/>
      <c r="G480" s="1472"/>
      <c r="H480" s="1501" t="str">
        <f t="shared" si="9"/>
        <v/>
      </c>
    </row>
    <row r="481" spans="1:8" ht="12.6" customHeight="1">
      <c r="A481" s="2684"/>
      <c r="B481" s="1604" t="s">
        <v>2166</v>
      </c>
      <c r="C481" s="1594" t="s">
        <v>2228</v>
      </c>
      <c r="D481" s="1595" t="s">
        <v>2263</v>
      </c>
      <c r="E481" s="1596" t="s">
        <v>561</v>
      </c>
      <c r="F481" s="2724">
        <v>100</v>
      </c>
      <c r="G481" s="1474"/>
      <c r="H481" s="1501">
        <f t="shared" si="9"/>
        <v>0</v>
      </c>
    </row>
    <row r="482" spans="1:8" ht="12.6" customHeight="1">
      <c r="A482" s="2684"/>
      <c r="B482" s="1604"/>
      <c r="C482" s="1594"/>
      <c r="D482" s="1595"/>
      <c r="E482" s="1596"/>
      <c r="F482" s="2724"/>
      <c r="G482" s="1474"/>
      <c r="H482" s="1501" t="str">
        <f t="shared" si="9"/>
        <v/>
      </c>
    </row>
    <row r="483" spans="1:8" ht="12.6" customHeight="1">
      <c r="A483" s="2684"/>
      <c r="B483" s="1604" t="s">
        <v>2168</v>
      </c>
      <c r="C483" s="1594" t="s">
        <v>2228</v>
      </c>
      <c r="D483" s="1595" t="s">
        <v>2291</v>
      </c>
      <c r="E483" s="1596" t="s">
        <v>561</v>
      </c>
      <c r="F483" s="2724">
        <v>50</v>
      </c>
      <c r="G483" s="1473"/>
      <c r="H483" s="1501">
        <f t="shared" si="9"/>
        <v>0</v>
      </c>
    </row>
    <row r="484" spans="1:8" ht="12.6" customHeight="1">
      <c r="A484" s="2684"/>
      <c r="B484" s="1604"/>
      <c r="C484" s="1594"/>
      <c r="D484" s="1595"/>
      <c r="E484" s="1596"/>
      <c r="F484" s="2724"/>
      <c r="G484" s="1473"/>
      <c r="H484" s="1501" t="str">
        <f t="shared" si="9"/>
        <v/>
      </c>
    </row>
    <row r="485" spans="1:8" ht="15.6">
      <c r="A485" s="2684"/>
      <c r="B485" s="1604" t="s">
        <v>2171</v>
      </c>
      <c r="C485" s="1594" t="s">
        <v>2228</v>
      </c>
      <c r="D485" s="1595" t="s">
        <v>2232</v>
      </c>
      <c r="E485" s="1596" t="s">
        <v>691</v>
      </c>
      <c r="F485" s="2724">
        <v>10</v>
      </c>
      <c r="G485" s="1472"/>
      <c r="H485" s="1501">
        <f t="shared" si="9"/>
        <v>0</v>
      </c>
    </row>
    <row r="486" spans="1:8" ht="12.6" customHeight="1">
      <c r="A486" s="2684"/>
      <c r="B486" s="1604"/>
      <c r="C486" s="1594"/>
      <c r="D486" s="1595"/>
      <c r="E486" s="1596"/>
      <c r="F486" s="2724"/>
      <c r="G486" s="1472"/>
      <c r="H486" s="1501" t="str">
        <f t="shared" si="9"/>
        <v/>
      </c>
    </row>
    <row r="487" spans="1:8" ht="15.6">
      <c r="A487" s="2684"/>
      <c r="B487" s="1604" t="s">
        <v>2174</v>
      </c>
      <c r="C487" s="1594" t="s">
        <v>2228</v>
      </c>
      <c r="D487" s="1595" t="s">
        <v>2233</v>
      </c>
      <c r="E487" s="1596" t="s">
        <v>691</v>
      </c>
      <c r="F487" s="2724">
        <v>10</v>
      </c>
      <c r="G487" s="1473"/>
      <c r="H487" s="1501">
        <f t="shared" si="9"/>
        <v>0</v>
      </c>
    </row>
    <row r="488" spans="1:8" ht="12.6" customHeight="1">
      <c r="A488" s="2684"/>
      <c r="B488" s="1604"/>
      <c r="C488" s="1594"/>
      <c r="D488" s="1595"/>
      <c r="E488" s="1596"/>
      <c r="F488" s="2724"/>
      <c r="G488" s="1473"/>
      <c r="H488" s="1501" t="str">
        <f t="shared" si="9"/>
        <v/>
      </c>
    </row>
    <row r="489" spans="1:8" ht="15.6">
      <c r="A489" s="2684"/>
      <c r="B489" s="2691" t="s">
        <v>2178</v>
      </c>
      <c r="C489" s="1599" t="s">
        <v>2228</v>
      </c>
      <c r="D489" s="1595" t="s">
        <v>2265</v>
      </c>
      <c r="E489" s="1596" t="s">
        <v>691</v>
      </c>
      <c r="F489" s="1604">
        <v>8</v>
      </c>
      <c r="G489" s="1474"/>
      <c r="H489" s="1501">
        <f t="shared" si="9"/>
        <v>0</v>
      </c>
    </row>
    <row r="490" spans="1:8" ht="12.6" customHeight="1">
      <c r="A490" s="2684"/>
      <c r="B490" s="2691"/>
      <c r="C490" s="1599"/>
      <c r="D490" s="1595"/>
      <c r="E490" s="1596"/>
      <c r="F490" s="1604"/>
      <c r="G490" s="1474"/>
      <c r="H490" s="1501" t="str">
        <f t="shared" si="9"/>
        <v/>
      </c>
    </row>
    <row r="491" spans="1:8" ht="15.6">
      <c r="A491" s="2684"/>
      <c r="B491" s="1598" t="s">
        <v>2180</v>
      </c>
      <c r="C491" s="1599" t="s">
        <v>2228</v>
      </c>
      <c r="D491" s="1595" t="s">
        <v>2292</v>
      </c>
      <c r="E491" s="1590" t="s">
        <v>691</v>
      </c>
      <c r="F491" s="1601">
        <v>8</v>
      </c>
      <c r="G491" s="1473"/>
      <c r="H491" s="1501">
        <f t="shared" si="9"/>
        <v>0</v>
      </c>
    </row>
    <row r="492" spans="1:8" ht="12.6" customHeight="1">
      <c r="A492" s="2684"/>
      <c r="B492" s="2779"/>
      <c r="C492" s="1606"/>
      <c r="D492" s="1595"/>
      <c r="E492" s="2768"/>
      <c r="F492" s="1607"/>
      <c r="G492" s="1472"/>
      <c r="H492" s="1501" t="str">
        <f t="shared" si="9"/>
        <v/>
      </c>
    </row>
    <row r="493" spans="1:8" ht="12.6" customHeight="1">
      <c r="A493" s="2684">
        <f>$A$4</f>
        <v>19</v>
      </c>
      <c r="B493" s="2684">
        <v>4.7</v>
      </c>
      <c r="C493" s="1606"/>
      <c r="D493" s="2723" t="s">
        <v>2293</v>
      </c>
      <c r="E493" s="2768"/>
      <c r="F493" s="1607"/>
      <c r="G493" s="1473"/>
      <c r="H493" s="1501" t="str">
        <f t="shared" si="9"/>
        <v/>
      </c>
    </row>
    <row r="494" spans="1:8" ht="12.6" customHeight="1">
      <c r="A494" s="2684"/>
      <c r="B494" s="2684"/>
      <c r="C494" s="1606"/>
      <c r="D494" s="2723"/>
      <c r="E494" s="2768"/>
      <c r="F494" s="1607"/>
      <c r="G494" s="1473"/>
      <c r="H494" s="1501" t="str">
        <f t="shared" si="9"/>
        <v/>
      </c>
    </row>
    <row r="495" spans="1:8" ht="26.4">
      <c r="A495" s="2684"/>
      <c r="B495" s="2755"/>
      <c r="C495" s="1606" t="s">
        <v>2294</v>
      </c>
      <c r="D495" s="1595" t="s">
        <v>2295</v>
      </c>
      <c r="E495" s="2768"/>
      <c r="F495" s="1607"/>
      <c r="G495" s="1472"/>
      <c r="H495" s="1501" t="str">
        <f t="shared" si="9"/>
        <v/>
      </c>
    </row>
    <row r="496" spans="1:8" ht="12.6" customHeight="1">
      <c r="A496" s="2684"/>
      <c r="B496" s="1605"/>
      <c r="C496" s="1606"/>
      <c r="D496" s="1595"/>
      <c r="E496" s="2768"/>
      <c r="F496" s="1607"/>
      <c r="G496" s="1475"/>
      <c r="H496" s="1501" t="str">
        <f t="shared" si="9"/>
        <v/>
      </c>
    </row>
    <row r="497" spans="1:8" ht="26.4">
      <c r="A497" s="2684"/>
      <c r="B497" s="1605" t="s">
        <v>2162</v>
      </c>
      <c r="C497" s="1606" t="s">
        <v>2294</v>
      </c>
      <c r="D497" s="1595" t="s">
        <v>2296</v>
      </c>
      <c r="E497" s="2744" t="s">
        <v>691</v>
      </c>
      <c r="F497" s="1609">
        <v>16</v>
      </c>
      <c r="G497" s="1473"/>
      <c r="H497" s="1501">
        <f t="shared" si="9"/>
        <v>0</v>
      </c>
    </row>
    <row r="498" spans="1:8" ht="12.6" customHeight="1">
      <c r="A498" s="2684"/>
      <c r="B498" s="1605"/>
      <c r="C498" s="1606"/>
      <c r="D498" s="1595"/>
      <c r="E498" s="2744"/>
      <c r="F498" s="1609"/>
      <c r="G498" s="1475"/>
      <c r="H498" s="1501" t="str">
        <f t="shared" si="9"/>
        <v/>
      </c>
    </row>
    <row r="499" spans="1:8" ht="12.6" customHeight="1">
      <c r="A499" s="2684"/>
      <c r="B499" s="1605" t="s">
        <v>2164</v>
      </c>
      <c r="C499" s="1606" t="s">
        <v>2294</v>
      </c>
      <c r="D499" s="1595" t="s">
        <v>2297</v>
      </c>
      <c r="E499" s="2744" t="s">
        <v>691</v>
      </c>
      <c r="F499" s="1609">
        <v>1</v>
      </c>
      <c r="G499" s="1473"/>
      <c r="H499" s="1501">
        <f t="shared" si="9"/>
        <v>0</v>
      </c>
    </row>
    <row r="500" spans="1:8" ht="12.6" customHeight="1">
      <c r="A500" s="2684"/>
      <c r="B500" s="2779"/>
      <c r="C500" s="1606"/>
      <c r="D500" s="1595"/>
      <c r="E500" s="2768"/>
      <c r="F500" s="1607"/>
      <c r="G500" s="1473"/>
      <c r="H500" s="1501" t="str">
        <f t="shared" si="9"/>
        <v/>
      </c>
    </row>
    <row r="501" spans="1:8" ht="26.4">
      <c r="A501" s="2684"/>
      <c r="B501" s="1605" t="s">
        <v>2166</v>
      </c>
      <c r="C501" s="1606" t="s">
        <v>2298</v>
      </c>
      <c r="D501" s="1589" t="s">
        <v>2299</v>
      </c>
      <c r="E501" s="2744" t="s">
        <v>691</v>
      </c>
      <c r="F501" s="1609">
        <v>1</v>
      </c>
      <c r="G501" s="1475"/>
      <c r="H501" s="1501">
        <f t="shared" si="9"/>
        <v>0</v>
      </c>
    </row>
    <row r="502" spans="1:8">
      <c r="A502" s="2684"/>
      <c r="B502" s="2780"/>
      <c r="C502" s="2770"/>
      <c r="D502" s="1589"/>
      <c r="E502" s="2744"/>
      <c r="F502" s="1609"/>
      <c r="G502" s="1473"/>
      <c r="H502" s="1501" t="str">
        <f t="shared" si="9"/>
        <v/>
      </c>
    </row>
    <row r="503" spans="1:8" ht="39.6">
      <c r="A503" s="2684"/>
      <c r="B503" s="1605" t="s">
        <v>2168</v>
      </c>
      <c r="C503" s="1606" t="s">
        <v>2298</v>
      </c>
      <c r="D503" s="1589" t="s">
        <v>2300</v>
      </c>
      <c r="E503" s="2744" t="s">
        <v>691</v>
      </c>
      <c r="F503" s="1609">
        <v>1</v>
      </c>
      <c r="G503" s="1473"/>
      <c r="H503" s="1501">
        <f t="shared" si="9"/>
        <v>0</v>
      </c>
    </row>
    <row r="504" spans="1:8">
      <c r="A504" s="2684"/>
      <c r="B504" s="2780"/>
      <c r="C504" s="2770"/>
      <c r="D504" s="1589"/>
      <c r="E504" s="2744"/>
      <c r="F504" s="1609"/>
      <c r="G504" s="1475"/>
      <c r="H504" s="1501" t="str">
        <f t="shared" si="9"/>
        <v/>
      </c>
    </row>
    <row r="505" spans="1:8" ht="26.4">
      <c r="A505" s="2684"/>
      <c r="B505" s="2737" t="s">
        <v>2171</v>
      </c>
      <c r="C505" s="1606" t="s">
        <v>2298</v>
      </c>
      <c r="D505" s="1595" t="s">
        <v>2301</v>
      </c>
      <c r="E505" s="1596" t="s">
        <v>691</v>
      </c>
      <c r="F505" s="1604">
        <v>6</v>
      </c>
      <c r="G505" s="1473"/>
      <c r="H505" s="1501">
        <f t="shared" si="9"/>
        <v>0</v>
      </c>
    </row>
    <row r="506" spans="1:8">
      <c r="A506" s="2684"/>
      <c r="B506" s="2780"/>
      <c r="C506" s="1606" t="s">
        <v>2298</v>
      </c>
      <c r="D506" s="1595"/>
      <c r="E506" s="2768"/>
      <c r="F506" s="2781"/>
      <c r="G506" s="1473"/>
      <c r="H506" s="1501" t="str">
        <f t="shared" si="9"/>
        <v/>
      </c>
    </row>
    <row r="507" spans="1:8" ht="26.4">
      <c r="A507" s="2684"/>
      <c r="B507" s="1593" t="s">
        <v>2174</v>
      </c>
      <c r="C507" s="1606" t="s">
        <v>2298</v>
      </c>
      <c r="D507" s="1595" t="s">
        <v>2302</v>
      </c>
      <c r="E507" s="1596" t="s">
        <v>691</v>
      </c>
      <c r="F507" s="1604">
        <v>3</v>
      </c>
      <c r="G507" s="1475"/>
      <c r="H507" s="1501">
        <f t="shared" si="9"/>
        <v>0</v>
      </c>
    </row>
    <row r="508" spans="1:8" ht="12.6" customHeight="1">
      <c r="A508" s="2684"/>
      <c r="B508" s="1271"/>
      <c r="C508" s="1155"/>
      <c r="D508" s="2751"/>
      <c r="E508" s="147"/>
      <c r="F508" s="1577"/>
      <c r="G508" s="1478"/>
      <c r="H508" s="1501" t="str">
        <f t="shared" si="9"/>
        <v/>
      </c>
    </row>
    <row r="509" spans="1:8" ht="26.4">
      <c r="A509" s="2684">
        <f>$A$4</f>
        <v>19</v>
      </c>
      <c r="B509" s="2684">
        <v>4.8</v>
      </c>
      <c r="C509" s="1588"/>
      <c r="D509" s="2723" t="s">
        <v>2303</v>
      </c>
      <c r="E509" s="2782"/>
      <c r="F509" s="2782"/>
      <c r="G509" s="1473"/>
      <c r="H509" s="1501" t="str">
        <f t="shared" si="9"/>
        <v/>
      </c>
    </row>
    <row r="510" spans="1:8" ht="12.6" customHeight="1">
      <c r="A510" s="2684"/>
      <c r="B510" s="1587"/>
      <c r="C510" s="2783"/>
      <c r="D510" s="2725"/>
      <c r="E510" s="2782"/>
      <c r="F510" s="2784"/>
      <c r="G510" s="1475"/>
      <c r="H510" s="1501" t="str">
        <f t="shared" si="9"/>
        <v/>
      </c>
    </row>
    <row r="511" spans="1:8" ht="66">
      <c r="A511" s="2684"/>
      <c r="B511" s="1587" t="s">
        <v>2162</v>
      </c>
      <c r="C511" s="2783" t="s">
        <v>2304</v>
      </c>
      <c r="D511" s="1589" t="s">
        <v>2305</v>
      </c>
      <c r="E511" s="1591" t="s">
        <v>691</v>
      </c>
      <c r="F511" s="1591">
        <v>5</v>
      </c>
      <c r="G511" s="1473"/>
      <c r="H511" s="1501">
        <f t="shared" si="9"/>
        <v>0</v>
      </c>
    </row>
    <row r="512" spans="1:8">
      <c r="A512" s="2684"/>
      <c r="B512" s="1587"/>
      <c r="C512" s="1588"/>
      <c r="D512" s="2722"/>
      <c r="E512" s="2782"/>
      <c r="F512" s="2782"/>
      <c r="G512" s="1475"/>
      <c r="H512" s="1501" t="str">
        <f t="shared" si="9"/>
        <v/>
      </c>
    </row>
    <row r="513" spans="1:8" ht="12.6" customHeight="1">
      <c r="A513" s="2684">
        <f>$A$4</f>
        <v>19</v>
      </c>
      <c r="B513" s="2684">
        <v>4.9000000000000004</v>
      </c>
      <c r="C513" s="1588"/>
      <c r="D513" s="2723" t="s">
        <v>2306</v>
      </c>
      <c r="E513" s="2782"/>
      <c r="F513" s="2782"/>
      <c r="G513" s="1475"/>
      <c r="H513" s="1501" t="str">
        <f t="shared" si="9"/>
        <v/>
      </c>
    </row>
    <row r="514" spans="1:8">
      <c r="A514" s="2684"/>
      <c r="B514" s="2684"/>
      <c r="C514" s="1588"/>
      <c r="D514" s="920"/>
      <c r="E514" s="2782"/>
      <c r="F514" s="2782"/>
      <c r="G514" s="1475"/>
      <c r="H514" s="1501" t="str">
        <f t="shared" si="9"/>
        <v/>
      </c>
    </row>
    <row r="515" spans="1:8" ht="26.4">
      <c r="A515" s="2684"/>
      <c r="B515" s="1587" t="s">
        <v>2162</v>
      </c>
      <c r="C515" s="1588" t="s">
        <v>2307</v>
      </c>
      <c r="D515" s="1589" t="s">
        <v>2308</v>
      </c>
      <c r="E515" s="1591" t="s">
        <v>691</v>
      </c>
      <c r="F515" s="2785">
        <v>4</v>
      </c>
      <c r="G515" s="1475"/>
      <c r="H515" s="1501">
        <f t="shared" si="9"/>
        <v>0</v>
      </c>
    </row>
    <row r="516" spans="1:8">
      <c r="A516" s="2684"/>
      <c r="B516" s="1587"/>
      <c r="C516" s="1588"/>
      <c r="D516" s="1589"/>
      <c r="E516" s="1590"/>
      <c r="F516" s="1591"/>
      <c r="G516" s="1475"/>
      <c r="H516" s="1501" t="str">
        <f t="shared" si="9"/>
        <v/>
      </c>
    </row>
    <row r="517" spans="1:8" ht="12.6" customHeight="1">
      <c r="A517" s="2684">
        <f>$A$4</f>
        <v>19</v>
      </c>
      <c r="B517" s="2786">
        <v>4.0999999999999996</v>
      </c>
      <c r="C517" s="2783"/>
      <c r="D517" s="2723" t="s">
        <v>2236</v>
      </c>
      <c r="E517" s="2726"/>
      <c r="F517" s="1609"/>
      <c r="G517" s="1475"/>
      <c r="H517" s="1501" t="str">
        <f t="shared" si="9"/>
        <v/>
      </c>
    </row>
    <row r="518" spans="1:8" ht="12.6" customHeight="1">
      <c r="A518" s="1586"/>
      <c r="B518" s="1587"/>
      <c r="C518" s="1588"/>
      <c r="D518" s="2725"/>
      <c r="E518" s="1590"/>
      <c r="F518" s="1591"/>
      <c r="G518" s="1473"/>
      <c r="H518" s="1501" t="str">
        <f t="shared" si="9"/>
        <v/>
      </c>
    </row>
    <row r="519" spans="1:8">
      <c r="A519" s="1586"/>
      <c r="B519" s="1587" t="s">
        <v>2162</v>
      </c>
      <c r="C519" s="1588" t="s">
        <v>2237</v>
      </c>
      <c r="D519" s="1589" t="s">
        <v>2309</v>
      </c>
      <c r="E519" s="1590" t="s">
        <v>691</v>
      </c>
      <c r="F519" s="1591">
        <v>3</v>
      </c>
      <c r="G519" s="1475"/>
      <c r="H519" s="1501">
        <f t="shared" si="9"/>
        <v>0</v>
      </c>
    </row>
    <row r="520" spans="1:8" ht="12.6" customHeight="1">
      <c r="A520" s="1586"/>
      <c r="B520" s="1587"/>
      <c r="C520" s="1588"/>
      <c r="D520" s="1589"/>
      <c r="E520" s="1590"/>
      <c r="F520" s="1591"/>
      <c r="G520" s="1475"/>
      <c r="H520" s="1501" t="str">
        <f t="shared" si="9"/>
        <v/>
      </c>
    </row>
    <row r="521" spans="1:8" ht="12.6" customHeight="1">
      <c r="A521" s="1586"/>
      <c r="B521" s="1587" t="s">
        <v>2164</v>
      </c>
      <c r="C521" s="1588" t="s">
        <v>2237</v>
      </c>
      <c r="D521" s="1589" t="s">
        <v>2239</v>
      </c>
      <c r="E521" s="1590" t="s">
        <v>691</v>
      </c>
      <c r="F521" s="1591">
        <v>3</v>
      </c>
      <c r="G521" s="1475"/>
      <c r="H521" s="1501">
        <f t="shared" si="9"/>
        <v>0</v>
      </c>
    </row>
    <row r="522" spans="1:8" ht="12.6" customHeight="1">
      <c r="A522" s="1586"/>
      <c r="B522" s="1587"/>
      <c r="C522" s="1588"/>
      <c r="D522" s="1589"/>
      <c r="E522" s="1590"/>
      <c r="F522" s="1591"/>
      <c r="G522" s="1473"/>
      <c r="H522" s="1501" t="str">
        <f t="shared" si="9"/>
        <v/>
      </c>
    </row>
    <row r="523" spans="1:8">
      <c r="A523" s="1586"/>
      <c r="B523" s="1587" t="s">
        <v>2166</v>
      </c>
      <c r="C523" s="1588" t="s">
        <v>2237</v>
      </c>
      <c r="D523" s="1589" t="s">
        <v>2310</v>
      </c>
      <c r="E523" s="1590" t="s">
        <v>691</v>
      </c>
      <c r="F523" s="1597">
        <v>4</v>
      </c>
      <c r="G523" s="1475"/>
      <c r="H523" s="1501">
        <f t="shared" si="9"/>
        <v>0</v>
      </c>
    </row>
    <row r="524" spans="1:8">
      <c r="A524" s="1586"/>
      <c r="B524" s="1587"/>
      <c r="C524" s="1588"/>
      <c r="D524" s="1589"/>
      <c r="E524" s="1590"/>
      <c r="F524" s="1591"/>
      <c r="G524" s="1475"/>
      <c r="H524" s="1501" t="str">
        <f t="shared" si="9"/>
        <v/>
      </c>
    </row>
    <row r="525" spans="1:8" ht="12.6" customHeight="1">
      <c r="A525" s="1586"/>
      <c r="B525" s="1587" t="s">
        <v>2168</v>
      </c>
      <c r="C525" s="1588" t="s">
        <v>2237</v>
      </c>
      <c r="D525" s="1589" t="s">
        <v>2239</v>
      </c>
      <c r="E525" s="1590" t="s">
        <v>691</v>
      </c>
      <c r="F525" s="1591">
        <v>4</v>
      </c>
      <c r="G525" s="1475"/>
      <c r="H525" s="1501">
        <f t="shared" si="9"/>
        <v>0</v>
      </c>
    </row>
    <row r="526" spans="1:8" ht="12.6" customHeight="1">
      <c r="A526" s="1586"/>
      <c r="B526" s="1587"/>
      <c r="C526" s="1588"/>
      <c r="D526" s="1589"/>
      <c r="E526" s="1590"/>
      <c r="F526" s="1591"/>
      <c r="G526" s="1475"/>
      <c r="H526" s="1592"/>
    </row>
    <row r="527" spans="1:8">
      <c r="A527" s="1586"/>
      <c r="B527" s="1593"/>
      <c r="C527" s="1603"/>
      <c r="D527" s="1589"/>
      <c r="E527" s="2726"/>
      <c r="F527" s="1597"/>
      <c r="G527" s="1475"/>
      <c r="H527" s="2720"/>
    </row>
    <row r="528" spans="1:8">
      <c r="A528" s="2684"/>
      <c r="B528" s="1271"/>
      <c r="C528" s="1792"/>
      <c r="D528" s="2647"/>
      <c r="E528" s="882"/>
      <c r="F528" s="1577"/>
      <c r="G528" s="1476"/>
      <c r="H528" s="902"/>
    </row>
    <row r="529" spans="1:8">
      <c r="A529" s="2333"/>
      <c r="B529" s="822"/>
      <c r="C529" s="1158"/>
      <c r="D529" s="840"/>
      <c r="E529" s="837"/>
      <c r="F529" s="838"/>
      <c r="G529" s="2748"/>
      <c r="H529" s="2749"/>
    </row>
    <row r="530" spans="1:8">
      <c r="A530" s="2336"/>
      <c r="B530" s="823"/>
      <c r="C530" s="1159"/>
      <c r="D530" s="774" t="s">
        <v>289</v>
      </c>
      <c r="E530" s="426"/>
      <c r="F530" s="24"/>
      <c r="G530" s="1477"/>
      <c r="H530" s="2750">
        <f>SUM(H461:H528)</f>
        <v>0</v>
      </c>
    </row>
    <row r="531" spans="1:8" ht="12.6" customHeight="1">
      <c r="A531" s="2684"/>
      <c r="B531" s="1271"/>
      <c r="C531" s="1155"/>
      <c r="D531" s="2751" t="s">
        <v>290</v>
      </c>
      <c r="E531" s="147"/>
      <c r="F531" s="1577"/>
      <c r="G531" s="1478"/>
      <c r="H531" s="896">
        <f>H530</f>
        <v>0</v>
      </c>
    </row>
    <row r="532" spans="1:8" ht="12.6" customHeight="1">
      <c r="A532" s="2760"/>
      <c r="B532" s="1271"/>
      <c r="C532" s="1155"/>
      <c r="D532" s="2751"/>
      <c r="E532" s="147"/>
      <c r="F532" s="1577"/>
      <c r="G532" s="1478"/>
      <c r="H532" s="897"/>
    </row>
    <row r="533" spans="1:8" ht="12.6" customHeight="1">
      <c r="A533" s="1586"/>
      <c r="B533" s="1587" t="s">
        <v>2171</v>
      </c>
      <c r="C533" s="1588" t="s">
        <v>2237</v>
      </c>
      <c r="D533" s="1589" t="s">
        <v>2311</v>
      </c>
      <c r="E533" s="1590" t="s">
        <v>691</v>
      </c>
      <c r="F533" s="1591">
        <v>2</v>
      </c>
      <c r="G533" s="1475"/>
      <c r="H533" s="1501">
        <f t="shared" ref="H533:H596" si="10">IF(E533="","",ROUND(F533*G533,2))</f>
        <v>0</v>
      </c>
    </row>
    <row r="534" spans="1:8" ht="12.6" customHeight="1">
      <c r="A534" s="2760"/>
      <c r="B534" s="1271"/>
      <c r="C534" s="1155"/>
      <c r="D534" s="2751"/>
      <c r="E534" s="147"/>
      <c r="F534" s="1577"/>
      <c r="G534" s="1478"/>
      <c r="H534" s="1501" t="str">
        <f t="shared" si="10"/>
        <v/>
      </c>
    </row>
    <row r="535" spans="1:8" ht="12.6" customHeight="1">
      <c r="A535" s="1586"/>
      <c r="B535" s="1587" t="s">
        <v>2174</v>
      </c>
      <c r="C535" s="1588" t="s">
        <v>2237</v>
      </c>
      <c r="D535" s="1589" t="s">
        <v>2239</v>
      </c>
      <c r="E535" s="1590" t="s">
        <v>691</v>
      </c>
      <c r="F535" s="1591">
        <v>2</v>
      </c>
      <c r="G535" s="1475"/>
      <c r="H535" s="1501">
        <f t="shared" si="10"/>
        <v>0</v>
      </c>
    </row>
    <row r="536" spans="1:8" ht="12.6" customHeight="1">
      <c r="A536" s="1586"/>
      <c r="B536" s="1271"/>
      <c r="C536" s="1155"/>
      <c r="D536" s="2751"/>
      <c r="E536" s="147"/>
      <c r="F536" s="1577"/>
      <c r="G536" s="1478"/>
      <c r="H536" s="1501" t="str">
        <f t="shared" si="10"/>
        <v/>
      </c>
    </row>
    <row r="537" spans="1:8" ht="26.4">
      <c r="A537" s="2684">
        <f>$A$4</f>
        <v>19</v>
      </c>
      <c r="B537" s="2684">
        <v>5</v>
      </c>
      <c r="C537" s="1155"/>
      <c r="D537" s="2774" t="s">
        <v>2312</v>
      </c>
      <c r="E537" s="147"/>
      <c r="F537" s="1577"/>
      <c r="G537" s="1478"/>
      <c r="H537" s="1501" t="str">
        <f t="shared" si="10"/>
        <v/>
      </c>
    </row>
    <row r="538" spans="1:8" ht="12.6" customHeight="1">
      <c r="A538" s="2684"/>
      <c r="B538" s="1271"/>
      <c r="C538" s="1155"/>
      <c r="D538" s="2751"/>
      <c r="E538" s="147"/>
      <c r="F538" s="1577"/>
      <c r="G538" s="1478"/>
      <c r="H538" s="1501" t="str">
        <f t="shared" si="10"/>
        <v/>
      </c>
    </row>
    <row r="539" spans="1:8" ht="12.6" customHeight="1">
      <c r="A539" s="2684">
        <f>$A$4</f>
        <v>19</v>
      </c>
      <c r="B539" s="2684">
        <v>5.0999999999999996</v>
      </c>
      <c r="C539" s="1594"/>
      <c r="D539" s="2774" t="s">
        <v>2253</v>
      </c>
      <c r="E539" s="2732"/>
      <c r="F539" s="2733"/>
      <c r="G539" s="1472"/>
      <c r="H539" s="1501" t="str">
        <f t="shared" si="10"/>
        <v/>
      </c>
    </row>
    <row r="540" spans="1:8" ht="12.6" customHeight="1">
      <c r="A540" s="1586"/>
      <c r="B540" s="2684"/>
      <c r="C540" s="1594"/>
      <c r="D540" s="2774"/>
      <c r="E540" s="2732"/>
      <c r="F540" s="2733"/>
      <c r="G540" s="1472"/>
      <c r="H540" s="1501" t="str">
        <f t="shared" si="10"/>
        <v/>
      </c>
    </row>
    <row r="541" spans="1:8" ht="39.6">
      <c r="A541" s="1586"/>
      <c r="B541" s="1593" t="s">
        <v>2162</v>
      </c>
      <c r="C541" s="1594" t="s">
        <v>2254</v>
      </c>
      <c r="D541" s="2746" t="s">
        <v>2313</v>
      </c>
      <c r="E541" s="1596" t="s">
        <v>976</v>
      </c>
      <c r="F541" s="1597">
        <v>1</v>
      </c>
      <c r="G541" s="1473"/>
      <c r="H541" s="1501">
        <f t="shared" si="10"/>
        <v>0</v>
      </c>
    </row>
    <row r="542" spans="1:8" ht="12.6" customHeight="1">
      <c r="A542" s="1586"/>
      <c r="B542" s="1593"/>
      <c r="C542" s="2684"/>
      <c r="D542" s="1589"/>
      <c r="E542" s="2732"/>
      <c r="F542" s="2730"/>
      <c r="G542" s="1472"/>
      <c r="H542" s="1501" t="str">
        <f t="shared" si="10"/>
        <v/>
      </c>
    </row>
    <row r="543" spans="1:8" ht="26.4">
      <c r="A543" s="1586"/>
      <c r="B543" s="1604" t="s">
        <v>2164</v>
      </c>
      <c r="C543" s="1594" t="s">
        <v>2254</v>
      </c>
      <c r="D543" s="1595" t="s">
        <v>2314</v>
      </c>
      <c r="E543" s="1596" t="s">
        <v>976</v>
      </c>
      <c r="F543" s="2730">
        <v>1</v>
      </c>
      <c r="G543" s="1473"/>
      <c r="H543" s="1501">
        <f t="shared" si="10"/>
        <v>0</v>
      </c>
    </row>
    <row r="544" spans="1:8" ht="12.6" customHeight="1">
      <c r="A544" s="1586"/>
      <c r="B544" s="1593"/>
      <c r="C544" s="1594"/>
      <c r="D544" s="1595"/>
      <c r="E544" s="2732"/>
      <c r="F544" s="2733"/>
      <c r="G544" s="1472"/>
      <c r="H544" s="1501" t="str">
        <f t="shared" si="10"/>
        <v/>
      </c>
    </row>
    <row r="545" spans="1:8" ht="12.6" customHeight="1">
      <c r="A545" s="2684">
        <f>$A$4</f>
        <v>19</v>
      </c>
      <c r="B545" s="2684">
        <v>5.2</v>
      </c>
      <c r="C545" s="1594"/>
      <c r="D545" s="2723" t="s">
        <v>2211</v>
      </c>
      <c r="E545" s="2732"/>
      <c r="F545" s="2733"/>
      <c r="G545" s="1473"/>
      <c r="H545" s="1501" t="str">
        <f t="shared" si="10"/>
        <v/>
      </c>
    </row>
    <row r="546" spans="1:8" ht="12.6" customHeight="1">
      <c r="A546" s="1586"/>
      <c r="B546" s="2684"/>
      <c r="C546" s="1594"/>
      <c r="D546" s="2723"/>
      <c r="E546" s="2732"/>
      <c r="F546" s="2733"/>
      <c r="G546" s="1473"/>
      <c r="H546" s="1501" t="str">
        <f t="shared" si="10"/>
        <v/>
      </c>
    </row>
    <row r="547" spans="1:8" ht="39.6">
      <c r="A547" s="1586"/>
      <c r="B547" s="1593"/>
      <c r="C547" s="1594" t="s">
        <v>2175</v>
      </c>
      <c r="D547" s="1595" t="s">
        <v>2212</v>
      </c>
      <c r="E547" s="2732"/>
      <c r="F547" s="2733"/>
      <c r="G547" s="1472"/>
      <c r="H547" s="1501" t="str">
        <f t="shared" si="10"/>
        <v/>
      </c>
    </row>
    <row r="548" spans="1:8" ht="12.6" customHeight="1">
      <c r="A548" s="1586"/>
      <c r="B548" s="1593"/>
      <c r="C548" s="1594"/>
      <c r="D548" s="1589"/>
      <c r="E548" s="2734"/>
      <c r="F548" s="1597"/>
      <c r="G548" s="1473"/>
      <c r="H548" s="1501" t="str">
        <f t="shared" si="10"/>
        <v/>
      </c>
    </row>
    <row r="549" spans="1:8" ht="15.6">
      <c r="A549" s="1586"/>
      <c r="B549" s="1593" t="s">
        <v>2162</v>
      </c>
      <c r="C549" s="1594" t="s">
        <v>2175</v>
      </c>
      <c r="D549" s="1589" t="s">
        <v>2315</v>
      </c>
      <c r="E549" s="2734" t="s">
        <v>561</v>
      </c>
      <c r="F549" s="1597">
        <v>1042</v>
      </c>
      <c r="G549" s="1472"/>
      <c r="H549" s="1501">
        <f t="shared" si="10"/>
        <v>0</v>
      </c>
    </row>
    <row r="550" spans="1:8" ht="12.6" customHeight="1">
      <c r="A550" s="1586"/>
      <c r="B550" s="1593"/>
      <c r="C550" s="1594"/>
      <c r="D550" s="2746"/>
      <c r="E550" s="2734"/>
      <c r="F550" s="1597"/>
      <c r="G550" s="1473"/>
      <c r="H550" s="1501" t="str">
        <f t="shared" si="10"/>
        <v/>
      </c>
    </row>
    <row r="551" spans="1:8" ht="15.6">
      <c r="A551" s="1586"/>
      <c r="B551" s="1593" t="s">
        <v>2164</v>
      </c>
      <c r="C551" s="1594" t="s">
        <v>2175</v>
      </c>
      <c r="D551" s="1589" t="s">
        <v>2316</v>
      </c>
      <c r="E551" s="2734" t="s">
        <v>561</v>
      </c>
      <c r="F551" s="1597">
        <v>480</v>
      </c>
      <c r="G551" s="1472"/>
      <c r="H551" s="1501">
        <f t="shared" si="10"/>
        <v>0</v>
      </c>
    </row>
    <row r="552" spans="1:8">
      <c r="A552" s="1586"/>
      <c r="B552" s="1593"/>
      <c r="C552" s="1594"/>
      <c r="D552" s="1589"/>
      <c r="E552" s="2734"/>
      <c r="F552" s="1597"/>
      <c r="G552" s="1473"/>
      <c r="H552" s="1501" t="str">
        <f t="shared" si="10"/>
        <v/>
      </c>
    </row>
    <row r="553" spans="1:8" ht="15.6">
      <c r="A553" s="1586"/>
      <c r="B553" s="1593" t="s">
        <v>2166</v>
      </c>
      <c r="C553" s="1594" t="s">
        <v>2175</v>
      </c>
      <c r="D553" s="1589" t="s">
        <v>2279</v>
      </c>
      <c r="E553" s="2734" t="s">
        <v>561</v>
      </c>
      <c r="F553" s="1597">
        <v>400</v>
      </c>
      <c r="G553" s="1473"/>
      <c r="H553" s="1501">
        <f t="shared" si="10"/>
        <v>0</v>
      </c>
    </row>
    <row r="554" spans="1:8" ht="12.6" customHeight="1">
      <c r="A554" s="1586"/>
      <c r="B554" s="1593"/>
      <c r="C554" s="1594"/>
      <c r="D554" s="1589"/>
      <c r="E554" s="2734"/>
      <c r="F554" s="1597"/>
      <c r="G554" s="1473"/>
      <c r="H554" s="1501" t="str">
        <f t="shared" si="10"/>
        <v/>
      </c>
    </row>
    <row r="555" spans="1:8" ht="15.6">
      <c r="A555" s="1586"/>
      <c r="B555" s="1593" t="s">
        <v>2168</v>
      </c>
      <c r="C555" s="1594" t="s">
        <v>2175</v>
      </c>
      <c r="D555" s="1589" t="s">
        <v>2280</v>
      </c>
      <c r="E555" s="2734" t="s">
        <v>561</v>
      </c>
      <c r="F555" s="1597">
        <v>300</v>
      </c>
      <c r="G555" s="1473"/>
      <c r="H555" s="1501">
        <f t="shared" si="10"/>
        <v>0</v>
      </c>
    </row>
    <row r="556" spans="1:8">
      <c r="A556" s="1586"/>
      <c r="B556" s="1593"/>
      <c r="C556" s="1594"/>
      <c r="D556" s="1589"/>
      <c r="E556" s="905"/>
      <c r="F556" s="1597"/>
      <c r="G556" s="1473"/>
      <c r="H556" s="1501" t="str">
        <f t="shared" si="10"/>
        <v/>
      </c>
    </row>
    <row r="557" spans="1:8" ht="15.6">
      <c r="A557" s="1586"/>
      <c r="B557" s="1593" t="s">
        <v>2171</v>
      </c>
      <c r="C557" s="1594" t="s">
        <v>2175</v>
      </c>
      <c r="D557" s="1589" t="s">
        <v>2281</v>
      </c>
      <c r="E557" s="2734" t="s">
        <v>561</v>
      </c>
      <c r="F557" s="1597">
        <v>100</v>
      </c>
      <c r="G557" s="1474"/>
      <c r="H557" s="1501">
        <f t="shared" si="10"/>
        <v>0</v>
      </c>
    </row>
    <row r="558" spans="1:8">
      <c r="A558" s="1586"/>
      <c r="B558" s="1593"/>
      <c r="C558" s="1594"/>
      <c r="D558" s="1589"/>
      <c r="E558" s="2734"/>
      <c r="F558" s="1597"/>
      <c r="G558" s="1479"/>
      <c r="H558" s="1501" t="str">
        <f t="shared" si="10"/>
        <v/>
      </c>
    </row>
    <row r="559" spans="1:8" ht="15.6">
      <c r="A559" s="1586"/>
      <c r="B559" s="1593" t="s">
        <v>2174</v>
      </c>
      <c r="C559" s="1594" t="s">
        <v>2175</v>
      </c>
      <c r="D559" s="1589" t="s">
        <v>2282</v>
      </c>
      <c r="E559" s="2734" t="s">
        <v>561</v>
      </c>
      <c r="F559" s="1604">
        <v>996</v>
      </c>
      <c r="G559" s="1479"/>
      <c r="H559" s="1501">
        <f t="shared" si="10"/>
        <v>0</v>
      </c>
    </row>
    <row r="560" spans="1:8" ht="12.6" customHeight="1">
      <c r="A560" s="1586"/>
      <c r="B560" s="1593"/>
      <c r="C560" s="1594"/>
      <c r="D560" s="2746"/>
      <c r="E560" s="2734"/>
      <c r="F560" s="1597"/>
      <c r="G560" s="1472"/>
      <c r="H560" s="1501" t="str">
        <f t="shared" si="10"/>
        <v/>
      </c>
    </row>
    <row r="561" spans="1:8" ht="15.6">
      <c r="A561" s="1586"/>
      <c r="B561" s="1593" t="s">
        <v>2180</v>
      </c>
      <c r="C561" s="1594" t="s">
        <v>2175</v>
      </c>
      <c r="D561" s="1589" t="s">
        <v>2284</v>
      </c>
      <c r="E561" s="2734" t="s">
        <v>561</v>
      </c>
      <c r="F561" s="1604">
        <v>420</v>
      </c>
      <c r="G561" s="1472"/>
      <c r="H561" s="1501">
        <f t="shared" si="10"/>
        <v>0</v>
      </c>
    </row>
    <row r="562" spans="1:8" ht="12.6" customHeight="1">
      <c r="A562" s="1586"/>
      <c r="B562" s="1593"/>
      <c r="C562" s="1594"/>
      <c r="D562" s="1589"/>
      <c r="E562" s="2734"/>
      <c r="F562" s="1604"/>
      <c r="G562" s="1474"/>
      <c r="H562" s="1501" t="str">
        <f t="shared" si="10"/>
        <v/>
      </c>
    </row>
    <row r="563" spans="1:8" ht="15.6">
      <c r="A563" s="1586"/>
      <c r="B563" s="1593" t="s">
        <v>2183</v>
      </c>
      <c r="C563" s="1594"/>
      <c r="D563" s="1589" t="s">
        <v>2317</v>
      </c>
      <c r="E563" s="2734" t="s">
        <v>561</v>
      </c>
      <c r="F563" s="1604">
        <v>646</v>
      </c>
      <c r="G563" s="1472"/>
      <c r="H563" s="1501">
        <f t="shared" si="10"/>
        <v>0</v>
      </c>
    </row>
    <row r="564" spans="1:8" ht="12.6" customHeight="1">
      <c r="A564" s="1586"/>
      <c r="B564" s="1593"/>
      <c r="C564" s="1594"/>
      <c r="D564" s="1589"/>
      <c r="E564" s="2734"/>
      <c r="F564" s="1604"/>
      <c r="G564" s="1472"/>
      <c r="H564" s="1501" t="str">
        <f t="shared" si="10"/>
        <v/>
      </c>
    </row>
    <row r="565" spans="1:8" ht="12.6" customHeight="1">
      <c r="A565" s="2684">
        <f>$A$4</f>
        <v>19</v>
      </c>
      <c r="B565" s="2684">
        <v>5.3</v>
      </c>
      <c r="C565" s="1594"/>
      <c r="D565" s="2723" t="s">
        <v>2216</v>
      </c>
      <c r="E565" s="2732"/>
      <c r="F565" s="1604"/>
      <c r="G565" s="1474"/>
      <c r="H565" s="1501" t="str">
        <f t="shared" si="10"/>
        <v/>
      </c>
    </row>
    <row r="566" spans="1:8" ht="12.6" customHeight="1">
      <c r="A566" s="1586"/>
      <c r="B566" s="2684"/>
      <c r="C566" s="1594"/>
      <c r="D566" s="2723"/>
      <c r="E566" s="2732"/>
      <c r="F566" s="1604"/>
      <c r="G566" s="1474"/>
      <c r="H566" s="1501" t="str">
        <f t="shared" si="10"/>
        <v/>
      </c>
    </row>
    <row r="567" spans="1:8" ht="12.6" customHeight="1">
      <c r="A567" s="1586"/>
      <c r="B567" s="1593"/>
      <c r="C567" s="1594" t="s">
        <v>2175</v>
      </c>
      <c r="D567" s="1595" t="s">
        <v>2197</v>
      </c>
      <c r="E567" s="2732"/>
      <c r="F567" s="1597"/>
      <c r="G567" s="1473"/>
      <c r="H567" s="1501" t="str">
        <f t="shared" si="10"/>
        <v/>
      </c>
    </row>
    <row r="568" spans="1:8" ht="12.6" customHeight="1">
      <c r="A568" s="1586"/>
      <c r="B568" s="1593"/>
      <c r="C568" s="1594"/>
      <c r="D568" s="904"/>
      <c r="E568" s="2732"/>
      <c r="F568" s="2761"/>
      <c r="G568" s="1473"/>
      <c r="H568" s="1501" t="str">
        <f t="shared" si="10"/>
        <v/>
      </c>
    </row>
    <row r="569" spans="1:8" ht="15.6">
      <c r="A569" s="1586"/>
      <c r="B569" s="1593" t="s">
        <v>2162</v>
      </c>
      <c r="C569" s="1594" t="s">
        <v>2175</v>
      </c>
      <c r="D569" s="1589" t="s">
        <v>2315</v>
      </c>
      <c r="E569" s="2734" t="s">
        <v>691</v>
      </c>
      <c r="F569" s="1604">
        <v>32</v>
      </c>
      <c r="G569" s="1472"/>
      <c r="H569" s="1501">
        <f t="shared" si="10"/>
        <v>0</v>
      </c>
    </row>
    <row r="570" spans="1:8" ht="12.6" customHeight="1">
      <c r="A570" s="1586"/>
      <c r="B570" s="1593"/>
      <c r="C570" s="1594"/>
      <c r="D570" s="2746"/>
      <c r="E570" s="2734"/>
      <c r="F570" s="1604"/>
      <c r="G570" s="1473"/>
      <c r="H570" s="1501" t="str">
        <f t="shared" si="10"/>
        <v/>
      </c>
    </row>
    <row r="571" spans="1:8" ht="15.6">
      <c r="A571" s="1586"/>
      <c r="B571" s="1593" t="s">
        <v>2164</v>
      </c>
      <c r="C571" s="1594" t="s">
        <v>2175</v>
      </c>
      <c r="D571" s="1589" t="s">
        <v>2316</v>
      </c>
      <c r="E571" s="2734" t="s">
        <v>691</v>
      </c>
      <c r="F571" s="1604">
        <v>32</v>
      </c>
      <c r="G571" s="1472"/>
      <c r="H571" s="1501">
        <f t="shared" si="10"/>
        <v>0</v>
      </c>
    </row>
    <row r="572" spans="1:8" ht="12.6" customHeight="1">
      <c r="A572" s="1586"/>
      <c r="B572" s="1593"/>
      <c r="C572" s="1594"/>
      <c r="D572" s="1589"/>
      <c r="E572" s="2734"/>
      <c r="F572" s="1604"/>
      <c r="G572" s="1473"/>
      <c r="H572" s="1501" t="str">
        <f t="shared" si="10"/>
        <v/>
      </c>
    </row>
    <row r="573" spans="1:8" ht="15.6">
      <c r="A573" s="1586"/>
      <c r="B573" s="1593" t="s">
        <v>2166</v>
      </c>
      <c r="C573" s="1594" t="s">
        <v>2175</v>
      </c>
      <c r="D573" s="1589" t="s">
        <v>2279</v>
      </c>
      <c r="E573" s="2734" t="s">
        <v>691</v>
      </c>
      <c r="F573" s="1597">
        <v>10</v>
      </c>
      <c r="G573" s="1472"/>
      <c r="H573" s="1501">
        <f t="shared" si="10"/>
        <v>0</v>
      </c>
    </row>
    <row r="574" spans="1:8" ht="12.6" customHeight="1">
      <c r="A574" s="1586"/>
      <c r="B574" s="1593"/>
      <c r="C574" s="1594"/>
      <c r="D574" s="1589"/>
      <c r="E574" s="2734"/>
      <c r="F574" s="1597"/>
      <c r="G574" s="1472"/>
      <c r="H574" s="1501" t="str">
        <f t="shared" si="10"/>
        <v/>
      </c>
    </row>
    <row r="575" spans="1:8" ht="15.6">
      <c r="A575" s="1586"/>
      <c r="B575" s="1593" t="s">
        <v>2168</v>
      </c>
      <c r="C575" s="1594" t="s">
        <v>2175</v>
      </c>
      <c r="D575" s="1589" t="s">
        <v>2280</v>
      </c>
      <c r="E575" s="2734" t="s">
        <v>691</v>
      </c>
      <c r="F575" s="1597">
        <v>6</v>
      </c>
      <c r="G575" s="1473"/>
      <c r="H575" s="1501">
        <f t="shared" si="10"/>
        <v>0</v>
      </c>
    </row>
    <row r="576" spans="1:8" ht="12.6" customHeight="1">
      <c r="A576" s="1586"/>
      <c r="B576" s="1593"/>
      <c r="C576" s="1594"/>
      <c r="D576" s="1589"/>
      <c r="E576" s="2734"/>
      <c r="F576" s="1597"/>
      <c r="G576" s="1473"/>
      <c r="H576" s="1501" t="str">
        <f t="shared" si="10"/>
        <v/>
      </c>
    </row>
    <row r="577" spans="1:8" ht="15.6">
      <c r="A577" s="1586"/>
      <c r="B577" s="1593" t="s">
        <v>2171</v>
      </c>
      <c r="C577" s="1594" t="s">
        <v>2175</v>
      </c>
      <c r="D577" s="1589" t="s">
        <v>2281</v>
      </c>
      <c r="E577" s="2734" t="s">
        <v>691</v>
      </c>
      <c r="F577" s="1597">
        <v>6</v>
      </c>
      <c r="G577" s="1473"/>
      <c r="H577" s="1501">
        <f t="shared" si="10"/>
        <v>0</v>
      </c>
    </row>
    <row r="578" spans="1:8" ht="12.6" customHeight="1">
      <c r="A578" s="1586"/>
      <c r="B578" s="1593"/>
      <c r="C578" s="1594"/>
      <c r="D578" s="1589"/>
      <c r="E578" s="2734"/>
      <c r="F578" s="1604"/>
      <c r="G578" s="1473"/>
      <c r="H578" s="1501" t="str">
        <f t="shared" si="10"/>
        <v/>
      </c>
    </row>
    <row r="579" spans="1:8" ht="15.6">
      <c r="A579" s="1586"/>
      <c r="B579" s="1593" t="s">
        <v>2174</v>
      </c>
      <c r="C579" s="1594" t="s">
        <v>2175</v>
      </c>
      <c r="D579" s="1589" t="s">
        <v>2282</v>
      </c>
      <c r="E579" s="2734" t="s">
        <v>691</v>
      </c>
      <c r="F579" s="1604">
        <v>28</v>
      </c>
      <c r="G579" s="1472"/>
      <c r="H579" s="1501">
        <f t="shared" si="10"/>
        <v>0</v>
      </c>
    </row>
    <row r="580" spans="1:8" ht="12.6" customHeight="1">
      <c r="A580" s="1586"/>
      <c r="B580" s="1593"/>
      <c r="C580" s="1594"/>
      <c r="D580" s="2746"/>
      <c r="E580" s="2734"/>
      <c r="F580" s="1597"/>
      <c r="G580" s="1472"/>
      <c r="H580" s="1501" t="str">
        <f t="shared" si="10"/>
        <v/>
      </c>
    </row>
    <row r="581" spans="1:8" ht="15.6">
      <c r="A581" s="1586"/>
      <c r="B581" s="1593" t="s">
        <v>2178</v>
      </c>
      <c r="C581" s="1594" t="s">
        <v>2175</v>
      </c>
      <c r="D581" s="1589" t="s">
        <v>2284</v>
      </c>
      <c r="E581" s="2734" t="s">
        <v>691</v>
      </c>
      <c r="F581" s="1604">
        <v>16</v>
      </c>
      <c r="G581" s="1474"/>
      <c r="H581" s="1501">
        <f t="shared" si="10"/>
        <v>0</v>
      </c>
    </row>
    <row r="582" spans="1:8" ht="12.6" customHeight="1">
      <c r="A582" s="1586"/>
      <c r="B582" s="1593"/>
      <c r="C582" s="1594"/>
      <c r="D582" s="1589"/>
      <c r="E582" s="2734"/>
      <c r="F582" s="1604"/>
      <c r="G582" s="1472"/>
      <c r="H582" s="1501" t="str">
        <f t="shared" si="10"/>
        <v/>
      </c>
    </row>
    <row r="583" spans="1:8" ht="15.6">
      <c r="A583" s="1586"/>
      <c r="B583" s="1593" t="s">
        <v>2180</v>
      </c>
      <c r="C583" s="1594" t="s">
        <v>2175</v>
      </c>
      <c r="D583" s="1589" t="s">
        <v>2317</v>
      </c>
      <c r="E583" s="2734" t="s">
        <v>691</v>
      </c>
      <c r="F583" s="1604">
        <v>40</v>
      </c>
      <c r="G583" s="1473"/>
      <c r="H583" s="1501">
        <f t="shared" si="10"/>
        <v>0</v>
      </c>
    </row>
    <row r="584" spans="1:8" ht="12.6" customHeight="1">
      <c r="A584" s="1586"/>
      <c r="B584" s="1593"/>
      <c r="C584" s="1594"/>
      <c r="D584" s="2746"/>
      <c r="E584" s="2734"/>
      <c r="F584" s="1604"/>
      <c r="G584" s="1472"/>
      <c r="H584" s="1501" t="str">
        <f t="shared" si="10"/>
        <v/>
      </c>
    </row>
    <row r="585" spans="1:8" ht="12.6" customHeight="1">
      <c r="A585" s="2684">
        <f>$A$4</f>
        <v>19</v>
      </c>
      <c r="B585" s="2684">
        <v>5.4</v>
      </c>
      <c r="C585" s="1603"/>
      <c r="D585" s="2725" t="s">
        <v>2234</v>
      </c>
      <c r="E585" s="2764"/>
      <c r="F585" s="2765"/>
      <c r="G585" s="1474"/>
      <c r="H585" s="1501" t="str">
        <f t="shared" si="10"/>
        <v/>
      </c>
    </row>
    <row r="586" spans="1:8" ht="12.6" customHeight="1">
      <c r="A586" s="1586"/>
      <c r="B586" s="2684"/>
      <c r="C586" s="1603"/>
      <c r="D586" s="2725"/>
      <c r="E586" s="2764"/>
      <c r="F586" s="2765"/>
      <c r="G586" s="1474"/>
      <c r="H586" s="1501" t="str">
        <f t="shared" si="10"/>
        <v/>
      </c>
    </row>
    <row r="587" spans="1:8" ht="39.6">
      <c r="A587" s="1586"/>
      <c r="B587" s="2697"/>
      <c r="C587" s="1594" t="s">
        <v>2175</v>
      </c>
      <c r="D587" s="1589" t="s">
        <v>2235</v>
      </c>
      <c r="E587" s="2766"/>
      <c r="F587" s="2767"/>
      <c r="G587" s="1473"/>
      <c r="H587" s="1501" t="str">
        <f t="shared" si="10"/>
        <v/>
      </c>
    </row>
    <row r="588" spans="1:8" ht="12.6" customHeight="1">
      <c r="A588" s="1586"/>
      <c r="B588" s="1605"/>
      <c r="C588" s="1606"/>
      <c r="D588" s="1589"/>
      <c r="E588" s="921"/>
      <c r="F588" s="1607"/>
      <c r="G588" s="1472"/>
      <c r="H588" s="1501" t="str">
        <f t="shared" si="10"/>
        <v/>
      </c>
    </row>
    <row r="589" spans="1:8" ht="15.6">
      <c r="A589" s="1586"/>
      <c r="B589" s="1605" t="s">
        <v>2166</v>
      </c>
      <c r="C589" s="1606" t="s">
        <v>2272</v>
      </c>
      <c r="D589" s="1589" t="s">
        <v>2287</v>
      </c>
      <c r="E589" s="2744" t="s">
        <v>691</v>
      </c>
      <c r="F589" s="1609">
        <v>2</v>
      </c>
      <c r="G589" s="1474"/>
      <c r="H589" s="1501">
        <f t="shared" si="10"/>
        <v>0</v>
      </c>
    </row>
    <row r="590" spans="1:8" ht="12.6" customHeight="1">
      <c r="A590" s="1586"/>
      <c r="B590" s="1605"/>
      <c r="C590" s="1606"/>
      <c r="D590" s="1589"/>
      <c r="E590" s="2744"/>
      <c r="F590" s="1609"/>
      <c r="G590" s="1474"/>
      <c r="H590" s="1501" t="str">
        <f t="shared" si="10"/>
        <v/>
      </c>
    </row>
    <row r="591" spans="1:8" ht="15.6">
      <c r="A591" s="1586"/>
      <c r="B591" s="1605" t="s">
        <v>2168</v>
      </c>
      <c r="C591" s="1606" t="s">
        <v>2272</v>
      </c>
      <c r="D591" s="1589" t="s">
        <v>2288</v>
      </c>
      <c r="E591" s="2744" t="s">
        <v>691</v>
      </c>
      <c r="F591" s="1609">
        <v>2</v>
      </c>
      <c r="G591" s="1473"/>
      <c r="H591" s="1501">
        <f t="shared" si="10"/>
        <v>0</v>
      </c>
    </row>
    <row r="592" spans="1:8" ht="12.6" customHeight="1">
      <c r="A592" s="1586"/>
      <c r="B592" s="1593"/>
      <c r="C592" s="1594"/>
      <c r="D592" s="2722"/>
      <c r="E592" s="2732"/>
      <c r="F592" s="2735"/>
      <c r="G592" s="1472"/>
      <c r="H592" s="1501" t="str">
        <f t="shared" si="10"/>
        <v/>
      </c>
    </row>
    <row r="593" spans="1:8" ht="12.6" customHeight="1">
      <c r="A593" s="2684">
        <f>$A$4</f>
        <v>19</v>
      </c>
      <c r="B593" s="2684">
        <v>5.5</v>
      </c>
      <c r="C593" s="1594"/>
      <c r="D593" s="2723" t="s">
        <v>2220</v>
      </c>
      <c r="E593" s="2732"/>
      <c r="F593" s="2735"/>
      <c r="G593" s="1473"/>
      <c r="H593" s="1501" t="str">
        <f t="shared" si="10"/>
        <v/>
      </c>
    </row>
    <row r="594" spans="1:8" ht="12.6" customHeight="1">
      <c r="A594" s="1586"/>
      <c r="B594" s="2684"/>
      <c r="C594" s="1594"/>
      <c r="D594" s="2723"/>
      <c r="E594" s="2732"/>
      <c r="F594" s="2735"/>
      <c r="G594" s="1473"/>
      <c r="H594" s="1501" t="str">
        <f t="shared" si="10"/>
        <v/>
      </c>
    </row>
    <row r="595" spans="1:8" ht="16.2">
      <c r="A595" s="1586"/>
      <c r="B595" s="1593" t="s">
        <v>2162</v>
      </c>
      <c r="C595" s="1594" t="s">
        <v>2221</v>
      </c>
      <c r="D595" s="1595" t="s">
        <v>2222</v>
      </c>
      <c r="E595" s="2762" t="s">
        <v>631</v>
      </c>
      <c r="F595" s="2719">
        <v>51.360000000000007</v>
      </c>
      <c r="G595" s="1474"/>
      <c r="H595" s="1501">
        <f t="shared" si="10"/>
        <v>0</v>
      </c>
    </row>
    <row r="596" spans="1:8" ht="12.6" customHeight="1">
      <c r="A596" s="1586"/>
      <c r="B596" s="1593"/>
      <c r="C596" s="1594"/>
      <c r="D596" s="1595"/>
      <c r="E596" s="2762"/>
      <c r="F596" s="2719"/>
      <c r="G596" s="1474"/>
      <c r="H596" s="1501" t="str">
        <f t="shared" si="10"/>
        <v/>
      </c>
    </row>
    <row r="597" spans="1:8" ht="16.2">
      <c r="A597" s="1586"/>
      <c r="B597" s="1604" t="s">
        <v>2164</v>
      </c>
      <c r="C597" s="1594" t="s">
        <v>2221</v>
      </c>
      <c r="D597" s="1595" t="s">
        <v>2223</v>
      </c>
      <c r="E597" s="2762" t="s">
        <v>631</v>
      </c>
      <c r="F597" s="2719">
        <v>51.360000000000007</v>
      </c>
      <c r="G597" s="1473"/>
      <c r="H597" s="1501">
        <f t="shared" ref="H597:H601" si="11">IF(E597="","",ROUND(F597*G597,2))</f>
        <v>0</v>
      </c>
    </row>
    <row r="598" spans="1:8" ht="12.6" customHeight="1">
      <c r="A598" s="1586"/>
      <c r="B598" s="2684"/>
      <c r="C598" s="1594"/>
      <c r="D598" s="1595"/>
      <c r="E598" s="2732"/>
      <c r="F598" s="2673"/>
      <c r="G598" s="1472"/>
      <c r="H598" s="1501" t="str">
        <f t="shared" si="11"/>
        <v/>
      </c>
    </row>
    <row r="599" spans="1:8" ht="12.6" customHeight="1">
      <c r="A599" s="2684">
        <f>$A$4</f>
        <v>19</v>
      </c>
      <c r="B599" s="2684">
        <v>5.6</v>
      </c>
      <c r="C599" s="1594"/>
      <c r="D599" s="2776" t="s">
        <v>2224</v>
      </c>
      <c r="E599" s="916"/>
      <c r="F599" s="2763"/>
      <c r="G599" s="1473"/>
      <c r="H599" s="1501" t="str">
        <f t="shared" si="11"/>
        <v/>
      </c>
    </row>
    <row r="600" spans="1:8" ht="12.6" customHeight="1">
      <c r="A600" s="1586"/>
      <c r="B600" s="1593"/>
      <c r="C600" s="1594"/>
      <c r="D600" s="2787"/>
      <c r="E600" s="916"/>
      <c r="F600" s="2763"/>
      <c r="G600" s="1473"/>
      <c r="H600" s="1501" t="str">
        <f t="shared" si="11"/>
        <v/>
      </c>
    </row>
    <row r="601" spans="1:8" ht="12.6" customHeight="1">
      <c r="A601" s="1586"/>
      <c r="B601" s="1593" t="s">
        <v>2162</v>
      </c>
      <c r="C601" s="1594" t="s">
        <v>2225</v>
      </c>
      <c r="D601" s="1600" t="s">
        <v>2289</v>
      </c>
      <c r="E601" s="916" t="s">
        <v>691</v>
      </c>
      <c r="F601" s="1604">
        <v>18</v>
      </c>
      <c r="G601" s="1472"/>
      <c r="H601" s="1501">
        <f t="shared" si="11"/>
        <v>0</v>
      </c>
    </row>
    <row r="602" spans="1:8" ht="12.6" customHeight="1">
      <c r="A602" s="1586"/>
      <c r="B602" s="1271"/>
      <c r="C602" s="1792"/>
      <c r="D602" s="2647"/>
      <c r="E602" s="882"/>
      <c r="F602" s="1577"/>
      <c r="G602" s="1476"/>
      <c r="H602" s="902"/>
    </row>
    <row r="603" spans="1:8">
      <c r="A603" s="2333"/>
      <c r="B603" s="822"/>
      <c r="C603" s="1158"/>
      <c r="D603" s="840"/>
      <c r="E603" s="837"/>
      <c r="F603" s="838"/>
      <c r="G603" s="2748"/>
      <c r="H603" s="2749"/>
    </row>
    <row r="604" spans="1:8">
      <c r="A604" s="2336"/>
      <c r="B604" s="823"/>
      <c r="C604" s="1159"/>
      <c r="D604" s="774" t="s">
        <v>289</v>
      </c>
      <c r="E604" s="426"/>
      <c r="F604" s="24"/>
      <c r="G604" s="1477"/>
      <c r="H604" s="2750">
        <f>SUM(H531:H602)</f>
        <v>0</v>
      </c>
    </row>
    <row r="605" spans="1:8">
      <c r="A605" s="1586"/>
      <c r="B605" s="1271"/>
      <c r="C605" s="1155"/>
      <c r="D605" s="2751" t="s">
        <v>290</v>
      </c>
      <c r="E605" s="147"/>
      <c r="F605" s="1577"/>
      <c r="G605" s="1478"/>
      <c r="H605" s="922">
        <f>H604</f>
        <v>0</v>
      </c>
    </row>
    <row r="606" spans="1:8" ht="12.6" customHeight="1">
      <c r="A606" s="1586"/>
      <c r="B606" s="1593"/>
      <c r="C606" s="1594"/>
      <c r="D606" s="1595"/>
      <c r="E606" s="1596"/>
      <c r="F606" s="1597"/>
      <c r="G606" s="1475"/>
      <c r="H606" s="2747"/>
    </row>
    <row r="607" spans="1:8" ht="12.6" customHeight="1">
      <c r="A607" s="2684">
        <f>$A$4</f>
        <v>19</v>
      </c>
      <c r="B607" s="2684">
        <v>5.7</v>
      </c>
      <c r="C607" s="1594"/>
      <c r="D607" s="2723" t="s">
        <v>2227</v>
      </c>
      <c r="E607" s="1596"/>
      <c r="F607" s="2673"/>
      <c r="G607" s="1472"/>
      <c r="H607" s="2720"/>
    </row>
    <row r="608" spans="1:8" ht="12.6" customHeight="1">
      <c r="A608" s="1586"/>
      <c r="B608" s="2684"/>
      <c r="C608" s="1594"/>
      <c r="D608" s="2776"/>
      <c r="E608" s="916"/>
      <c r="F608" s="2673"/>
      <c r="G608" s="1472"/>
      <c r="H608" s="2720"/>
    </row>
    <row r="609" spans="1:8" ht="26.4">
      <c r="A609" s="1586"/>
      <c r="B609" s="1593"/>
      <c r="C609" s="1594" t="s">
        <v>2228</v>
      </c>
      <c r="D609" s="1600" t="s">
        <v>2290</v>
      </c>
      <c r="E609" s="916"/>
      <c r="F609" s="2673"/>
      <c r="G609" s="1473"/>
      <c r="H609" s="2747"/>
    </row>
    <row r="610" spans="1:8" ht="12.6" customHeight="1">
      <c r="A610" s="1586"/>
      <c r="B610" s="1593"/>
      <c r="C610" s="1594"/>
      <c r="D610" s="1600"/>
      <c r="E610" s="916"/>
      <c r="F610" s="1597"/>
      <c r="G610" s="1475"/>
      <c r="H610" s="2747"/>
    </row>
    <row r="611" spans="1:8" ht="12.6" customHeight="1">
      <c r="A611" s="1586"/>
      <c r="B611" s="1593" t="s">
        <v>2162</v>
      </c>
      <c r="C611" s="1594" t="s">
        <v>2228</v>
      </c>
      <c r="D611" s="1600" t="s">
        <v>2230</v>
      </c>
      <c r="E611" s="916" t="s">
        <v>561</v>
      </c>
      <c r="F611" s="1597">
        <v>200</v>
      </c>
      <c r="G611" s="1473"/>
      <c r="H611" s="1501">
        <f t="shared" ref="H611:H663" si="12">IF(E611="","",ROUND(F611*G611,2))</f>
        <v>0</v>
      </c>
    </row>
    <row r="612" spans="1:8" ht="12.6" customHeight="1">
      <c r="A612" s="1586"/>
      <c r="B612" s="1593"/>
      <c r="C612" s="1594"/>
      <c r="D612" s="1600"/>
      <c r="E612" s="916"/>
      <c r="F612" s="1597"/>
      <c r="G612" s="1473"/>
      <c r="H612" s="1501" t="str">
        <f t="shared" si="12"/>
        <v/>
      </c>
    </row>
    <row r="613" spans="1:8" ht="12.6" customHeight="1">
      <c r="A613" s="1586"/>
      <c r="B613" s="1604" t="s">
        <v>2164</v>
      </c>
      <c r="C613" s="1594" t="s">
        <v>2228</v>
      </c>
      <c r="D613" s="1600" t="s">
        <v>2231</v>
      </c>
      <c r="E613" s="916" t="s">
        <v>561</v>
      </c>
      <c r="F613" s="2724">
        <v>200</v>
      </c>
      <c r="G613" s="1475"/>
      <c r="H613" s="1501">
        <f t="shared" si="12"/>
        <v>0</v>
      </c>
    </row>
    <row r="614" spans="1:8" ht="12.6" customHeight="1">
      <c r="A614" s="1586"/>
      <c r="B614" s="1604"/>
      <c r="C614" s="1594"/>
      <c r="D614" s="1600"/>
      <c r="E614" s="916"/>
      <c r="F614" s="2724"/>
      <c r="G614" s="1475"/>
      <c r="H614" s="1501" t="str">
        <f t="shared" si="12"/>
        <v/>
      </c>
    </row>
    <row r="615" spans="1:8" ht="12.6" customHeight="1">
      <c r="A615" s="1586"/>
      <c r="B615" s="1604" t="s">
        <v>2166</v>
      </c>
      <c r="C615" s="1594" t="s">
        <v>2228</v>
      </c>
      <c r="D615" s="1600" t="s">
        <v>2263</v>
      </c>
      <c r="E615" s="916" t="s">
        <v>561</v>
      </c>
      <c r="F615" s="2724">
        <v>100</v>
      </c>
      <c r="G615" s="1473"/>
      <c r="H615" s="1501">
        <f t="shared" si="12"/>
        <v>0</v>
      </c>
    </row>
    <row r="616" spans="1:8">
      <c r="A616" s="1586"/>
      <c r="B616" s="1604"/>
      <c r="C616" s="1594"/>
      <c r="D616" s="1595"/>
      <c r="E616" s="1596"/>
      <c r="F616" s="2724"/>
      <c r="G616" s="1473"/>
      <c r="H616" s="1501" t="str">
        <f t="shared" si="12"/>
        <v/>
      </c>
    </row>
    <row r="617" spans="1:8" ht="12.6" customHeight="1">
      <c r="A617" s="1586"/>
      <c r="B617" s="1604" t="s">
        <v>2168</v>
      </c>
      <c r="C617" s="1594" t="s">
        <v>2228</v>
      </c>
      <c r="D617" s="1595" t="s">
        <v>2291</v>
      </c>
      <c r="E617" s="1596" t="s">
        <v>561</v>
      </c>
      <c r="F617" s="2724">
        <v>50</v>
      </c>
      <c r="G617" s="1472"/>
      <c r="H617" s="1501">
        <f t="shared" si="12"/>
        <v>0</v>
      </c>
    </row>
    <row r="618" spans="1:8">
      <c r="A618" s="1586"/>
      <c r="B618" s="1604"/>
      <c r="C618" s="1594"/>
      <c r="D618" s="1595"/>
      <c r="E618" s="1596"/>
      <c r="F618" s="2724"/>
      <c r="G618" s="1472"/>
      <c r="H618" s="1501" t="str">
        <f t="shared" si="12"/>
        <v/>
      </c>
    </row>
    <row r="619" spans="1:8" ht="15.6">
      <c r="A619" s="1586"/>
      <c r="B619" s="1604" t="s">
        <v>2171</v>
      </c>
      <c r="C619" s="1594" t="s">
        <v>2228</v>
      </c>
      <c r="D619" s="1595" t="s">
        <v>2232</v>
      </c>
      <c r="E619" s="1596" t="s">
        <v>691</v>
      </c>
      <c r="F619" s="2724">
        <v>10</v>
      </c>
      <c r="G619" s="1475"/>
      <c r="H619" s="1501">
        <f t="shared" si="12"/>
        <v>0</v>
      </c>
    </row>
    <row r="620" spans="1:8">
      <c r="A620" s="1586"/>
      <c r="B620" s="1604"/>
      <c r="C620" s="1594"/>
      <c r="D620" s="1595"/>
      <c r="E620" s="1596"/>
      <c r="F620" s="2724"/>
      <c r="G620" s="1475"/>
      <c r="H620" s="1501" t="str">
        <f t="shared" si="12"/>
        <v/>
      </c>
    </row>
    <row r="621" spans="1:8" ht="15.6">
      <c r="A621" s="1586"/>
      <c r="B621" s="1604" t="s">
        <v>2174</v>
      </c>
      <c r="C621" s="1594" t="s">
        <v>2228</v>
      </c>
      <c r="D621" s="1595" t="s">
        <v>2233</v>
      </c>
      <c r="E621" s="1596" t="s">
        <v>691</v>
      </c>
      <c r="F621" s="2724">
        <v>10</v>
      </c>
      <c r="G621" s="1475"/>
      <c r="H621" s="1501">
        <f t="shared" si="12"/>
        <v>0</v>
      </c>
    </row>
    <row r="622" spans="1:8">
      <c r="A622" s="1586"/>
      <c r="B622" s="1604"/>
      <c r="C622" s="1594"/>
      <c r="D622" s="1595"/>
      <c r="E622" s="1596"/>
      <c r="F622" s="2724"/>
      <c r="G622" s="1475"/>
      <c r="H622" s="1501" t="str">
        <f t="shared" si="12"/>
        <v/>
      </c>
    </row>
    <row r="623" spans="1:8" ht="15.6">
      <c r="A623" s="1586"/>
      <c r="B623" s="2691" t="s">
        <v>2178</v>
      </c>
      <c r="C623" s="1594" t="s">
        <v>2228</v>
      </c>
      <c r="D623" s="1595" t="s">
        <v>2265</v>
      </c>
      <c r="E623" s="1596" t="s">
        <v>691</v>
      </c>
      <c r="F623" s="1604">
        <v>8</v>
      </c>
      <c r="G623" s="1475"/>
      <c r="H623" s="1501">
        <f t="shared" si="12"/>
        <v>0</v>
      </c>
    </row>
    <row r="624" spans="1:8">
      <c r="A624" s="1586"/>
      <c r="B624" s="2691"/>
      <c r="C624" s="1599"/>
      <c r="D624" s="1595"/>
      <c r="E624" s="1596"/>
      <c r="F624" s="1604"/>
      <c r="G624" s="1475"/>
      <c r="H624" s="1501" t="str">
        <f t="shared" si="12"/>
        <v/>
      </c>
    </row>
    <row r="625" spans="1:8" ht="15.6">
      <c r="A625" s="1586"/>
      <c r="B625" s="1598" t="s">
        <v>2180</v>
      </c>
      <c r="C625" s="1594" t="s">
        <v>2228</v>
      </c>
      <c r="D625" s="1595" t="s">
        <v>2292</v>
      </c>
      <c r="E625" s="1590" t="s">
        <v>691</v>
      </c>
      <c r="F625" s="1601">
        <v>8</v>
      </c>
      <c r="G625" s="1473"/>
      <c r="H625" s="1501">
        <f t="shared" si="12"/>
        <v>0</v>
      </c>
    </row>
    <row r="626" spans="1:8">
      <c r="A626" s="1586"/>
      <c r="B626" s="1593"/>
      <c r="C626" s="1594"/>
      <c r="D626" s="2722"/>
      <c r="E626" s="1596"/>
      <c r="F626" s="2673"/>
      <c r="G626" s="1473"/>
      <c r="H626" s="1501" t="str">
        <f t="shared" si="12"/>
        <v/>
      </c>
    </row>
    <row r="627" spans="1:8" ht="12.6" customHeight="1">
      <c r="A627" s="2684">
        <f>$A$4</f>
        <v>19</v>
      </c>
      <c r="B627" s="2684">
        <v>5.8</v>
      </c>
      <c r="C627" s="1606"/>
      <c r="D627" s="2723" t="s">
        <v>2293</v>
      </c>
      <c r="E627" s="2768"/>
      <c r="F627" s="1607"/>
      <c r="G627" s="1473"/>
      <c r="H627" s="1501" t="str">
        <f t="shared" si="12"/>
        <v/>
      </c>
    </row>
    <row r="628" spans="1:8">
      <c r="A628" s="1586"/>
      <c r="B628" s="2684"/>
      <c r="C628" s="1606"/>
      <c r="D628" s="2723"/>
      <c r="E628" s="2768"/>
      <c r="F628" s="1607"/>
      <c r="G628" s="1473"/>
      <c r="H628" s="1501" t="str">
        <f t="shared" si="12"/>
        <v/>
      </c>
    </row>
    <row r="629" spans="1:8" ht="26.4">
      <c r="A629" s="1586"/>
      <c r="B629" s="2755"/>
      <c r="C629" s="1606" t="s">
        <v>2294</v>
      </c>
      <c r="D629" s="1595" t="s">
        <v>2295</v>
      </c>
      <c r="E629" s="2768"/>
      <c r="F629" s="1607"/>
      <c r="G629" s="1473"/>
      <c r="H629" s="1501" t="str">
        <f t="shared" si="12"/>
        <v/>
      </c>
    </row>
    <row r="630" spans="1:8" ht="12.6" customHeight="1">
      <c r="A630" s="1586"/>
      <c r="B630" s="1605"/>
      <c r="C630" s="1606"/>
      <c r="D630" s="1595"/>
      <c r="E630" s="2768"/>
      <c r="F630" s="1607"/>
      <c r="G630" s="1472"/>
      <c r="H630" s="1501" t="str">
        <f t="shared" si="12"/>
        <v/>
      </c>
    </row>
    <row r="631" spans="1:8" ht="26.4">
      <c r="A631" s="1586"/>
      <c r="B631" s="1605" t="s">
        <v>2162</v>
      </c>
      <c r="C631" s="1606" t="s">
        <v>2294</v>
      </c>
      <c r="D631" s="1595" t="s">
        <v>2296</v>
      </c>
      <c r="E631" s="2744" t="s">
        <v>691</v>
      </c>
      <c r="F631" s="1609">
        <v>20</v>
      </c>
      <c r="G631" s="1473"/>
      <c r="H631" s="1501">
        <f t="shared" si="12"/>
        <v>0</v>
      </c>
    </row>
    <row r="632" spans="1:8" ht="12.6" customHeight="1">
      <c r="A632" s="1586"/>
      <c r="B632" s="1605"/>
      <c r="C632" s="1606"/>
      <c r="D632" s="1595"/>
      <c r="E632" s="2744"/>
      <c r="F632" s="1609"/>
      <c r="G632" s="1473"/>
      <c r="H632" s="1501" t="str">
        <f t="shared" si="12"/>
        <v/>
      </c>
    </row>
    <row r="633" spans="1:8" ht="26.4">
      <c r="A633" s="1586"/>
      <c r="B633" s="1605" t="s">
        <v>2164</v>
      </c>
      <c r="C633" s="1606" t="s">
        <v>2294</v>
      </c>
      <c r="D633" s="1595" t="s">
        <v>2297</v>
      </c>
      <c r="E633" s="2744" t="s">
        <v>691</v>
      </c>
      <c r="F633" s="1609">
        <v>2</v>
      </c>
      <c r="G633" s="1474"/>
      <c r="H633" s="1501">
        <f t="shared" si="12"/>
        <v>0</v>
      </c>
    </row>
    <row r="634" spans="1:8" ht="12.6" customHeight="1">
      <c r="A634" s="1586"/>
      <c r="B634" s="2779"/>
      <c r="C634" s="1606"/>
      <c r="D634" s="1595"/>
      <c r="E634" s="2768"/>
      <c r="F634" s="1607"/>
      <c r="G634" s="1475"/>
      <c r="H634" s="1501" t="str">
        <f t="shared" si="12"/>
        <v/>
      </c>
    </row>
    <row r="635" spans="1:8" ht="26.4">
      <c r="A635" s="1586"/>
      <c r="B635" s="1605" t="s">
        <v>2166</v>
      </c>
      <c r="C635" s="1606" t="s">
        <v>2298</v>
      </c>
      <c r="D635" s="1589" t="s">
        <v>2299</v>
      </c>
      <c r="E635" s="2744" t="s">
        <v>691</v>
      </c>
      <c r="F635" s="1609">
        <v>1</v>
      </c>
      <c r="G635" s="1473"/>
      <c r="H635" s="1501">
        <f t="shared" si="12"/>
        <v>0</v>
      </c>
    </row>
    <row r="636" spans="1:8" ht="12.6" customHeight="1">
      <c r="A636" s="1586"/>
      <c r="B636" s="1605"/>
      <c r="C636" s="1606"/>
      <c r="D636" s="1589"/>
      <c r="E636" s="2768"/>
      <c r="F636" s="1607"/>
      <c r="G636" s="1473"/>
      <c r="H636" s="1501" t="str">
        <f t="shared" si="12"/>
        <v/>
      </c>
    </row>
    <row r="637" spans="1:8" ht="39.6">
      <c r="A637" s="1586"/>
      <c r="B637" s="1605" t="s">
        <v>2168</v>
      </c>
      <c r="C637" s="1606" t="s">
        <v>2298</v>
      </c>
      <c r="D637" s="1589" t="s">
        <v>2300</v>
      </c>
      <c r="E637" s="2744" t="s">
        <v>691</v>
      </c>
      <c r="F637" s="1609">
        <v>1</v>
      </c>
      <c r="G637" s="1475"/>
      <c r="H637" s="1501">
        <f t="shared" si="12"/>
        <v>0</v>
      </c>
    </row>
    <row r="638" spans="1:8" ht="12.6" customHeight="1">
      <c r="A638" s="1586"/>
      <c r="B638" s="2737"/>
      <c r="C638" s="2770"/>
      <c r="D638" s="1595"/>
      <c r="E638" s="2768"/>
      <c r="F638" s="1607"/>
      <c r="G638" s="1473"/>
      <c r="H638" s="1501" t="str">
        <f t="shared" si="12"/>
        <v/>
      </c>
    </row>
    <row r="639" spans="1:8" ht="26.4">
      <c r="A639" s="1586"/>
      <c r="B639" s="2737" t="s">
        <v>2171</v>
      </c>
      <c r="C639" s="1606" t="s">
        <v>2298</v>
      </c>
      <c r="D639" s="1595" t="s">
        <v>2301</v>
      </c>
      <c r="E639" s="1596" t="s">
        <v>691</v>
      </c>
      <c r="F639" s="1604">
        <v>8</v>
      </c>
      <c r="G639" s="1473"/>
      <c r="H639" s="1501">
        <f t="shared" si="12"/>
        <v>0</v>
      </c>
    </row>
    <row r="640" spans="1:8" ht="12.6" customHeight="1">
      <c r="A640" s="1586"/>
      <c r="B640" s="2780"/>
      <c r="C640" s="2770"/>
      <c r="D640" s="1595"/>
      <c r="E640" s="2768"/>
      <c r="F640" s="2781"/>
      <c r="G640" s="1475"/>
      <c r="H640" s="1501" t="str">
        <f t="shared" si="12"/>
        <v/>
      </c>
    </row>
    <row r="641" spans="1:8" ht="26.4">
      <c r="A641" s="1586"/>
      <c r="B641" s="1593" t="s">
        <v>2174</v>
      </c>
      <c r="C641" s="1606" t="s">
        <v>2298</v>
      </c>
      <c r="D641" s="1595" t="s">
        <v>2302</v>
      </c>
      <c r="E641" s="1596" t="s">
        <v>691</v>
      </c>
      <c r="F641" s="1604">
        <v>4</v>
      </c>
      <c r="G641" s="1473"/>
      <c r="H641" s="1501">
        <f t="shared" si="12"/>
        <v>0</v>
      </c>
    </row>
    <row r="642" spans="1:8">
      <c r="A642" s="1586"/>
      <c r="B642" s="1605"/>
      <c r="C642" s="1606"/>
      <c r="D642" s="1595"/>
      <c r="E642" s="2768"/>
      <c r="F642" s="1607"/>
      <c r="G642" s="1473"/>
      <c r="H642" s="1501" t="str">
        <f t="shared" si="12"/>
        <v/>
      </c>
    </row>
    <row r="643" spans="1:8" ht="12.6" customHeight="1">
      <c r="A643" s="2684">
        <f>$A$4</f>
        <v>19</v>
      </c>
      <c r="B643" s="2684">
        <v>5.9</v>
      </c>
      <c r="C643" s="1588"/>
      <c r="D643" s="2723" t="s">
        <v>2318</v>
      </c>
      <c r="E643" s="2782"/>
      <c r="F643" s="2782"/>
      <c r="G643" s="1475"/>
      <c r="H643" s="1501" t="str">
        <f t="shared" si="12"/>
        <v/>
      </c>
    </row>
    <row r="644" spans="1:8">
      <c r="A644" s="1586"/>
      <c r="B644" s="1587"/>
      <c r="C644" s="1588"/>
      <c r="D644" s="900"/>
      <c r="E644" s="2782"/>
      <c r="F644" s="2782"/>
      <c r="G644" s="1475"/>
      <c r="H644" s="1501" t="str">
        <f t="shared" si="12"/>
        <v/>
      </c>
    </row>
    <row r="645" spans="1:8" ht="12.6" customHeight="1">
      <c r="A645" s="1586"/>
      <c r="B645" s="1587" t="s">
        <v>2162</v>
      </c>
      <c r="C645" s="1588" t="s">
        <v>2304</v>
      </c>
      <c r="D645" s="1589" t="s">
        <v>2319</v>
      </c>
      <c r="E645" s="1591" t="s">
        <v>976</v>
      </c>
      <c r="F645" s="2785">
        <v>1</v>
      </c>
      <c r="G645" s="1473"/>
      <c r="H645" s="1501">
        <f t="shared" si="12"/>
        <v>0</v>
      </c>
    </row>
    <row r="646" spans="1:8" ht="12.6" customHeight="1">
      <c r="A646" s="1586"/>
      <c r="B646" s="1587"/>
      <c r="C646" s="2783"/>
      <c r="D646" s="1589"/>
      <c r="E646" s="1591"/>
      <c r="F646" s="2785"/>
      <c r="G646" s="1473"/>
      <c r="H646" s="1501" t="str">
        <f t="shared" si="12"/>
        <v/>
      </c>
    </row>
    <row r="647" spans="1:8" ht="26.4">
      <c r="A647" s="2684">
        <f>$A$4</f>
        <v>19</v>
      </c>
      <c r="B647" s="2684">
        <v>5.0999999999999996</v>
      </c>
      <c r="C647" s="1588"/>
      <c r="D647" s="2723" t="s">
        <v>2303</v>
      </c>
      <c r="E647" s="2782"/>
      <c r="F647" s="2782"/>
      <c r="G647" s="1475"/>
      <c r="H647" s="1501" t="str">
        <f t="shared" si="12"/>
        <v/>
      </c>
    </row>
    <row r="648" spans="1:8" ht="12.6" customHeight="1">
      <c r="A648" s="1586"/>
      <c r="B648" s="1587"/>
      <c r="C648" s="2783"/>
      <c r="D648" s="2725"/>
      <c r="E648" s="2782"/>
      <c r="F648" s="2784"/>
      <c r="G648" s="1473"/>
      <c r="H648" s="1501" t="str">
        <f t="shared" si="12"/>
        <v/>
      </c>
    </row>
    <row r="649" spans="1:8" ht="66">
      <c r="A649" s="1586"/>
      <c r="B649" s="1587" t="s">
        <v>2162</v>
      </c>
      <c r="C649" s="2783" t="s">
        <v>2304</v>
      </c>
      <c r="D649" s="1589" t="s">
        <v>2320</v>
      </c>
      <c r="E649" s="1591" t="s">
        <v>691</v>
      </c>
      <c r="F649" s="1591">
        <v>5</v>
      </c>
      <c r="G649" s="1475"/>
      <c r="H649" s="1501">
        <f t="shared" si="12"/>
        <v>0</v>
      </c>
    </row>
    <row r="650" spans="1:8" ht="12.6" customHeight="1">
      <c r="A650" s="1586"/>
      <c r="B650" s="2756"/>
      <c r="C650" s="1588"/>
      <c r="D650" s="2788"/>
      <c r="E650" s="2683"/>
      <c r="F650" s="2789"/>
      <c r="G650" s="1474"/>
      <c r="H650" s="1501" t="str">
        <f t="shared" si="12"/>
        <v/>
      </c>
    </row>
    <row r="651" spans="1:8" ht="12.6" customHeight="1">
      <c r="A651" s="2684">
        <f>$A$4</f>
        <v>19</v>
      </c>
      <c r="B651" s="2684">
        <v>5.1100000000000003</v>
      </c>
      <c r="C651" s="1588"/>
      <c r="D651" s="2723" t="s">
        <v>2306</v>
      </c>
      <c r="E651" s="2782"/>
      <c r="F651" s="2782"/>
      <c r="G651" s="1473"/>
      <c r="H651" s="1501" t="str">
        <f t="shared" si="12"/>
        <v/>
      </c>
    </row>
    <row r="652" spans="1:8" ht="12.6" customHeight="1">
      <c r="A652" s="1586"/>
      <c r="B652" s="2684"/>
      <c r="C652" s="1588"/>
      <c r="D652" s="920"/>
      <c r="E652" s="2782"/>
      <c r="F652" s="2782"/>
      <c r="G652" s="1473"/>
      <c r="H652" s="1501" t="str">
        <f t="shared" si="12"/>
        <v/>
      </c>
    </row>
    <row r="653" spans="1:8" ht="26.4">
      <c r="A653" s="1586"/>
      <c r="B653" s="1587" t="s">
        <v>2162</v>
      </c>
      <c r="C653" s="1588" t="s">
        <v>2307</v>
      </c>
      <c r="D653" s="1589" t="s">
        <v>2308</v>
      </c>
      <c r="E653" s="1591" t="s">
        <v>691</v>
      </c>
      <c r="F653" s="2785">
        <v>4</v>
      </c>
      <c r="G653" s="1475"/>
      <c r="H653" s="1501">
        <f t="shared" si="12"/>
        <v>0</v>
      </c>
    </row>
    <row r="654" spans="1:8" ht="12.6" customHeight="1">
      <c r="A654" s="1586"/>
      <c r="B654" s="1271"/>
      <c r="C654" s="1155"/>
      <c r="D654" s="2751"/>
      <c r="E654" s="147"/>
      <c r="F654" s="1577"/>
      <c r="G654" s="1478"/>
      <c r="H654" s="1501" t="str">
        <f t="shared" si="12"/>
        <v/>
      </c>
    </row>
    <row r="655" spans="1:8" ht="12.6" customHeight="1">
      <c r="A655" s="2684">
        <f>$A$4</f>
        <v>19</v>
      </c>
      <c r="B655" s="2684">
        <v>5.12</v>
      </c>
      <c r="C655" s="2783"/>
      <c r="D655" s="2723" t="s">
        <v>2236</v>
      </c>
      <c r="E655" s="2726"/>
      <c r="F655" s="1609"/>
      <c r="G655" s="1473"/>
      <c r="H655" s="1501" t="str">
        <f t="shared" si="12"/>
        <v/>
      </c>
    </row>
    <row r="656" spans="1:8" ht="12.6" customHeight="1">
      <c r="A656" s="1586"/>
      <c r="B656" s="1587"/>
      <c r="C656" s="1588"/>
      <c r="D656" s="2725"/>
      <c r="E656" s="1590"/>
      <c r="F656" s="1591"/>
      <c r="G656" s="1475"/>
      <c r="H656" s="1501" t="str">
        <f t="shared" si="12"/>
        <v/>
      </c>
    </row>
    <row r="657" spans="1:8" ht="12.6" customHeight="1">
      <c r="A657" s="1586"/>
      <c r="B657" s="1587" t="s">
        <v>2162</v>
      </c>
      <c r="C657" s="1588" t="s">
        <v>2237</v>
      </c>
      <c r="D657" s="1589" t="s">
        <v>2321</v>
      </c>
      <c r="E657" s="1590" t="s">
        <v>691</v>
      </c>
      <c r="F657" s="1591">
        <v>4</v>
      </c>
      <c r="G657" s="1475"/>
      <c r="H657" s="1501">
        <f t="shared" si="12"/>
        <v>0</v>
      </c>
    </row>
    <row r="658" spans="1:8">
      <c r="A658" s="1586"/>
      <c r="B658" s="1587"/>
      <c r="C658" s="1588"/>
      <c r="D658" s="1589"/>
      <c r="E658" s="1590"/>
      <c r="F658" s="1591"/>
      <c r="G658" s="1473"/>
      <c r="H658" s="1501" t="str">
        <f t="shared" si="12"/>
        <v/>
      </c>
    </row>
    <row r="659" spans="1:8" ht="12.6" customHeight="1">
      <c r="A659" s="1586"/>
      <c r="B659" s="1587" t="s">
        <v>2164</v>
      </c>
      <c r="C659" s="1588" t="s">
        <v>2237</v>
      </c>
      <c r="D659" s="1589" t="s">
        <v>2239</v>
      </c>
      <c r="E659" s="1590" t="s">
        <v>691</v>
      </c>
      <c r="F659" s="1591">
        <v>4</v>
      </c>
      <c r="G659" s="1475"/>
      <c r="H659" s="1501">
        <f t="shared" si="12"/>
        <v>0</v>
      </c>
    </row>
    <row r="660" spans="1:8">
      <c r="A660" s="1586"/>
      <c r="B660" s="1587"/>
      <c r="C660" s="1588"/>
      <c r="D660" s="1589"/>
      <c r="E660" s="1590"/>
      <c r="F660" s="1591"/>
      <c r="G660" s="1475"/>
      <c r="H660" s="1501" t="str">
        <f t="shared" si="12"/>
        <v/>
      </c>
    </row>
    <row r="661" spans="1:8" ht="12.6" customHeight="1">
      <c r="A661" s="1586"/>
      <c r="B661" s="1587" t="s">
        <v>2166</v>
      </c>
      <c r="C661" s="1588" t="s">
        <v>2237</v>
      </c>
      <c r="D661" s="1589" t="s">
        <v>2322</v>
      </c>
      <c r="E661" s="1590" t="s">
        <v>691</v>
      </c>
      <c r="F661" s="1591">
        <v>10</v>
      </c>
      <c r="G661" s="1475"/>
      <c r="H661" s="1501">
        <f t="shared" si="12"/>
        <v>0</v>
      </c>
    </row>
    <row r="662" spans="1:8" ht="12.6" customHeight="1">
      <c r="A662" s="1586"/>
      <c r="B662" s="1587"/>
      <c r="C662" s="1588"/>
      <c r="D662" s="1589"/>
      <c r="E662" s="1590"/>
      <c r="F662" s="1591"/>
      <c r="G662" s="1473"/>
      <c r="H662" s="1501" t="str">
        <f t="shared" si="12"/>
        <v/>
      </c>
    </row>
    <row r="663" spans="1:8">
      <c r="A663" s="1586"/>
      <c r="B663" s="1587" t="s">
        <v>2168</v>
      </c>
      <c r="C663" s="1588" t="s">
        <v>2237</v>
      </c>
      <c r="D663" s="1589" t="s">
        <v>2239</v>
      </c>
      <c r="E663" s="1590" t="s">
        <v>691</v>
      </c>
      <c r="F663" s="1591">
        <v>10</v>
      </c>
      <c r="G663" s="1475"/>
      <c r="H663" s="1501">
        <f t="shared" si="12"/>
        <v>0</v>
      </c>
    </row>
    <row r="664" spans="1:8">
      <c r="A664" s="1586"/>
      <c r="B664" s="1587"/>
      <c r="C664" s="1588"/>
      <c r="D664" s="1589"/>
      <c r="E664" s="1590"/>
      <c r="F664" s="1591"/>
      <c r="G664" s="1475"/>
      <c r="H664" s="1592"/>
    </row>
    <row r="665" spans="1:8">
      <c r="A665" s="1586"/>
      <c r="B665" s="1587"/>
      <c r="C665" s="1588"/>
      <c r="D665" s="1589"/>
      <c r="E665" s="1590"/>
      <c r="F665" s="1591"/>
      <c r="G665" s="1475"/>
      <c r="H665" s="1592"/>
    </row>
    <row r="666" spans="1:8">
      <c r="A666" s="1586"/>
      <c r="B666" s="1587"/>
      <c r="C666" s="1588"/>
      <c r="D666" s="1589"/>
      <c r="E666" s="1590"/>
      <c r="F666" s="1591"/>
      <c r="G666" s="1475"/>
      <c r="H666" s="1592"/>
    </row>
    <row r="667" spans="1:8">
      <c r="A667" s="1586"/>
      <c r="B667" s="1587"/>
      <c r="C667" s="1588"/>
      <c r="D667" s="1589"/>
      <c r="E667" s="1590"/>
      <c r="F667" s="1591"/>
      <c r="G667" s="1475"/>
      <c r="H667" s="1592"/>
    </row>
    <row r="668" spans="1:8">
      <c r="A668" s="1586"/>
      <c r="B668" s="1587"/>
      <c r="C668" s="1588"/>
      <c r="D668" s="1589"/>
      <c r="E668" s="1590"/>
      <c r="F668" s="1591"/>
      <c r="G668" s="1475"/>
      <c r="H668" s="1592"/>
    </row>
    <row r="669" spans="1:8" ht="12.6" customHeight="1">
      <c r="A669" s="1586"/>
      <c r="B669" s="2772"/>
      <c r="C669" s="2771"/>
      <c r="D669" s="2773"/>
      <c r="E669" s="2772"/>
      <c r="F669" s="2772"/>
      <c r="G669" s="1480"/>
      <c r="H669" s="2790"/>
    </row>
    <row r="670" spans="1:8" ht="12.6" customHeight="1">
      <c r="A670" s="1586"/>
      <c r="B670" s="2684"/>
      <c r="C670" s="1594"/>
      <c r="D670" s="2723"/>
      <c r="E670" s="2732"/>
      <c r="F670" s="2733"/>
      <c r="G670" s="1472"/>
      <c r="H670" s="2720"/>
    </row>
    <row r="671" spans="1:8" ht="12.6" customHeight="1">
      <c r="A671" s="1586"/>
      <c r="B671" s="1271"/>
      <c r="C671" s="1792"/>
      <c r="D671" s="2647"/>
      <c r="E671" s="882"/>
      <c r="F671" s="1577"/>
      <c r="G671" s="1476"/>
      <c r="H671" s="902"/>
    </row>
    <row r="672" spans="1:8">
      <c r="A672" s="2333"/>
      <c r="B672" s="822"/>
      <c r="C672" s="1158"/>
      <c r="D672" s="840"/>
      <c r="E672" s="837"/>
      <c r="F672" s="838"/>
      <c r="G672" s="2748"/>
      <c r="H672" s="2749"/>
    </row>
    <row r="673" spans="1:8">
      <c r="A673" s="2336"/>
      <c r="B673" s="823"/>
      <c r="C673" s="1159"/>
      <c r="D673" s="774" t="s">
        <v>289</v>
      </c>
      <c r="E673" s="426"/>
      <c r="F673" s="24"/>
      <c r="G673" s="1477"/>
      <c r="H673" s="2750">
        <f>SUM(H605:H671)</f>
        <v>0</v>
      </c>
    </row>
    <row r="674" spans="1:8" ht="12.6" customHeight="1">
      <c r="A674" s="1586"/>
      <c r="B674" s="1271"/>
      <c r="C674" s="2791"/>
      <c r="D674" s="2792" t="s">
        <v>290</v>
      </c>
      <c r="E674" s="147"/>
      <c r="F674" s="1577"/>
      <c r="G674" s="1478"/>
      <c r="H674" s="922">
        <f>H673</f>
        <v>0</v>
      </c>
    </row>
    <row r="675" spans="1:8" ht="12.6" customHeight="1">
      <c r="A675" s="1586"/>
      <c r="B675" s="1271"/>
      <c r="C675" s="1156"/>
      <c r="D675" s="923"/>
      <c r="E675" s="147"/>
      <c r="F675" s="1577"/>
      <c r="G675" s="1478"/>
      <c r="H675" s="897"/>
    </row>
    <row r="676" spans="1:8" ht="12.6" customHeight="1">
      <c r="A676" s="2684">
        <f>$A$4</f>
        <v>19</v>
      </c>
      <c r="B676" s="2684">
        <v>6</v>
      </c>
      <c r="C676" s="1599"/>
      <c r="D676" s="924" t="s">
        <v>2065</v>
      </c>
      <c r="E676" s="925"/>
      <c r="F676" s="2759"/>
      <c r="G676" s="1472"/>
      <c r="H676" s="1592"/>
    </row>
    <row r="677" spans="1:8" ht="12.6" customHeight="1">
      <c r="A677" s="1586"/>
      <c r="B677" s="2778"/>
      <c r="C677" s="1599"/>
      <c r="D677" s="926"/>
      <c r="E677" s="925"/>
      <c r="F677" s="2759"/>
      <c r="G677" s="1472"/>
      <c r="H677" s="2720"/>
    </row>
    <row r="678" spans="1:8" ht="12.6" customHeight="1">
      <c r="A678" s="2684">
        <f>$A$4</f>
        <v>19</v>
      </c>
      <c r="B678" s="2684">
        <v>6.1</v>
      </c>
      <c r="C678" s="1594"/>
      <c r="D678" s="2723" t="s">
        <v>2211</v>
      </c>
      <c r="E678" s="2732"/>
      <c r="F678" s="2733"/>
      <c r="G678" s="1472"/>
      <c r="H678" s="2720"/>
    </row>
    <row r="679" spans="1:8" ht="12.6" customHeight="1">
      <c r="A679" s="2760"/>
      <c r="B679" s="2684"/>
      <c r="C679" s="1594"/>
      <c r="D679" s="2723"/>
      <c r="E679" s="2732"/>
      <c r="F679" s="2733"/>
      <c r="G679" s="1472"/>
      <c r="H679" s="2720"/>
    </row>
    <row r="680" spans="1:8" ht="39.6">
      <c r="A680" s="1586"/>
      <c r="B680" s="1593"/>
      <c r="C680" s="1594" t="s">
        <v>2175</v>
      </c>
      <c r="D680" s="1595" t="s">
        <v>2212</v>
      </c>
      <c r="E680" s="2732"/>
      <c r="F680" s="2733"/>
      <c r="G680" s="1472"/>
      <c r="H680" s="2720"/>
    </row>
    <row r="681" spans="1:8" ht="12.6" customHeight="1">
      <c r="A681" s="1586"/>
      <c r="B681" s="1593"/>
      <c r="C681" s="1594"/>
      <c r="D681" s="1589"/>
      <c r="E681" s="2734"/>
      <c r="F681" s="1597"/>
      <c r="G681" s="1473"/>
      <c r="H681" s="2747"/>
    </row>
    <row r="682" spans="1:8" ht="15.6">
      <c r="A682" s="1586"/>
      <c r="B682" s="1593" t="s">
        <v>2162</v>
      </c>
      <c r="C682" s="1594" t="s">
        <v>2175</v>
      </c>
      <c r="D682" s="1589" t="s">
        <v>2323</v>
      </c>
      <c r="E682" s="2734" t="s">
        <v>561</v>
      </c>
      <c r="F682" s="1597">
        <v>1600</v>
      </c>
      <c r="G682" s="1472"/>
      <c r="H682" s="1501">
        <f t="shared" ref="H682:H744" si="13">IF(E682="","",ROUND(F682*G682,2))</f>
        <v>0</v>
      </c>
    </row>
    <row r="683" spans="1:8" ht="12.6" customHeight="1">
      <c r="A683" s="1586"/>
      <c r="B683" s="1593"/>
      <c r="C683" s="1594"/>
      <c r="D683" s="2746"/>
      <c r="E683" s="2734"/>
      <c r="F683" s="1597"/>
      <c r="G683" s="1473"/>
      <c r="H683" s="1501" t="str">
        <f t="shared" si="13"/>
        <v/>
      </c>
    </row>
    <row r="684" spans="1:8" ht="15.6">
      <c r="A684" s="1586"/>
      <c r="B684" s="1593" t="s">
        <v>2164</v>
      </c>
      <c r="C684" s="1594" t="s">
        <v>2175</v>
      </c>
      <c r="D684" s="1589" t="s">
        <v>2278</v>
      </c>
      <c r="E684" s="2734" t="s">
        <v>561</v>
      </c>
      <c r="F684" s="1597">
        <v>360</v>
      </c>
      <c r="G684" s="1472"/>
      <c r="H684" s="1501">
        <f t="shared" si="13"/>
        <v>0</v>
      </c>
    </row>
    <row r="685" spans="1:8" ht="12.6" customHeight="1">
      <c r="A685" s="1586"/>
      <c r="B685" s="1593"/>
      <c r="C685" s="1594"/>
      <c r="D685" s="1589"/>
      <c r="E685" s="2734"/>
      <c r="F685" s="1597"/>
      <c r="G685" s="1473"/>
      <c r="H685" s="1501" t="str">
        <f t="shared" si="13"/>
        <v/>
      </c>
    </row>
    <row r="686" spans="1:8" ht="15.6">
      <c r="A686" s="1586"/>
      <c r="B686" s="1593" t="s">
        <v>2166</v>
      </c>
      <c r="C686" s="1594" t="s">
        <v>2175</v>
      </c>
      <c r="D686" s="1589" t="s">
        <v>2279</v>
      </c>
      <c r="E686" s="2734" t="s">
        <v>561</v>
      </c>
      <c r="F686" s="1597">
        <v>400</v>
      </c>
      <c r="G686" s="1472"/>
      <c r="H686" s="1501">
        <f t="shared" si="13"/>
        <v>0</v>
      </c>
    </row>
    <row r="687" spans="1:8" ht="12.6" customHeight="1">
      <c r="A687" s="1586"/>
      <c r="B687" s="1593"/>
      <c r="C687" s="1594"/>
      <c r="D687" s="1589"/>
      <c r="E687" s="2734"/>
      <c r="F687" s="1597"/>
      <c r="G687" s="1472"/>
      <c r="H687" s="1501" t="str">
        <f t="shared" si="13"/>
        <v/>
      </c>
    </row>
    <row r="688" spans="1:8" ht="15.6">
      <c r="A688" s="1586"/>
      <c r="B688" s="1593" t="s">
        <v>2168</v>
      </c>
      <c r="C688" s="1594" t="s">
        <v>2175</v>
      </c>
      <c r="D688" s="1589" t="s">
        <v>2280</v>
      </c>
      <c r="E688" s="2734" t="s">
        <v>561</v>
      </c>
      <c r="F688" s="1597">
        <v>300</v>
      </c>
      <c r="G688" s="1473"/>
      <c r="H688" s="1501">
        <f t="shared" si="13"/>
        <v>0</v>
      </c>
    </row>
    <row r="689" spans="1:8" ht="12.6" customHeight="1">
      <c r="A689" s="1586"/>
      <c r="B689" s="1593"/>
      <c r="C689" s="1594"/>
      <c r="D689" s="1589"/>
      <c r="E689" s="2734"/>
      <c r="F689" s="1597"/>
      <c r="G689" s="1473"/>
      <c r="H689" s="1501" t="str">
        <f t="shared" si="13"/>
        <v/>
      </c>
    </row>
    <row r="690" spans="1:8" ht="15.6">
      <c r="A690" s="1586"/>
      <c r="B690" s="1593" t="s">
        <v>2171</v>
      </c>
      <c r="C690" s="1594" t="s">
        <v>2175</v>
      </c>
      <c r="D690" s="1589" t="s">
        <v>2281</v>
      </c>
      <c r="E690" s="2734" t="s">
        <v>561</v>
      </c>
      <c r="F690" s="1597">
        <v>100</v>
      </c>
      <c r="G690" s="1472"/>
      <c r="H690" s="1501">
        <f t="shared" si="13"/>
        <v>0</v>
      </c>
    </row>
    <row r="691" spans="1:8" ht="12.6" customHeight="1">
      <c r="A691" s="1586"/>
      <c r="B691" s="1593"/>
      <c r="C691" s="1594"/>
      <c r="D691" s="1589"/>
      <c r="E691" s="2734"/>
      <c r="F691" s="1597"/>
      <c r="G691" s="1473"/>
      <c r="H691" s="1501" t="str">
        <f t="shared" si="13"/>
        <v/>
      </c>
    </row>
    <row r="692" spans="1:8" ht="15.6">
      <c r="A692" s="1586"/>
      <c r="B692" s="1593" t="s">
        <v>2174</v>
      </c>
      <c r="C692" s="1594" t="s">
        <v>2175</v>
      </c>
      <c r="D692" s="1589" t="s">
        <v>2282</v>
      </c>
      <c r="E692" s="2734" t="s">
        <v>561</v>
      </c>
      <c r="F692" s="1604">
        <v>1080</v>
      </c>
      <c r="G692" s="1472"/>
      <c r="H692" s="1501">
        <f t="shared" si="13"/>
        <v>0</v>
      </c>
    </row>
    <row r="693" spans="1:8" ht="12.6" customHeight="1">
      <c r="A693" s="1586"/>
      <c r="B693" s="1593"/>
      <c r="C693" s="1594"/>
      <c r="D693" s="2746"/>
      <c r="E693" s="2734"/>
      <c r="F693" s="1597"/>
      <c r="G693" s="1473"/>
      <c r="H693" s="1501" t="str">
        <f t="shared" si="13"/>
        <v/>
      </c>
    </row>
    <row r="694" spans="1:8" ht="15.6">
      <c r="A694" s="1586"/>
      <c r="B694" s="1593" t="s">
        <v>2178</v>
      </c>
      <c r="C694" s="1594" t="s">
        <v>2175</v>
      </c>
      <c r="D694" s="1589" t="s">
        <v>2324</v>
      </c>
      <c r="E694" s="2734" t="s">
        <v>561</v>
      </c>
      <c r="F694" s="1604">
        <v>960</v>
      </c>
      <c r="G694" s="1473"/>
      <c r="H694" s="1501">
        <f t="shared" si="13"/>
        <v>0</v>
      </c>
    </row>
    <row r="695" spans="1:8" ht="12.6" customHeight="1">
      <c r="A695" s="1586"/>
      <c r="B695" s="1593"/>
      <c r="C695" s="1594"/>
      <c r="D695" s="1589"/>
      <c r="E695" s="2734"/>
      <c r="F695" s="1604"/>
      <c r="G695" s="1473"/>
      <c r="H695" s="1501" t="str">
        <f t="shared" si="13"/>
        <v/>
      </c>
    </row>
    <row r="696" spans="1:8" ht="15.6">
      <c r="A696" s="1586"/>
      <c r="B696" s="1593" t="s">
        <v>2180</v>
      </c>
      <c r="C696" s="1594" t="s">
        <v>2175</v>
      </c>
      <c r="D696" s="1589" t="s">
        <v>2284</v>
      </c>
      <c r="E696" s="2734" t="s">
        <v>561</v>
      </c>
      <c r="F696" s="1604">
        <v>1125</v>
      </c>
      <c r="G696" s="1474"/>
      <c r="H696" s="1501">
        <f t="shared" si="13"/>
        <v>0</v>
      </c>
    </row>
    <row r="697" spans="1:8" ht="12.6" customHeight="1">
      <c r="A697" s="1586"/>
      <c r="B697" s="1593"/>
      <c r="C697" s="1594"/>
      <c r="D697" s="1589"/>
      <c r="E697" s="905"/>
      <c r="F697" s="1604"/>
      <c r="G697" s="1474"/>
      <c r="H697" s="1501" t="str">
        <f t="shared" si="13"/>
        <v/>
      </c>
    </row>
    <row r="698" spans="1:8" ht="12.6" customHeight="1">
      <c r="A698" s="2684">
        <f>$A$4</f>
        <v>19</v>
      </c>
      <c r="B698" s="2684">
        <v>6.2</v>
      </c>
      <c r="C698" s="1594"/>
      <c r="D698" s="2723" t="s">
        <v>2216</v>
      </c>
      <c r="E698" s="2732"/>
      <c r="F698" s="1604"/>
      <c r="G698" s="1479"/>
      <c r="H698" s="1501" t="str">
        <f t="shared" si="13"/>
        <v/>
      </c>
    </row>
    <row r="699" spans="1:8" ht="12.6" customHeight="1">
      <c r="A699" s="1586"/>
      <c r="B699" s="2684"/>
      <c r="C699" s="1594"/>
      <c r="D699" s="2723"/>
      <c r="E699" s="2732"/>
      <c r="F699" s="1604"/>
      <c r="G699" s="1479"/>
      <c r="H699" s="1501" t="str">
        <f t="shared" si="13"/>
        <v/>
      </c>
    </row>
    <row r="700" spans="1:8" ht="26.4">
      <c r="A700" s="1586"/>
      <c r="B700" s="1593"/>
      <c r="C700" s="1594"/>
      <c r="D700" s="1595" t="s">
        <v>2197</v>
      </c>
      <c r="E700" s="2732"/>
      <c r="F700" s="1597"/>
      <c r="G700" s="1472"/>
      <c r="H700" s="1501" t="str">
        <f t="shared" si="13"/>
        <v/>
      </c>
    </row>
    <row r="701" spans="1:8" ht="12.6" customHeight="1">
      <c r="A701" s="1586"/>
      <c r="B701" s="1593"/>
      <c r="C701" s="1594"/>
      <c r="D701" s="904"/>
      <c r="E701" s="2732"/>
      <c r="F701" s="2761"/>
      <c r="G701" s="1474"/>
      <c r="H701" s="1501" t="str">
        <f t="shared" si="13"/>
        <v/>
      </c>
    </row>
    <row r="702" spans="1:8" ht="15.6">
      <c r="A702" s="1586"/>
      <c r="B702" s="1593" t="s">
        <v>2162</v>
      </c>
      <c r="C702" s="1594" t="s">
        <v>2175</v>
      </c>
      <c r="D702" s="1589" t="s">
        <v>2323</v>
      </c>
      <c r="E702" s="2734" t="s">
        <v>691</v>
      </c>
      <c r="F702" s="2730">
        <v>20</v>
      </c>
      <c r="G702" s="1472"/>
      <c r="H702" s="1501">
        <f t="shared" si="13"/>
        <v>0</v>
      </c>
    </row>
    <row r="703" spans="1:8" ht="12.6" customHeight="1">
      <c r="A703" s="1586"/>
      <c r="B703" s="1593"/>
      <c r="C703" s="1594"/>
      <c r="D703" s="2746"/>
      <c r="E703" s="2734"/>
      <c r="F703" s="2730"/>
      <c r="G703" s="1473"/>
      <c r="H703" s="1501" t="str">
        <f t="shared" si="13"/>
        <v/>
      </c>
    </row>
    <row r="704" spans="1:8" ht="15.6">
      <c r="A704" s="1586"/>
      <c r="B704" s="1593" t="s">
        <v>2164</v>
      </c>
      <c r="C704" s="1594" t="s">
        <v>2175</v>
      </c>
      <c r="D704" s="1589" t="s">
        <v>2278</v>
      </c>
      <c r="E704" s="2734" t="s">
        <v>691</v>
      </c>
      <c r="F704" s="1604">
        <v>24</v>
      </c>
      <c r="G704" s="1472"/>
      <c r="H704" s="1501">
        <f t="shared" si="13"/>
        <v>0</v>
      </c>
    </row>
    <row r="705" spans="1:8" ht="12.6" customHeight="1">
      <c r="A705" s="1586"/>
      <c r="B705" s="1593"/>
      <c r="C705" s="1594"/>
      <c r="D705" s="1589"/>
      <c r="E705" s="2734"/>
      <c r="F705" s="1604"/>
      <c r="G705" s="1473"/>
      <c r="H705" s="1501" t="str">
        <f t="shared" si="13"/>
        <v/>
      </c>
    </row>
    <row r="706" spans="1:8" ht="15.6">
      <c r="A706" s="1586"/>
      <c r="B706" s="1593" t="s">
        <v>2166</v>
      </c>
      <c r="C706" s="1594" t="s">
        <v>2175</v>
      </c>
      <c r="D706" s="1589" t="s">
        <v>2279</v>
      </c>
      <c r="E706" s="2734" t="s">
        <v>691</v>
      </c>
      <c r="F706" s="1597">
        <v>10</v>
      </c>
      <c r="G706" s="1473"/>
      <c r="H706" s="1501">
        <f t="shared" si="13"/>
        <v>0</v>
      </c>
    </row>
    <row r="707" spans="1:8" ht="12.6" customHeight="1">
      <c r="A707" s="1586"/>
      <c r="B707" s="1593"/>
      <c r="C707" s="1594"/>
      <c r="D707" s="1589"/>
      <c r="E707" s="2734"/>
      <c r="F707" s="1597"/>
      <c r="G707" s="1473"/>
      <c r="H707" s="1501" t="str">
        <f t="shared" si="13"/>
        <v/>
      </c>
    </row>
    <row r="708" spans="1:8" ht="15.6">
      <c r="A708" s="1586"/>
      <c r="B708" s="1593" t="s">
        <v>2168</v>
      </c>
      <c r="C708" s="1594" t="s">
        <v>2175</v>
      </c>
      <c r="D708" s="1589" t="s">
        <v>2280</v>
      </c>
      <c r="E708" s="2734" t="s">
        <v>691</v>
      </c>
      <c r="F708" s="1597">
        <v>6</v>
      </c>
      <c r="G708" s="1474"/>
      <c r="H708" s="1501">
        <f t="shared" si="13"/>
        <v>0</v>
      </c>
    </row>
    <row r="709" spans="1:8" ht="12.6" customHeight="1">
      <c r="A709" s="1586"/>
      <c r="B709" s="1593"/>
      <c r="C709" s="1594"/>
      <c r="D709" s="1589"/>
      <c r="E709" s="2734"/>
      <c r="F709" s="1597"/>
      <c r="G709" s="1474"/>
      <c r="H709" s="1501" t="str">
        <f t="shared" si="13"/>
        <v/>
      </c>
    </row>
    <row r="710" spans="1:8" ht="15.6">
      <c r="A710" s="1586"/>
      <c r="B710" s="1593" t="s">
        <v>2171</v>
      </c>
      <c r="C710" s="1594" t="s">
        <v>2175</v>
      </c>
      <c r="D710" s="1589" t="s">
        <v>2281</v>
      </c>
      <c r="E710" s="2734" t="s">
        <v>691</v>
      </c>
      <c r="F710" s="1597">
        <v>6</v>
      </c>
      <c r="G710" s="1473"/>
      <c r="H710" s="1501">
        <f t="shared" si="13"/>
        <v>0</v>
      </c>
    </row>
    <row r="711" spans="1:8" ht="12.6" customHeight="1">
      <c r="A711" s="1586"/>
      <c r="B711" s="1593"/>
      <c r="C711" s="1594"/>
      <c r="D711" s="1589"/>
      <c r="E711" s="2734"/>
      <c r="F711" s="2730"/>
      <c r="G711" s="1473"/>
      <c r="H711" s="1501" t="str">
        <f t="shared" si="13"/>
        <v/>
      </c>
    </row>
    <row r="712" spans="1:8" ht="15.6">
      <c r="A712" s="1586"/>
      <c r="B712" s="1593" t="s">
        <v>2174</v>
      </c>
      <c r="C712" s="1594" t="s">
        <v>2175</v>
      </c>
      <c r="D712" s="1589" t="s">
        <v>2282</v>
      </c>
      <c r="E712" s="2734" t="s">
        <v>691</v>
      </c>
      <c r="F712" s="1604">
        <v>18</v>
      </c>
      <c r="G712" s="1472"/>
      <c r="H712" s="1501">
        <f t="shared" si="13"/>
        <v>0</v>
      </c>
    </row>
    <row r="713" spans="1:8" ht="12.6" customHeight="1">
      <c r="A713" s="1586"/>
      <c r="B713" s="1593"/>
      <c r="C713" s="1594"/>
      <c r="D713" s="2746"/>
      <c r="E713" s="1596"/>
      <c r="F713" s="2691"/>
      <c r="G713" s="1472"/>
      <c r="H713" s="1501" t="str">
        <f t="shared" si="13"/>
        <v/>
      </c>
    </row>
    <row r="714" spans="1:8" ht="15.6">
      <c r="A714" s="1586"/>
      <c r="B714" s="1593" t="s">
        <v>2178</v>
      </c>
      <c r="C714" s="1594" t="s">
        <v>2175</v>
      </c>
      <c r="D714" s="1589" t="s">
        <v>2324</v>
      </c>
      <c r="E714" s="2734" t="s">
        <v>691</v>
      </c>
      <c r="F714" s="2793">
        <v>16</v>
      </c>
      <c r="G714" s="1472"/>
      <c r="H714" s="1501">
        <f t="shared" si="13"/>
        <v>0</v>
      </c>
    </row>
    <row r="715" spans="1:8" ht="12.6" customHeight="1">
      <c r="A715" s="1586"/>
      <c r="B715" s="1593"/>
      <c r="C715" s="1594"/>
      <c r="D715" s="1589"/>
      <c r="E715" s="2764"/>
      <c r="F715" s="2793"/>
      <c r="G715" s="1474"/>
      <c r="H715" s="1501" t="str">
        <f t="shared" si="13"/>
        <v/>
      </c>
    </row>
    <row r="716" spans="1:8" ht="15.6">
      <c r="A716" s="1586"/>
      <c r="B716" s="1593" t="s">
        <v>2180</v>
      </c>
      <c r="C716" s="1594" t="s">
        <v>2175</v>
      </c>
      <c r="D716" s="1589" t="s">
        <v>2284</v>
      </c>
      <c r="E716" s="2734" t="s">
        <v>691</v>
      </c>
      <c r="F716" s="2742">
        <v>36</v>
      </c>
      <c r="G716" s="1473"/>
      <c r="H716" s="1501">
        <f t="shared" si="13"/>
        <v>0</v>
      </c>
    </row>
    <row r="717" spans="1:8" ht="12.6" customHeight="1">
      <c r="A717" s="1586"/>
      <c r="B717" s="1593"/>
      <c r="C717" s="1594"/>
      <c r="D717" s="1589"/>
      <c r="E717" s="2734"/>
      <c r="F717" s="1597"/>
      <c r="G717" s="1473"/>
      <c r="H717" s="1501" t="str">
        <f t="shared" si="13"/>
        <v/>
      </c>
    </row>
    <row r="718" spans="1:8" ht="12.6" customHeight="1">
      <c r="A718" s="2684">
        <f>$A$4</f>
        <v>19</v>
      </c>
      <c r="B718" s="2684">
        <v>6.3</v>
      </c>
      <c r="C718" s="1603"/>
      <c r="D718" s="2725" t="s">
        <v>2234</v>
      </c>
      <c r="E718" s="2764"/>
      <c r="F718" s="2765"/>
      <c r="G718" s="1474"/>
      <c r="H718" s="1501" t="str">
        <f t="shared" si="13"/>
        <v/>
      </c>
    </row>
    <row r="719" spans="1:8" ht="12.6" customHeight="1">
      <c r="A719" s="1586"/>
      <c r="B719" s="2684"/>
      <c r="C719" s="1603"/>
      <c r="D719" s="2725"/>
      <c r="E719" s="2764"/>
      <c r="F719" s="2765"/>
      <c r="G719" s="1474"/>
      <c r="H719" s="1501" t="str">
        <f t="shared" si="13"/>
        <v/>
      </c>
    </row>
    <row r="720" spans="1:8" ht="39.6">
      <c r="A720" s="1586"/>
      <c r="B720" s="2697"/>
      <c r="C720" s="1594" t="s">
        <v>2175</v>
      </c>
      <c r="D720" s="1589" t="s">
        <v>2235</v>
      </c>
      <c r="E720" s="2766"/>
      <c r="F720" s="2767"/>
      <c r="G720" s="1473"/>
      <c r="H720" s="1501" t="str">
        <f t="shared" si="13"/>
        <v/>
      </c>
    </row>
    <row r="721" spans="1:8" ht="12.6" customHeight="1">
      <c r="A721" s="1586"/>
      <c r="B721" s="1605"/>
      <c r="C721" s="1606"/>
      <c r="D721" s="1589"/>
      <c r="E721" s="2768"/>
      <c r="F721" s="1607"/>
      <c r="G721" s="1472"/>
      <c r="H721" s="1501" t="str">
        <f t="shared" si="13"/>
        <v/>
      </c>
    </row>
    <row r="722" spans="1:8" ht="15.6">
      <c r="A722" s="1586"/>
      <c r="B722" s="1605" t="s">
        <v>2162</v>
      </c>
      <c r="C722" s="1594" t="s">
        <v>2175</v>
      </c>
      <c r="D722" s="1589" t="s">
        <v>2285</v>
      </c>
      <c r="E722" s="2744" t="s">
        <v>691</v>
      </c>
      <c r="F722" s="1609">
        <v>10</v>
      </c>
      <c r="G722" s="1473"/>
      <c r="H722" s="1501">
        <f t="shared" si="13"/>
        <v>0</v>
      </c>
    </row>
    <row r="723" spans="1:8" ht="12.6" customHeight="1">
      <c r="A723" s="1586"/>
      <c r="B723" s="1605"/>
      <c r="C723" s="1606"/>
      <c r="D723" s="1589"/>
      <c r="E723" s="2744"/>
      <c r="F723" s="1609"/>
      <c r="G723" s="1473"/>
      <c r="H723" s="1501" t="str">
        <f t="shared" si="13"/>
        <v/>
      </c>
    </row>
    <row r="724" spans="1:8" ht="15.6">
      <c r="A724" s="1586"/>
      <c r="B724" s="1605" t="s">
        <v>2164</v>
      </c>
      <c r="C724" s="1594" t="s">
        <v>2175</v>
      </c>
      <c r="D724" s="1589" t="s">
        <v>2286</v>
      </c>
      <c r="E724" s="2744" t="s">
        <v>691</v>
      </c>
      <c r="F724" s="1609">
        <v>10</v>
      </c>
      <c r="G724" s="1474"/>
      <c r="H724" s="1501">
        <f t="shared" si="13"/>
        <v>0</v>
      </c>
    </row>
    <row r="725" spans="1:8" ht="12.6" customHeight="1">
      <c r="A725" s="1586"/>
      <c r="B725" s="1605"/>
      <c r="C725" s="1606"/>
      <c r="D725" s="1589"/>
      <c r="E725" s="2744"/>
      <c r="F725" s="1609"/>
      <c r="G725" s="1474"/>
      <c r="H725" s="1501" t="str">
        <f t="shared" si="13"/>
        <v/>
      </c>
    </row>
    <row r="726" spans="1:8" ht="15.6">
      <c r="A726" s="1586"/>
      <c r="B726" s="1605" t="s">
        <v>2166</v>
      </c>
      <c r="C726" s="1594" t="s">
        <v>2175</v>
      </c>
      <c r="D726" s="1589" t="s">
        <v>2287</v>
      </c>
      <c r="E726" s="2744" t="s">
        <v>691</v>
      </c>
      <c r="F726" s="1609">
        <v>2</v>
      </c>
      <c r="G726" s="1474"/>
      <c r="H726" s="1501">
        <f t="shared" si="13"/>
        <v>0</v>
      </c>
    </row>
    <row r="727" spans="1:8">
      <c r="A727" s="1586"/>
      <c r="B727" s="1605"/>
      <c r="C727" s="1606"/>
      <c r="D727" s="1589"/>
      <c r="E727" s="2744"/>
      <c r="F727" s="1609"/>
      <c r="G727" s="1474"/>
      <c r="H727" s="1501" t="str">
        <f t="shared" si="13"/>
        <v/>
      </c>
    </row>
    <row r="728" spans="1:8" ht="15.6">
      <c r="A728" s="1586"/>
      <c r="B728" s="1605" t="s">
        <v>2168</v>
      </c>
      <c r="C728" s="1594" t="s">
        <v>2175</v>
      </c>
      <c r="D728" s="1589" t="s">
        <v>2288</v>
      </c>
      <c r="E728" s="2744" t="s">
        <v>691</v>
      </c>
      <c r="F728" s="1609">
        <v>2</v>
      </c>
      <c r="G728" s="1474"/>
      <c r="H728" s="1501">
        <f t="shared" si="13"/>
        <v>0</v>
      </c>
    </row>
    <row r="729" spans="1:8" ht="12.6" customHeight="1">
      <c r="A729" s="1586"/>
      <c r="B729" s="1593"/>
      <c r="C729" s="1594"/>
      <c r="D729" s="2722"/>
      <c r="E729" s="2732"/>
      <c r="F729" s="2735"/>
      <c r="G729" s="1475"/>
      <c r="H729" s="1501" t="str">
        <f t="shared" si="13"/>
        <v/>
      </c>
    </row>
    <row r="730" spans="1:8">
      <c r="A730" s="2684">
        <f>$A$4</f>
        <v>19</v>
      </c>
      <c r="B730" s="2684">
        <v>6.4</v>
      </c>
      <c r="C730" s="1594"/>
      <c r="D730" s="2723" t="s">
        <v>2220</v>
      </c>
      <c r="E730" s="2732"/>
      <c r="F730" s="2735"/>
      <c r="G730" s="1473"/>
      <c r="H730" s="1501" t="str">
        <f t="shared" si="13"/>
        <v/>
      </c>
    </row>
    <row r="731" spans="1:8" ht="12.6" customHeight="1">
      <c r="A731" s="1586"/>
      <c r="B731" s="1593"/>
      <c r="C731" s="1594"/>
      <c r="D731" s="2722"/>
      <c r="E731" s="2732"/>
      <c r="F731" s="2735"/>
      <c r="G731" s="1473"/>
      <c r="H731" s="1501" t="str">
        <f t="shared" si="13"/>
        <v/>
      </c>
    </row>
    <row r="732" spans="1:8" ht="16.2">
      <c r="A732" s="1586"/>
      <c r="B732" s="1593" t="s">
        <v>2162</v>
      </c>
      <c r="C732" s="1594" t="s">
        <v>2221</v>
      </c>
      <c r="D732" s="1595" t="s">
        <v>2222</v>
      </c>
      <c r="E732" s="2762" t="s">
        <v>631</v>
      </c>
      <c r="F732" s="2719">
        <v>76.8</v>
      </c>
      <c r="G732" s="1475"/>
      <c r="H732" s="1501">
        <f t="shared" si="13"/>
        <v>0</v>
      </c>
    </row>
    <row r="733" spans="1:8">
      <c r="A733" s="1586"/>
      <c r="B733" s="1593"/>
      <c r="C733" s="1594"/>
      <c r="D733" s="1595"/>
      <c r="E733" s="2762"/>
      <c r="F733" s="2719"/>
      <c r="G733" s="1475"/>
      <c r="H733" s="1501" t="str">
        <f t="shared" si="13"/>
        <v/>
      </c>
    </row>
    <row r="734" spans="1:8" ht="16.2">
      <c r="A734" s="1586"/>
      <c r="B734" s="1604" t="s">
        <v>2164</v>
      </c>
      <c r="C734" s="1594" t="s">
        <v>2221</v>
      </c>
      <c r="D734" s="1595" t="s">
        <v>2223</v>
      </c>
      <c r="E734" s="2762" t="s">
        <v>631</v>
      </c>
      <c r="F734" s="2719">
        <v>76.8</v>
      </c>
      <c r="G734" s="1473"/>
      <c r="H734" s="1501">
        <f t="shared" si="13"/>
        <v>0</v>
      </c>
    </row>
    <row r="735" spans="1:8">
      <c r="A735" s="1586"/>
      <c r="B735" s="2684"/>
      <c r="C735" s="1594"/>
      <c r="D735" s="1595"/>
      <c r="E735" s="2732"/>
      <c r="F735" s="2673"/>
      <c r="G735" s="1472"/>
      <c r="H735" s="1501" t="str">
        <f t="shared" si="13"/>
        <v/>
      </c>
    </row>
    <row r="736" spans="1:8" ht="12.6" customHeight="1">
      <c r="A736" s="2684">
        <f>$A$4</f>
        <v>19</v>
      </c>
      <c r="B736" s="2684">
        <v>6.5</v>
      </c>
      <c r="C736" s="1594"/>
      <c r="D736" s="2723" t="s">
        <v>2224</v>
      </c>
      <c r="E736" s="1596"/>
      <c r="F736" s="2763"/>
      <c r="G736" s="1475"/>
      <c r="H736" s="1501" t="str">
        <f t="shared" si="13"/>
        <v/>
      </c>
    </row>
    <row r="737" spans="1:8">
      <c r="A737" s="1586"/>
      <c r="B737" s="2684"/>
      <c r="C737" s="1594"/>
      <c r="D737" s="2722"/>
      <c r="E737" s="1596"/>
      <c r="F737" s="2763"/>
      <c r="G737" s="1475"/>
      <c r="H737" s="1501" t="str">
        <f t="shared" si="13"/>
        <v/>
      </c>
    </row>
    <row r="738" spans="1:8" ht="12.6" customHeight="1">
      <c r="A738" s="1586"/>
      <c r="B738" s="1593" t="s">
        <v>2162</v>
      </c>
      <c r="C738" s="1594" t="s">
        <v>2225</v>
      </c>
      <c r="D738" s="1595" t="s">
        <v>2226</v>
      </c>
      <c r="E738" s="1596" t="s">
        <v>691</v>
      </c>
      <c r="F738" s="1604">
        <v>18</v>
      </c>
      <c r="G738" s="1475"/>
      <c r="H738" s="1501">
        <f t="shared" si="13"/>
        <v>0</v>
      </c>
    </row>
    <row r="739" spans="1:8">
      <c r="A739" s="1586"/>
      <c r="B739" s="1605"/>
      <c r="C739" s="1606"/>
      <c r="D739" s="1595"/>
      <c r="E739" s="2768"/>
      <c r="F739" s="1607"/>
      <c r="G739" s="1475"/>
      <c r="H739" s="1501" t="str">
        <f t="shared" si="13"/>
        <v/>
      </c>
    </row>
    <row r="740" spans="1:8" ht="12.6" customHeight="1">
      <c r="A740" s="2684">
        <f>$A$4</f>
        <v>19</v>
      </c>
      <c r="B740" s="2684">
        <v>6.6</v>
      </c>
      <c r="C740" s="1594"/>
      <c r="D740" s="2723" t="s">
        <v>2227</v>
      </c>
      <c r="E740" s="1596"/>
      <c r="F740" s="2673"/>
      <c r="G740" s="1473"/>
      <c r="H740" s="1501" t="str">
        <f t="shared" si="13"/>
        <v/>
      </c>
    </row>
    <row r="741" spans="1:8">
      <c r="A741" s="1586"/>
      <c r="B741" s="2684"/>
      <c r="C741" s="1594"/>
      <c r="D741" s="2723"/>
      <c r="E741" s="1596"/>
      <c r="F741" s="2673"/>
      <c r="G741" s="1473"/>
      <c r="H741" s="1501" t="str">
        <f t="shared" si="13"/>
        <v/>
      </c>
    </row>
    <row r="742" spans="1:8" ht="26.4">
      <c r="A742" s="1586"/>
      <c r="B742" s="1593"/>
      <c r="C742" s="1594" t="s">
        <v>2228</v>
      </c>
      <c r="D742" s="1595" t="s">
        <v>2290</v>
      </c>
      <c r="E742" s="1596"/>
      <c r="F742" s="2673"/>
      <c r="G742" s="1473"/>
      <c r="H742" s="1501" t="str">
        <f t="shared" si="13"/>
        <v/>
      </c>
    </row>
    <row r="743" spans="1:8">
      <c r="A743" s="1586"/>
      <c r="B743" s="1593"/>
      <c r="C743" s="1594"/>
      <c r="D743" s="1595"/>
      <c r="E743" s="1596"/>
      <c r="F743" s="1597"/>
      <c r="G743" s="1473"/>
      <c r="H743" s="1501" t="str">
        <f t="shared" si="13"/>
        <v/>
      </c>
    </row>
    <row r="744" spans="1:8" ht="12.6" customHeight="1">
      <c r="A744" s="1586"/>
      <c r="B744" s="1593" t="s">
        <v>2162</v>
      </c>
      <c r="C744" s="1594" t="s">
        <v>2228</v>
      </c>
      <c r="D744" s="1595" t="s">
        <v>2230</v>
      </c>
      <c r="E744" s="1596" t="s">
        <v>561</v>
      </c>
      <c r="F744" s="1597">
        <v>200</v>
      </c>
      <c r="G744" s="1475"/>
      <c r="H744" s="1501">
        <f t="shared" si="13"/>
        <v>0</v>
      </c>
    </row>
    <row r="745" spans="1:8" ht="12.6" customHeight="1">
      <c r="A745" s="1586"/>
      <c r="B745" s="1593"/>
      <c r="C745" s="1594"/>
      <c r="D745" s="1595"/>
      <c r="E745" s="1596"/>
      <c r="F745" s="1597"/>
      <c r="G745" s="1475"/>
      <c r="H745" s="1592"/>
    </row>
    <row r="746" spans="1:8" ht="12.6" customHeight="1">
      <c r="A746" s="1586"/>
      <c r="B746" s="1593"/>
      <c r="C746" s="1594"/>
      <c r="D746" s="1595"/>
      <c r="E746" s="1596"/>
      <c r="F746" s="1597"/>
      <c r="G746" s="1475"/>
      <c r="H746" s="2720"/>
    </row>
    <row r="747" spans="1:8">
      <c r="A747" s="2333"/>
      <c r="B747" s="822"/>
      <c r="C747" s="1158"/>
      <c r="D747" s="840"/>
      <c r="E747" s="837"/>
      <c r="F747" s="838"/>
      <c r="G747" s="2748"/>
      <c r="H747" s="2749"/>
    </row>
    <row r="748" spans="1:8">
      <c r="A748" s="2336"/>
      <c r="B748" s="823"/>
      <c r="C748" s="1159"/>
      <c r="D748" s="774" t="s">
        <v>289</v>
      </c>
      <c r="E748" s="426"/>
      <c r="F748" s="24"/>
      <c r="G748" s="1477"/>
      <c r="H748" s="2750">
        <f>SUM(H674:H746)</f>
        <v>0</v>
      </c>
    </row>
    <row r="749" spans="1:8" ht="12.6" customHeight="1">
      <c r="A749" s="1586"/>
      <c r="B749" s="1271"/>
      <c r="C749" s="2791"/>
      <c r="D749" s="2792" t="s">
        <v>290</v>
      </c>
      <c r="E749" s="147"/>
      <c r="F749" s="1577"/>
      <c r="G749" s="1478"/>
      <c r="H749" s="922">
        <f>H748</f>
        <v>0</v>
      </c>
    </row>
    <row r="750" spans="1:8" ht="12.6" customHeight="1">
      <c r="A750" s="1586"/>
      <c r="B750" s="1271"/>
      <c r="C750" s="1156"/>
      <c r="D750" s="923"/>
      <c r="E750" s="147"/>
      <c r="F750" s="1577"/>
      <c r="G750" s="1478"/>
      <c r="H750" s="897"/>
    </row>
    <row r="751" spans="1:8" ht="12.6" customHeight="1">
      <c r="A751" s="1586"/>
      <c r="B751" s="1604" t="s">
        <v>2164</v>
      </c>
      <c r="C751" s="1594" t="s">
        <v>2228</v>
      </c>
      <c r="D751" s="928" t="s">
        <v>2231</v>
      </c>
      <c r="E751" s="916" t="s">
        <v>561</v>
      </c>
      <c r="F751" s="2724">
        <v>200</v>
      </c>
      <c r="G751" s="1473"/>
      <c r="H751" s="1501">
        <f t="shared" ref="H751:H813" si="14">IF(E751="","",ROUND(F751*G751,2))</f>
        <v>0</v>
      </c>
    </row>
    <row r="752" spans="1:8" ht="12.6" customHeight="1">
      <c r="A752" s="1586"/>
      <c r="B752" s="1604"/>
      <c r="C752" s="1594"/>
      <c r="D752" s="904"/>
      <c r="E752" s="1596"/>
      <c r="F752" s="2724"/>
      <c r="G752" s="1475"/>
      <c r="H752" s="1501" t="str">
        <f t="shared" si="14"/>
        <v/>
      </c>
    </row>
    <row r="753" spans="1:8" ht="12.6" customHeight="1">
      <c r="A753" s="1586"/>
      <c r="B753" s="1604" t="s">
        <v>2166</v>
      </c>
      <c r="C753" s="1594" t="s">
        <v>2228</v>
      </c>
      <c r="D753" s="1595" t="s">
        <v>2263</v>
      </c>
      <c r="E753" s="1596" t="s">
        <v>561</v>
      </c>
      <c r="F753" s="2724">
        <v>100</v>
      </c>
      <c r="G753" s="1475"/>
      <c r="H753" s="1501">
        <f t="shared" si="14"/>
        <v>0</v>
      </c>
    </row>
    <row r="754" spans="1:8" ht="12.6" customHeight="1">
      <c r="A754" s="1586"/>
      <c r="B754" s="1604"/>
      <c r="C754" s="1594"/>
      <c r="D754" s="1595"/>
      <c r="E754" s="1596"/>
      <c r="F754" s="2724"/>
      <c r="G754" s="1475"/>
      <c r="H754" s="1501" t="str">
        <f t="shared" si="14"/>
        <v/>
      </c>
    </row>
    <row r="755" spans="1:8">
      <c r="A755" s="1586"/>
      <c r="B755" s="1604" t="s">
        <v>2168</v>
      </c>
      <c r="C755" s="1594" t="s">
        <v>2228</v>
      </c>
      <c r="D755" s="1595" t="s">
        <v>2291</v>
      </c>
      <c r="E755" s="1596" t="s">
        <v>561</v>
      </c>
      <c r="F755" s="2724">
        <v>50</v>
      </c>
      <c r="G755" s="1473"/>
      <c r="H755" s="1501">
        <f t="shared" si="14"/>
        <v>0</v>
      </c>
    </row>
    <row r="756" spans="1:8" ht="12.6" customHeight="1">
      <c r="A756" s="1586"/>
      <c r="B756" s="1604"/>
      <c r="C756" s="1594"/>
      <c r="D756" s="1595"/>
      <c r="E756" s="1596"/>
      <c r="F756" s="2724"/>
      <c r="G756" s="1473"/>
      <c r="H756" s="1501" t="str">
        <f t="shared" si="14"/>
        <v/>
      </c>
    </row>
    <row r="757" spans="1:8" ht="15.6">
      <c r="A757" s="1586"/>
      <c r="B757" s="1604" t="s">
        <v>2171</v>
      </c>
      <c r="C757" s="1594" t="s">
        <v>2228</v>
      </c>
      <c r="D757" s="1595" t="s">
        <v>2232</v>
      </c>
      <c r="E757" s="1596" t="s">
        <v>691</v>
      </c>
      <c r="F757" s="2724">
        <v>10</v>
      </c>
      <c r="G757" s="1475"/>
      <c r="H757" s="1501">
        <f t="shared" si="14"/>
        <v>0</v>
      </c>
    </row>
    <row r="758" spans="1:8">
      <c r="A758" s="1586"/>
      <c r="B758" s="1604"/>
      <c r="C758" s="1594"/>
      <c r="D758" s="1595"/>
      <c r="E758" s="1596"/>
      <c r="F758" s="2724"/>
      <c r="G758" s="1475"/>
      <c r="H758" s="1501" t="str">
        <f t="shared" si="14"/>
        <v/>
      </c>
    </row>
    <row r="759" spans="1:8" ht="15.6">
      <c r="A759" s="1586"/>
      <c r="B759" s="1604" t="s">
        <v>2174</v>
      </c>
      <c r="C759" s="1594" t="s">
        <v>2228</v>
      </c>
      <c r="D759" s="1595" t="s">
        <v>2233</v>
      </c>
      <c r="E759" s="1596" t="s">
        <v>691</v>
      </c>
      <c r="F759" s="2724">
        <v>10</v>
      </c>
      <c r="G759" s="1473"/>
      <c r="H759" s="1501">
        <f t="shared" si="14"/>
        <v>0</v>
      </c>
    </row>
    <row r="760" spans="1:8" ht="12.6" customHeight="1">
      <c r="A760" s="1586"/>
      <c r="B760" s="1604"/>
      <c r="C760" s="1594"/>
      <c r="D760" s="1595"/>
      <c r="E760" s="1596"/>
      <c r="F760" s="2724"/>
      <c r="G760" s="1473"/>
      <c r="H760" s="1501" t="str">
        <f t="shared" si="14"/>
        <v/>
      </c>
    </row>
    <row r="761" spans="1:8" ht="15.6">
      <c r="A761" s="1586"/>
      <c r="B761" s="2691" t="s">
        <v>2178</v>
      </c>
      <c r="C761" s="1594" t="s">
        <v>2228</v>
      </c>
      <c r="D761" s="1595" t="s">
        <v>2265</v>
      </c>
      <c r="E761" s="1596" t="s">
        <v>691</v>
      </c>
      <c r="F761" s="1604">
        <v>8</v>
      </c>
      <c r="G761" s="1475"/>
      <c r="H761" s="1501">
        <f t="shared" si="14"/>
        <v>0</v>
      </c>
    </row>
    <row r="762" spans="1:8" ht="12.6" customHeight="1">
      <c r="A762" s="1586"/>
      <c r="B762" s="2691"/>
      <c r="C762" s="1599"/>
      <c r="D762" s="1595"/>
      <c r="E762" s="1596"/>
      <c r="F762" s="1604"/>
      <c r="G762" s="1475"/>
      <c r="H762" s="1501" t="str">
        <f t="shared" si="14"/>
        <v/>
      </c>
    </row>
    <row r="763" spans="1:8" ht="15.6">
      <c r="A763" s="1586"/>
      <c r="B763" s="1598" t="s">
        <v>2180</v>
      </c>
      <c r="C763" s="1594" t="s">
        <v>2228</v>
      </c>
      <c r="D763" s="1595" t="s">
        <v>2292</v>
      </c>
      <c r="E763" s="1590" t="s">
        <v>691</v>
      </c>
      <c r="F763" s="1601">
        <v>8</v>
      </c>
      <c r="G763" s="1473"/>
      <c r="H763" s="1501">
        <f t="shared" si="14"/>
        <v>0</v>
      </c>
    </row>
    <row r="764" spans="1:8" ht="12.6" customHeight="1">
      <c r="A764" s="1586"/>
      <c r="B764" s="2779"/>
      <c r="C764" s="1606"/>
      <c r="D764" s="1595"/>
      <c r="E764" s="2768"/>
      <c r="F764" s="1607"/>
      <c r="G764" s="1475"/>
      <c r="H764" s="1501" t="str">
        <f t="shared" si="14"/>
        <v/>
      </c>
    </row>
    <row r="765" spans="1:8">
      <c r="A765" s="2684">
        <f>$A$4</f>
        <v>19</v>
      </c>
      <c r="B765" s="2684">
        <v>6.7</v>
      </c>
      <c r="C765" s="1606"/>
      <c r="D765" s="2723" t="s">
        <v>2293</v>
      </c>
      <c r="E765" s="2768"/>
      <c r="F765" s="1607"/>
      <c r="G765" s="1473"/>
      <c r="H765" s="1501" t="str">
        <f t="shared" si="14"/>
        <v/>
      </c>
    </row>
    <row r="766" spans="1:8" ht="12.6" customHeight="1">
      <c r="A766" s="1586"/>
      <c r="B766" s="2684"/>
      <c r="C766" s="1606"/>
      <c r="D766" s="2723"/>
      <c r="E766" s="2768"/>
      <c r="F766" s="1607"/>
      <c r="G766" s="1473"/>
      <c r="H766" s="1501" t="str">
        <f t="shared" si="14"/>
        <v/>
      </c>
    </row>
    <row r="767" spans="1:8" ht="26.4">
      <c r="A767" s="1586"/>
      <c r="B767" s="2755"/>
      <c r="C767" s="1606" t="s">
        <v>2294</v>
      </c>
      <c r="D767" s="1595" t="s">
        <v>2295</v>
      </c>
      <c r="E767" s="2768"/>
      <c r="F767" s="1607"/>
      <c r="G767" s="1475"/>
      <c r="H767" s="1501" t="str">
        <f t="shared" si="14"/>
        <v/>
      </c>
    </row>
    <row r="768" spans="1:8" ht="12.6" customHeight="1">
      <c r="A768" s="1586"/>
      <c r="B768" s="1605"/>
      <c r="C768" s="1606"/>
      <c r="D768" s="1595"/>
      <c r="E768" s="2768"/>
      <c r="F768" s="1607"/>
      <c r="G768" s="1475"/>
      <c r="H768" s="1501" t="str">
        <f t="shared" si="14"/>
        <v/>
      </c>
    </row>
    <row r="769" spans="1:8" ht="26.4">
      <c r="A769" s="1586"/>
      <c r="B769" s="1605" t="s">
        <v>2162</v>
      </c>
      <c r="C769" s="1606" t="s">
        <v>2294</v>
      </c>
      <c r="D769" s="1595" t="s">
        <v>2296</v>
      </c>
      <c r="E769" s="2744" t="s">
        <v>691</v>
      </c>
      <c r="F769" s="1609">
        <v>16</v>
      </c>
      <c r="G769" s="1473"/>
      <c r="H769" s="1501">
        <f t="shared" si="14"/>
        <v>0</v>
      </c>
    </row>
    <row r="770" spans="1:8" ht="12.6" customHeight="1">
      <c r="A770" s="1586"/>
      <c r="B770" s="1605"/>
      <c r="C770" s="1606"/>
      <c r="D770" s="903"/>
      <c r="E770" s="2744"/>
      <c r="F770" s="1609"/>
      <c r="G770" s="1475"/>
      <c r="H770" s="1501" t="str">
        <f t="shared" si="14"/>
        <v/>
      </c>
    </row>
    <row r="771" spans="1:8" ht="26.4">
      <c r="A771" s="1586"/>
      <c r="B771" s="1605" t="s">
        <v>2164</v>
      </c>
      <c r="C771" s="1606" t="s">
        <v>2294</v>
      </c>
      <c r="D771" s="1595" t="s">
        <v>2297</v>
      </c>
      <c r="E771" s="2744" t="s">
        <v>691</v>
      </c>
      <c r="F771" s="1609">
        <v>1</v>
      </c>
      <c r="G771" s="1473"/>
      <c r="H771" s="1501">
        <f t="shared" si="14"/>
        <v>0</v>
      </c>
    </row>
    <row r="772" spans="1:8" ht="12.6" customHeight="1">
      <c r="A772" s="1586"/>
      <c r="B772" s="1271"/>
      <c r="C772" s="1155"/>
      <c r="D772" s="2751"/>
      <c r="E772" s="147"/>
      <c r="F772" s="1577"/>
      <c r="G772" s="1478"/>
      <c r="H772" s="1501" t="str">
        <f t="shared" si="14"/>
        <v/>
      </c>
    </row>
    <row r="773" spans="1:8" ht="26.4">
      <c r="A773" s="2794"/>
      <c r="B773" s="1605" t="s">
        <v>2166</v>
      </c>
      <c r="C773" s="1606" t="s">
        <v>2298</v>
      </c>
      <c r="D773" s="1589" t="s">
        <v>2299</v>
      </c>
      <c r="E773" s="2744" t="s">
        <v>691</v>
      </c>
      <c r="F773" s="1609">
        <v>1</v>
      </c>
      <c r="G773" s="1473"/>
      <c r="H773" s="1501">
        <f t="shared" si="14"/>
        <v>0</v>
      </c>
    </row>
    <row r="774" spans="1:8" ht="12.6" customHeight="1">
      <c r="A774" s="1586"/>
      <c r="B774" s="1605"/>
      <c r="C774" s="1606"/>
      <c r="D774" s="1589"/>
      <c r="E774" s="2768"/>
      <c r="F774" s="929"/>
      <c r="G774" s="1473"/>
      <c r="H774" s="1501" t="str">
        <f t="shared" si="14"/>
        <v/>
      </c>
    </row>
    <row r="775" spans="1:8" ht="39.6">
      <c r="A775" s="1586"/>
      <c r="B775" s="1605" t="s">
        <v>2168</v>
      </c>
      <c r="C775" s="1606" t="s">
        <v>2298</v>
      </c>
      <c r="D775" s="1589" t="s">
        <v>2300</v>
      </c>
      <c r="E775" s="2744" t="s">
        <v>691</v>
      </c>
      <c r="F775" s="1609">
        <v>1</v>
      </c>
      <c r="G775" s="1475"/>
      <c r="H775" s="1501">
        <f t="shared" si="14"/>
        <v>0</v>
      </c>
    </row>
    <row r="776" spans="1:8" ht="12.6" customHeight="1">
      <c r="A776" s="1586"/>
      <c r="B776" s="2780"/>
      <c r="C776" s="2770"/>
      <c r="D776" s="1589"/>
      <c r="E776" s="2744"/>
      <c r="F776" s="1609"/>
      <c r="G776" s="1475"/>
      <c r="H776" s="1501" t="str">
        <f t="shared" si="14"/>
        <v/>
      </c>
    </row>
    <row r="777" spans="1:8" ht="26.4">
      <c r="A777" s="1586"/>
      <c r="B777" s="2737" t="s">
        <v>2171</v>
      </c>
      <c r="C777" s="1606" t="s">
        <v>2298</v>
      </c>
      <c r="D777" s="1595" t="s">
        <v>2301</v>
      </c>
      <c r="E777" s="1596" t="s">
        <v>691</v>
      </c>
      <c r="F777" s="1604">
        <v>6</v>
      </c>
      <c r="G777" s="1475"/>
      <c r="H777" s="1501">
        <f t="shared" si="14"/>
        <v>0</v>
      </c>
    </row>
    <row r="778" spans="1:8" ht="12.6" customHeight="1">
      <c r="A778" s="1586"/>
      <c r="B778" s="2780"/>
      <c r="C778" s="2770"/>
      <c r="D778" s="1595"/>
      <c r="E778" s="2768"/>
      <c r="F778" s="2781"/>
      <c r="G778" s="1475"/>
      <c r="H778" s="1501" t="str">
        <f t="shared" si="14"/>
        <v/>
      </c>
    </row>
    <row r="779" spans="1:8" ht="26.4">
      <c r="A779" s="1586"/>
      <c r="B779" s="1593" t="s">
        <v>2174</v>
      </c>
      <c r="C779" s="1606" t="s">
        <v>2298</v>
      </c>
      <c r="D779" s="1595" t="s">
        <v>2302</v>
      </c>
      <c r="E779" s="1596" t="s">
        <v>691</v>
      </c>
      <c r="F779" s="1604">
        <v>3</v>
      </c>
      <c r="G779" s="1475"/>
      <c r="H779" s="1501">
        <f t="shared" si="14"/>
        <v>0</v>
      </c>
    </row>
    <row r="780" spans="1:8" ht="12.6" customHeight="1">
      <c r="A780" s="1586"/>
      <c r="B780" s="2779"/>
      <c r="C780" s="1606"/>
      <c r="D780" s="1595"/>
      <c r="E780" s="2744"/>
      <c r="F780" s="1609"/>
      <c r="G780" s="1475"/>
      <c r="H780" s="1501" t="str">
        <f t="shared" si="14"/>
        <v/>
      </c>
    </row>
    <row r="781" spans="1:8" ht="26.4">
      <c r="A781" s="2684">
        <f>$A$4</f>
        <v>19</v>
      </c>
      <c r="B781" s="2684">
        <v>6.8</v>
      </c>
      <c r="C781" s="1588"/>
      <c r="D781" s="2723" t="s">
        <v>2303</v>
      </c>
      <c r="E781" s="2782"/>
      <c r="F781" s="2782"/>
      <c r="G781" s="1475"/>
      <c r="H781" s="1501" t="str">
        <f t="shared" si="14"/>
        <v/>
      </c>
    </row>
    <row r="782" spans="1:8" ht="12.6" customHeight="1">
      <c r="A782" s="1586"/>
      <c r="B782" s="1587"/>
      <c r="C782" s="2783"/>
      <c r="D782" s="2725"/>
      <c r="E782" s="2782"/>
      <c r="F782" s="2784"/>
      <c r="G782" s="1473"/>
      <c r="H782" s="1501" t="str">
        <f t="shared" si="14"/>
        <v/>
      </c>
    </row>
    <row r="783" spans="1:8" ht="66">
      <c r="A783" s="1586"/>
      <c r="B783" s="1587" t="s">
        <v>2162</v>
      </c>
      <c r="C783" s="2783" t="s">
        <v>2304</v>
      </c>
      <c r="D783" s="1589" t="s">
        <v>2320</v>
      </c>
      <c r="E783" s="1591" t="s">
        <v>691</v>
      </c>
      <c r="F783" s="1591">
        <v>5</v>
      </c>
      <c r="G783" s="1475"/>
      <c r="H783" s="1501">
        <f t="shared" si="14"/>
        <v>0</v>
      </c>
    </row>
    <row r="784" spans="1:8" ht="12.6" customHeight="1">
      <c r="A784" s="1586"/>
      <c r="B784" s="1587"/>
      <c r="C784" s="1588"/>
      <c r="D784" s="1589"/>
      <c r="E784" s="1590"/>
      <c r="F784" s="1591"/>
      <c r="G784" s="1475"/>
      <c r="H784" s="1501" t="str">
        <f t="shared" si="14"/>
        <v/>
      </c>
    </row>
    <row r="785" spans="1:8" ht="12.6" customHeight="1">
      <c r="A785" s="2684">
        <f>$A$4</f>
        <v>19</v>
      </c>
      <c r="B785" s="2684">
        <v>6.9</v>
      </c>
      <c r="C785" s="1588"/>
      <c r="D785" s="2723" t="s">
        <v>2306</v>
      </c>
      <c r="E785" s="2782"/>
      <c r="F785" s="2782"/>
      <c r="G785" s="1473"/>
      <c r="H785" s="1501" t="str">
        <f t="shared" si="14"/>
        <v/>
      </c>
    </row>
    <row r="786" spans="1:8" ht="12.6" customHeight="1">
      <c r="A786" s="1586"/>
      <c r="B786" s="2684"/>
      <c r="C786" s="1588"/>
      <c r="D786" s="920"/>
      <c r="E786" s="2782"/>
      <c r="F786" s="2782"/>
      <c r="G786" s="1473"/>
      <c r="H786" s="1501" t="str">
        <f t="shared" si="14"/>
        <v/>
      </c>
    </row>
    <row r="787" spans="1:8" ht="26.4">
      <c r="A787" s="1586"/>
      <c r="B787" s="1587" t="s">
        <v>2162</v>
      </c>
      <c r="C787" s="1588" t="s">
        <v>2307</v>
      </c>
      <c r="D787" s="1589" t="s">
        <v>2308</v>
      </c>
      <c r="E787" s="1591" t="s">
        <v>691</v>
      </c>
      <c r="F787" s="2785">
        <v>4</v>
      </c>
      <c r="G787" s="1473"/>
      <c r="H787" s="1501">
        <f t="shared" si="14"/>
        <v>0</v>
      </c>
    </row>
    <row r="788" spans="1:8" ht="12.6" customHeight="1">
      <c r="A788" s="1586"/>
      <c r="B788" s="1587"/>
      <c r="C788" s="2783"/>
      <c r="D788" s="1589"/>
      <c r="E788" s="2782"/>
      <c r="F788" s="2784"/>
      <c r="G788" s="1473"/>
      <c r="H788" s="1501" t="str">
        <f t="shared" si="14"/>
        <v/>
      </c>
    </row>
    <row r="789" spans="1:8" ht="12.6" customHeight="1">
      <c r="A789" s="2684">
        <f>$A$4</f>
        <v>19</v>
      </c>
      <c r="B789" s="2786">
        <v>6.1</v>
      </c>
      <c r="C789" s="2783"/>
      <c r="D789" s="2723" t="s">
        <v>2236</v>
      </c>
      <c r="E789" s="2726"/>
      <c r="F789" s="1609"/>
      <c r="G789" s="1475"/>
      <c r="H789" s="1501" t="str">
        <f t="shared" si="14"/>
        <v/>
      </c>
    </row>
    <row r="790" spans="1:8" ht="12.6" customHeight="1">
      <c r="A790" s="1586"/>
      <c r="B790" s="1587"/>
      <c r="C790" s="1588"/>
      <c r="D790" s="2725"/>
      <c r="E790" s="1590"/>
      <c r="F790" s="1591"/>
      <c r="G790" s="1473"/>
      <c r="H790" s="1501" t="str">
        <f t="shared" si="14"/>
        <v/>
      </c>
    </row>
    <row r="791" spans="1:8" ht="12.6" customHeight="1">
      <c r="A791" s="1586"/>
      <c r="B791" s="1587" t="s">
        <v>2162</v>
      </c>
      <c r="C791" s="1588" t="s">
        <v>2237</v>
      </c>
      <c r="D791" s="1589" t="s">
        <v>2325</v>
      </c>
      <c r="E791" s="1590" t="s">
        <v>691</v>
      </c>
      <c r="F791" s="1591">
        <v>5</v>
      </c>
      <c r="G791" s="1475"/>
      <c r="H791" s="1501">
        <f t="shared" si="14"/>
        <v>0</v>
      </c>
    </row>
    <row r="792" spans="1:8" ht="12.6" customHeight="1">
      <c r="A792" s="1586"/>
      <c r="B792" s="1587"/>
      <c r="C792" s="1588"/>
      <c r="D792" s="1589"/>
      <c r="E792" s="1590"/>
      <c r="F792" s="1591"/>
      <c r="G792" s="1475"/>
      <c r="H792" s="1501" t="str">
        <f t="shared" si="14"/>
        <v/>
      </c>
    </row>
    <row r="793" spans="1:8" ht="12.6" customHeight="1">
      <c r="A793" s="1586"/>
      <c r="B793" s="1587" t="s">
        <v>2164</v>
      </c>
      <c r="C793" s="1588" t="s">
        <v>2237</v>
      </c>
      <c r="D793" s="1589" t="s">
        <v>2239</v>
      </c>
      <c r="E793" s="1590" t="s">
        <v>691</v>
      </c>
      <c r="F793" s="1591">
        <v>5</v>
      </c>
      <c r="G793" s="1475"/>
      <c r="H793" s="1501">
        <f t="shared" si="14"/>
        <v>0</v>
      </c>
    </row>
    <row r="794" spans="1:8" ht="12.6" customHeight="1">
      <c r="A794" s="1586"/>
      <c r="B794" s="1587"/>
      <c r="C794" s="1588"/>
      <c r="D794" s="1589"/>
      <c r="E794" s="1590"/>
      <c r="F794" s="1591"/>
      <c r="G794" s="1475"/>
      <c r="H794" s="1501" t="str">
        <f t="shared" si="14"/>
        <v/>
      </c>
    </row>
    <row r="795" spans="1:8" ht="12.6" customHeight="1">
      <c r="A795" s="1586"/>
      <c r="B795" s="1587" t="s">
        <v>2166</v>
      </c>
      <c r="C795" s="1588" t="s">
        <v>2237</v>
      </c>
      <c r="D795" s="1589" t="s">
        <v>2321</v>
      </c>
      <c r="E795" s="1590" t="s">
        <v>691</v>
      </c>
      <c r="F795" s="1591">
        <v>4</v>
      </c>
      <c r="G795" s="1473"/>
      <c r="H795" s="1501">
        <f t="shared" si="14"/>
        <v>0</v>
      </c>
    </row>
    <row r="796" spans="1:8" ht="12.6" customHeight="1">
      <c r="A796" s="1586"/>
      <c r="B796" s="1587"/>
      <c r="C796" s="1588"/>
      <c r="D796" s="1589"/>
      <c r="E796" s="1590"/>
      <c r="F796" s="1591"/>
      <c r="G796" s="1473"/>
      <c r="H796" s="1501" t="str">
        <f t="shared" si="14"/>
        <v/>
      </c>
    </row>
    <row r="797" spans="1:8" ht="12.6" customHeight="1">
      <c r="A797" s="1586"/>
      <c r="B797" s="1587" t="s">
        <v>2168</v>
      </c>
      <c r="C797" s="1588" t="s">
        <v>2237</v>
      </c>
      <c r="D797" s="1589" t="s">
        <v>2239</v>
      </c>
      <c r="E797" s="1590" t="s">
        <v>691</v>
      </c>
      <c r="F797" s="1591">
        <v>4</v>
      </c>
      <c r="G797" s="1475"/>
      <c r="H797" s="1501">
        <f t="shared" si="14"/>
        <v>0</v>
      </c>
    </row>
    <row r="798" spans="1:8" ht="12.6" customHeight="1">
      <c r="A798" s="1586"/>
      <c r="B798" s="2772"/>
      <c r="C798" s="2771"/>
      <c r="D798" s="2773"/>
      <c r="E798" s="2772"/>
      <c r="F798" s="2772"/>
      <c r="G798" s="1480"/>
      <c r="H798" s="1501" t="str">
        <f t="shared" si="14"/>
        <v/>
      </c>
    </row>
    <row r="799" spans="1:8" ht="12.6" customHeight="1">
      <c r="A799" s="2684">
        <f>$A$4</f>
        <v>19</v>
      </c>
      <c r="B799" s="2684">
        <v>7</v>
      </c>
      <c r="C799" s="1599"/>
      <c r="D799" s="2723" t="s">
        <v>2326</v>
      </c>
      <c r="E799" s="2672"/>
      <c r="F799" s="2759"/>
      <c r="G799" s="1472"/>
      <c r="H799" s="1501" t="str">
        <f t="shared" si="14"/>
        <v/>
      </c>
    </row>
    <row r="800" spans="1:8" ht="12.6" customHeight="1">
      <c r="A800" s="1586"/>
      <c r="B800" s="2778"/>
      <c r="C800" s="1599"/>
      <c r="D800" s="2722"/>
      <c r="E800" s="2672"/>
      <c r="F800" s="2759"/>
      <c r="G800" s="1472"/>
      <c r="H800" s="1501" t="str">
        <f t="shared" si="14"/>
        <v/>
      </c>
    </row>
    <row r="801" spans="1:8" ht="12.6" customHeight="1">
      <c r="A801" s="2684">
        <f>$A$4</f>
        <v>19</v>
      </c>
      <c r="B801" s="2684">
        <v>7.1</v>
      </c>
      <c r="C801" s="1594"/>
      <c r="D801" s="2723" t="s">
        <v>2211</v>
      </c>
      <c r="E801" s="2732"/>
      <c r="F801" s="2733"/>
      <c r="G801" s="1472"/>
      <c r="H801" s="1501" t="str">
        <f t="shared" si="14"/>
        <v/>
      </c>
    </row>
    <row r="802" spans="1:8" ht="12.6" customHeight="1">
      <c r="A802" s="1586"/>
      <c r="B802" s="2684"/>
      <c r="C802" s="1594"/>
      <c r="D802" s="2723"/>
      <c r="E802" s="2732"/>
      <c r="F802" s="2733"/>
      <c r="G802" s="1472"/>
      <c r="H802" s="1501" t="str">
        <f t="shared" si="14"/>
        <v/>
      </c>
    </row>
    <row r="803" spans="1:8" ht="39.6">
      <c r="A803" s="1586"/>
      <c r="B803" s="1593"/>
      <c r="C803" s="1594"/>
      <c r="D803" s="1595" t="s">
        <v>2212</v>
      </c>
      <c r="E803" s="2732"/>
      <c r="F803" s="2733"/>
      <c r="G803" s="1472"/>
      <c r="H803" s="1501" t="str">
        <f t="shared" si="14"/>
        <v/>
      </c>
    </row>
    <row r="804" spans="1:8">
      <c r="A804" s="1586"/>
      <c r="B804" s="1593"/>
      <c r="C804" s="1594"/>
      <c r="D804" s="1589"/>
      <c r="E804" s="2734"/>
      <c r="F804" s="1597"/>
      <c r="G804" s="1473"/>
      <c r="H804" s="1501" t="str">
        <f t="shared" si="14"/>
        <v/>
      </c>
    </row>
    <row r="805" spans="1:8" ht="15.6">
      <c r="A805" s="1586"/>
      <c r="B805" s="1593" t="s">
        <v>2162</v>
      </c>
      <c r="C805" s="1594" t="s">
        <v>2175</v>
      </c>
      <c r="D805" s="1589" t="s">
        <v>2327</v>
      </c>
      <c r="E805" s="2734" t="s">
        <v>561</v>
      </c>
      <c r="F805" s="1597">
        <v>107</v>
      </c>
      <c r="G805" s="1472"/>
      <c r="H805" s="1501">
        <f t="shared" si="14"/>
        <v>0</v>
      </c>
    </row>
    <row r="806" spans="1:8" ht="12.6" customHeight="1">
      <c r="A806" s="1586"/>
      <c r="B806" s="1593"/>
      <c r="C806" s="1594"/>
      <c r="D806" s="2746"/>
      <c r="E806" s="2734"/>
      <c r="F806" s="1597"/>
      <c r="G806" s="1473"/>
      <c r="H806" s="1501" t="str">
        <f t="shared" si="14"/>
        <v/>
      </c>
    </row>
    <row r="807" spans="1:8" ht="15.6">
      <c r="A807" s="1586"/>
      <c r="B807" s="1593" t="s">
        <v>2164</v>
      </c>
      <c r="C807" s="1594" t="s">
        <v>2175</v>
      </c>
      <c r="D807" s="1589" t="s">
        <v>2328</v>
      </c>
      <c r="E807" s="2734" t="s">
        <v>561</v>
      </c>
      <c r="F807" s="1597">
        <v>321</v>
      </c>
      <c r="G807" s="1472"/>
      <c r="H807" s="1501">
        <f t="shared" si="14"/>
        <v>0</v>
      </c>
    </row>
    <row r="808" spans="1:8" ht="12.6" customHeight="1">
      <c r="A808" s="1586"/>
      <c r="B808" s="1593"/>
      <c r="C808" s="1594"/>
      <c r="D808" s="1589"/>
      <c r="E808" s="2734"/>
      <c r="F808" s="1597"/>
      <c r="G808" s="1473"/>
      <c r="H808" s="1501" t="str">
        <f t="shared" si="14"/>
        <v/>
      </c>
    </row>
    <row r="809" spans="1:8" ht="15.6">
      <c r="A809" s="1586"/>
      <c r="B809" s="1593" t="s">
        <v>2166</v>
      </c>
      <c r="C809" s="1594" t="s">
        <v>2175</v>
      </c>
      <c r="D809" s="1589" t="s">
        <v>2278</v>
      </c>
      <c r="E809" s="2734" t="s">
        <v>561</v>
      </c>
      <c r="F809" s="1597">
        <v>1284</v>
      </c>
      <c r="G809" s="1472"/>
      <c r="H809" s="1501">
        <f t="shared" si="14"/>
        <v>0</v>
      </c>
    </row>
    <row r="810" spans="1:8">
      <c r="A810" s="1586"/>
      <c r="B810" s="1593"/>
      <c r="C810" s="1594"/>
      <c r="D810" s="1589"/>
      <c r="E810" s="2734"/>
      <c r="F810" s="1597"/>
      <c r="G810" s="1473"/>
      <c r="H810" s="1501" t="str">
        <f t="shared" si="14"/>
        <v/>
      </c>
    </row>
    <row r="811" spans="1:8" ht="15.6">
      <c r="A811" s="1586"/>
      <c r="B811" s="1593" t="s">
        <v>2168</v>
      </c>
      <c r="C811" s="1594" t="s">
        <v>2175</v>
      </c>
      <c r="D811" s="1589" t="s">
        <v>2279</v>
      </c>
      <c r="E811" s="2734" t="s">
        <v>561</v>
      </c>
      <c r="F811" s="1597">
        <v>400</v>
      </c>
      <c r="G811" s="1472"/>
      <c r="H811" s="1501">
        <f t="shared" si="14"/>
        <v>0</v>
      </c>
    </row>
    <row r="812" spans="1:8">
      <c r="A812" s="1586"/>
      <c r="B812" s="1593"/>
      <c r="C812" s="1594"/>
      <c r="D812" s="1589"/>
      <c r="E812" s="2734"/>
      <c r="F812" s="1597"/>
      <c r="G812" s="1472"/>
      <c r="H812" s="1501" t="str">
        <f t="shared" si="14"/>
        <v/>
      </c>
    </row>
    <row r="813" spans="1:8" ht="15.6">
      <c r="A813" s="1586"/>
      <c r="B813" s="1593" t="s">
        <v>2171</v>
      </c>
      <c r="C813" s="1594" t="s">
        <v>2175</v>
      </c>
      <c r="D813" s="1589" t="s">
        <v>2280</v>
      </c>
      <c r="E813" s="2734" t="s">
        <v>561</v>
      </c>
      <c r="F813" s="1597">
        <v>300</v>
      </c>
      <c r="G813" s="1473"/>
      <c r="H813" s="1501">
        <f t="shared" si="14"/>
        <v>0</v>
      </c>
    </row>
    <row r="814" spans="1:8" ht="12.6" customHeight="1">
      <c r="A814" s="1586"/>
      <c r="B814" s="1271"/>
      <c r="C814" s="1792"/>
      <c r="D814" s="2647"/>
      <c r="E814" s="882"/>
      <c r="F814" s="1577"/>
      <c r="G814" s="1476"/>
      <c r="H814" s="902"/>
    </row>
    <row r="815" spans="1:8">
      <c r="A815" s="2333"/>
      <c r="B815" s="822"/>
      <c r="C815" s="1158"/>
      <c r="D815" s="840"/>
      <c r="E815" s="837"/>
      <c r="F815" s="838"/>
      <c r="G815" s="2748"/>
      <c r="H815" s="2749"/>
    </row>
    <row r="816" spans="1:8">
      <c r="A816" s="2336"/>
      <c r="B816" s="823"/>
      <c r="C816" s="1159"/>
      <c r="D816" s="774" t="s">
        <v>289</v>
      </c>
      <c r="E816" s="426"/>
      <c r="F816" s="24"/>
      <c r="G816" s="1477"/>
      <c r="H816" s="2750">
        <f>SUM(H749:H814)</f>
        <v>0</v>
      </c>
    </row>
    <row r="817" spans="1:8">
      <c r="A817" s="1586"/>
      <c r="B817" s="1271"/>
      <c r="C817" s="1155"/>
      <c r="D817" s="2751" t="s">
        <v>290</v>
      </c>
      <c r="E817" s="147"/>
      <c r="F817" s="1577"/>
      <c r="G817" s="1478"/>
      <c r="H817" s="922">
        <f>H816</f>
        <v>0</v>
      </c>
    </row>
    <row r="818" spans="1:8">
      <c r="A818" s="1586"/>
      <c r="B818" s="1593"/>
      <c r="C818" s="1594"/>
      <c r="D818" s="1589"/>
      <c r="E818" s="2734"/>
      <c r="F818" s="1597"/>
      <c r="G818" s="1473"/>
      <c r="H818" s="2795"/>
    </row>
    <row r="819" spans="1:8" ht="15.6">
      <c r="A819" s="1586"/>
      <c r="B819" s="1593" t="s">
        <v>2174</v>
      </c>
      <c r="C819" s="1594" t="s">
        <v>2175</v>
      </c>
      <c r="D819" s="1589" t="s">
        <v>2281</v>
      </c>
      <c r="E819" s="2734" t="s">
        <v>561</v>
      </c>
      <c r="F819" s="1597">
        <v>100</v>
      </c>
      <c r="G819" s="1472"/>
      <c r="H819" s="1501">
        <f t="shared" ref="H819:H882" si="15">IF(E819="","",ROUND(F819*G819,2))</f>
        <v>0</v>
      </c>
    </row>
    <row r="820" spans="1:8" ht="12.6" customHeight="1">
      <c r="A820" s="1586"/>
      <c r="B820" s="1593"/>
      <c r="C820" s="1594"/>
      <c r="D820" s="1589"/>
      <c r="E820" s="2734"/>
      <c r="F820" s="1597"/>
      <c r="G820" s="1473"/>
      <c r="H820" s="1501" t="str">
        <f t="shared" si="15"/>
        <v/>
      </c>
    </row>
    <row r="821" spans="1:8" ht="15.6">
      <c r="A821" s="1586"/>
      <c r="B821" s="1593" t="s">
        <v>2178</v>
      </c>
      <c r="C821" s="1594" t="s">
        <v>2175</v>
      </c>
      <c r="D821" s="1589" t="s">
        <v>2282</v>
      </c>
      <c r="E821" s="2734" t="s">
        <v>691</v>
      </c>
      <c r="F821" s="2742">
        <v>900</v>
      </c>
      <c r="G821" s="1472"/>
      <c r="H821" s="1501">
        <f t="shared" si="15"/>
        <v>0</v>
      </c>
    </row>
    <row r="822" spans="1:8" ht="12.6" customHeight="1">
      <c r="A822" s="1586"/>
      <c r="B822" s="1593"/>
      <c r="C822" s="1594"/>
      <c r="D822" s="2746"/>
      <c r="E822" s="1596"/>
      <c r="F822" s="2691"/>
      <c r="G822" s="1473"/>
      <c r="H822" s="1501" t="str">
        <f t="shared" si="15"/>
        <v/>
      </c>
    </row>
    <row r="823" spans="1:8" ht="15.6">
      <c r="A823" s="1586"/>
      <c r="B823" s="1593" t="s">
        <v>2180</v>
      </c>
      <c r="C823" s="1594" t="s">
        <v>2175</v>
      </c>
      <c r="D823" s="1589" t="s">
        <v>2284</v>
      </c>
      <c r="E823" s="2734" t="s">
        <v>691</v>
      </c>
      <c r="F823" s="2742">
        <v>945</v>
      </c>
      <c r="G823" s="1473"/>
      <c r="H823" s="1501">
        <f t="shared" si="15"/>
        <v>0</v>
      </c>
    </row>
    <row r="824" spans="1:8" ht="12.6" customHeight="1">
      <c r="A824" s="1586"/>
      <c r="B824" s="1593"/>
      <c r="C824" s="1594"/>
      <c r="D824" s="1589"/>
      <c r="E824" s="2764"/>
      <c r="F824" s="2793"/>
      <c r="G824" s="1473"/>
      <c r="H824" s="1501" t="str">
        <f t="shared" si="15"/>
        <v/>
      </c>
    </row>
    <row r="825" spans="1:8" ht="12.6" customHeight="1">
      <c r="A825" s="2684">
        <f>$A$4</f>
        <v>19</v>
      </c>
      <c r="B825" s="2684">
        <v>7.2</v>
      </c>
      <c r="C825" s="1594"/>
      <c r="D825" s="2723" t="s">
        <v>2216</v>
      </c>
      <c r="E825" s="2734"/>
      <c r="F825" s="1604"/>
      <c r="G825" s="1474"/>
      <c r="H825" s="1501" t="str">
        <f t="shared" si="15"/>
        <v/>
      </c>
    </row>
    <row r="826" spans="1:8" ht="12.6" customHeight="1">
      <c r="A826" s="1586"/>
      <c r="B826" s="2684"/>
      <c r="C826" s="1594"/>
      <c r="D826" s="2723"/>
      <c r="E826" s="2734"/>
      <c r="F826" s="1604"/>
      <c r="G826" s="1474"/>
      <c r="H826" s="1501" t="str">
        <f t="shared" si="15"/>
        <v/>
      </c>
    </row>
    <row r="827" spans="1:8" ht="26.4">
      <c r="A827" s="1586"/>
      <c r="B827" s="1593"/>
      <c r="C827" s="1594"/>
      <c r="D827" s="1595" t="s">
        <v>2197</v>
      </c>
      <c r="E827" s="2732"/>
      <c r="F827" s="1604"/>
      <c r="G827" s="1472"/>
      <c r="H827" s="1501" t="str">
        <f t="shared" si="15"/>
        <v/>
      </c>
    </row>
    <row r="828" spans="1:8" ht="12.6" customHeight="1">
      <c r="A828" s="1586"/>
      <c r="B828" s="1593"/>
      <c r="C828" s="1594"/>
      <c r="D828" s="904"/>
      <c r="E828" s="2732"/>
      <c r="F828" s="1604"/>
      <c r="G828" s="1472"/>
      <c r="H828" s="1501" t="str">
        <f t="shared" si="15"/>
        <v/>
      </c>
    </row>
    <row r="829" spans="1:8" ht="15.6">
      <c r="A829" s="1586"/>
      <c r="B829" s="1593" t="s">
        <v>2162</v>
      </c>
      <c r="C829" s="1594" t="s">
        <v>2175</v>
      </c>
      <c r="D829" s="1589" t="s">
        <v>2327</v>
      </c>
      <c r="E829" s="2734" t="s">
        <v>691</v>
      </c>
      <c r="F829" s="2742">
        <v>2</v>
      </c>
      <c r="G829" s="1474"/>
      <c r="H829" s="1501">
        <f t="shared" si="15"/>
        <v>0</v>
      </c>
    </row>
    <row r="830" spans="1:8" ht="12.6" customHeight="1">
      <c r="A830" s="1586"/>
      <c r="B830" s="1593"/>
      <c r="C830" s="1594"/>
      <c r="D830" s="2746"/>
      <c r="E830" s="2734"/>
      <c r="F830" s="2742"/>
      <c r="G830" s="1473"/>
      <c r="H830" s="1501" t="str">
        <f t="shared" si="15"/>
        <v/>
      </c>
    </row>
    <row r="831" spans="1:8" ht="15.6">
      <c r="A831" s="1586"/>
      <c r="B831" s="1593" t="s">
        <v>2164</v>
      </c>
      <c r="C831" s="1594" t="s">
        <v>2175</v>
      </c>
      <c r="D831" s="1589" t="s">
        <v>2328</v>
      </c>
      <c r="E831" s="2734" t="s">
        <v>691</v>
      </c>
      <c r="F831" s="2742">
        <v>6</v>
      </c>
      <c r="G831" s="1473"/>
      <c r="H831" s="1501">
        <f t="shared" si="15"/>
        <v>0</v>
      </c>
    </row>
    <row r="832" spans="1:8" ht="12.6" customHeight="1">
      <c r="A832" s="1586"/>
      <c r="B832" s="1593"/>
      <c r="C832" s="1594"/>
      <c r="D832" s="1589"/>
      <c r="E832" s="2734"/>
      <c r="F832" s="2742"/>
      <c r="G832" s="1472"/>
      <c r="H832" s="1501" t="str">
        <f t="shared" si="15"/>
        <v/>
      </c>
    </row>
    <row r="833" spans="1:8" ht="15.6">
      <c r="A833" s="1586"/>
      <c r="B833" s="1593" t="s">
        <v>2166</v>
      </c>
      <c r="C833" s="1594" t="s">
        <v>2175</v>
      </c>
      <c r="D833" s="1589" t="s">
        <v>2278</v>
      </c>
      <c r="E833" s="2734" t="s">
        <v>691</v>
      </c>
      <c r="F833" s="1609">
        <v>24</v>
      </c>
      <c r="G833" s="1472"/>
      <c r="H833" s="1501">
        <f t="shared" si="15"/>
        <v>0</v>
      </c>
    </row>
    <row r="834" spans="1:8" ht="12.6" customHeight="1">
      <c r="A834" s="1586"/>
      <c r="B834" s="1593"/>
      <c r="C834" s="1594"/>
      <c r="D834" s="1589"/>
      <c r="E834" s="2734"/>
      <c r="F834" s="1609"/>
      <c r="G834" s="1472"/>
      <c r="H834" s="1501" t="str">
        <f t="shared" si="15"/>
        <v/>
      </c>
    </row>
    <row r="835" spans="1:8" ht="15.6">
      <c r="A835" s="1586"/>
      <c r="B835" s="1593" t="s">
        <v>2168</v>
      </c>
      <c r="C835" s="1594" t="s">
        <v>2175</v>
      </c>
      <c r="D835" s="1589" t="s">
        <v>2279</v>
      </c>
      <c r="E835" s="2734" t="s">
        <v>691</v>
      </c>
      <c r="F835" s="1597">
        <v>10</v>
      </c>
      <c r="G835" s="1474"/>
      <c r="H835" s="1501">
        <f t="shared" si="15"/>
        <v>0</v>
      </c>
    </row>
    <row r="836" spans="1:8" ht="12.6" customHeight="1">
      <c r="A836" s="1586"/>
      <c r="B836" s="1593"/>
      <c r="C836" s="1594"/>
      <c r="D836" s="1589"/>
      <c r="E836" s="2734"/>
      <c r="F836" s="1597"/>
      <c r="G836" s="1474"/>
      <c r="H836" s="1501" t="str">
        <f t="shared" si="15"/>
        <v/>
      </c>
    </row>
    <row r="837" spans="1:8" ht="15.6">
      <c r="A837" s="1586"/>
      <c r="B837" s="1593" t="s">
        <v>2171</v>
      </c>
      <c r="C837" s="1594" t="s">
        <v>2175</v>
      </c>
      <c r="D837" s="1589" t="s">
        <v>2280</v>
      </c>
      <c r="E837" s="2734" t="s">
        <v>691</v>
      </c>
      <c r="F837" s="1597">
        <v>6</v>
      </c>
      <c r="G837" s="1473"/>
      <c r="H837" s="1501">
        <f t="shared" si="15"/>
        <v>0</v>
      </c>
    </row>
    <row r="838" spans="1:8" ht="12.6" customHeight="1">
      <c r="A838" s="1586"/>
      <c r="B838" s="1593"/>
      <c r="C838" s="1594"/>
      <c r="D838" s="1589"/>
      <c r="E838" s="2734"/>
      <c r="F838" s="1597"/>
      <c r="G838" s="1473"/>
      <c r="H838" s="1501" t="str">
        <f t="shared" si="15"/>
        <v/>
      </c>
    </row>
    <row r="839" spans="1:8" ht="15.6">
      <c r="A839" s="1586"/>
      <c r="B839" s="1593" t="s">
        <v>2174</v>
      </c>
      <c r="C839" s="1594" t="s">
        <v>2175</v>
      </c>
      <c r="D839" s="1589" t="s">
        <v>2281</v>
      </c>
      <c r="E839" s="2734" t="s">
        <v>691</v>
      </c>
      <c r="F839" s="1597">
        <v>6</v>
      </c>
      <c r="G839" s="1472"/>
      <c r="H839" s="1501">
        <f t="shared" si="15"/>
        <v>0</v>
      </c>
    </row>
    <row r="840" spans="1:8" ht="12.6" customHeight="1">
      <c r="A840" s="1586"/>
      <c r="B840" s="1593"/>
      <c r="C840" s="1594"/>
      <c r="D840" s="1589"/>
      <c r="E840" s="2734"/>
      <c r="F840" s="2767"/>
      <c r="G840" s="1473"/>
      <c r="H840" s="1501" t="str">
        <f t="shared" si="15"/>
        <v/>
      </c>
    </row>
    <row r="841" spans="1:8" ht="15.6">
      <c r="A841" s="1586"/>
      <c r="B841" s="1593" t="s">
        <v>2178</v>
      </c>
      <c r="C841" s="1594" t="s">
        <v>2175</v>
      </c>
      <c r="D841" s="1589" t="s">
        <v>2282</v>
      </c>
      <c r="E841" s="2734" t="s">
        <v>691</v>
      </c>
      <c r="F841" s="1609">
        <v>18</v>
      </c>
      <c r="G841" s="1474"/>
      <c r="H841" s="1501">
        <f t="shared" si="15"/>
        <v>0</v>
      </c>
    </row>
    <row r="842" spans="1:8" ht="12.6" customHeight="1">
      <c r="A842" s="1586"/>
      <c r="B842" s="1593"/>
      <c r="C842" s="1594"/>
      <c r="D842" s="2746"/>
      <c r="E842" s="2734"/>
      <c r="F842" s="1609"/>
      <c r="G842" s="1473"/>
      <c r="H842" s="1501" t="str">
        <f t="shared" si="15"/>
        <v/>
      </c>
    </row>
    <row r="843" spans="1:8" ht="15.6">
      <c r="A843" s="1586"/>
      <c r="B843" s="1593" t="s">
        <v>2180</v>
      </c>
      <c r="C843" s="1594" t="s">
        <v>2175</v>
      </c>
      <c r="D843" s="1589" t="s">
        <v>2284</v>
      </c>
      <c r="E843" s="2734" t="s">
        <v>691</v>
      </c>
      <c r="F843" s="1609">
        <v>36</v>
      </c>
      <c r="G843" s="1472"/>
      <c r="H843" s="1501">
        <f t="shared" si="15"/>
        <v>0</v>
      </c>
    </row>
    <row r="844" spans="1:8" ht="12.6" customHeight="1">
      <c r="A844" s="1586"/>
      <c r="B844" s="1593"/>
      <c r="C844" s="1594"/>
      <c r="D844" s="1589"/>
      <c r="E844" s="2734"/>
      <c r="F844" s="1597"/>
      <c r="G844" s="1474"/>
      <c r="H844" s="1501" t="str">
        <f t="shared" si="15"/>
        <v/>
      </c>
    </row>
    <row r="845" spans="1:8" ht="12.6" customHeight="1">
      <c r="A845" s="2684">
        <f>$A$4</f>
        <v>19</v>
      </c>
      <c r="B845" s="2684">
        <v>7.3</v>
      </c>
      <c r="C845" s="1603"/>
      <c r="D845" s="2725" t="s">
        <v>2234</v>
      </c>
      <c r="E845" s="2764"/>
      <c r="F845" s="2765"/>
      <c r="G845" s="1473"/>
      <c r="H845" s="1501" t="str">
        <f t="shared" si="15"/>
        <v/>
      </c>
    </row>
    <row r="846" spans="1:8" ht="12.6" customHeight="1">
      <c r="A846" s="1586"/>
      <c r="B846" s="2684"/>
      <c r="C846" s="1603"/>
      <c r="D846" s="2725"/>
      <c r="E846" s="2764"/>
      <c r="F846" s="2765"/>
      <c r="G846" s="1473"/>
      <c r="H846" s="1501" t="str">
        <f t="shared" si="15"/>
        <v/>
      </c>
    </row>
    <row r="847" spans="1:8" ht="39.6">
      <c r="A847" s="1586"/>
      <c r="B847" s="2697"/>
      <c r="C847" s="1606"/>
      <c r="D847" s="1589" t="s">
        <v>2235</v>
      </c>
      <c r="E847" s="2766"/>
      <c r="F847" s="2767"/>
      <c r="G847" s="1473"/>
      <c r="H847" s="1501" t="str">
        <f t="shared" si="15"/>
        <v/>
      </c>
    </row>
    <row r="848" spans="1:8" ht="12.6" customHeight="1">
      <c r="A848" s="1586"/>
      <c r="B848" s="1605"/>
      <c r="C848" s="1606"/>
      <c r="D848" s="1589"/>
      <c r="E848" s="2768"/>
      <c r="F848" s="1607"/>
      <c r="G848" s="1472"/>
      <c r="H848" s="1501" t="str">
        <f t="shared" si="15"/>
        <v/>
      </c>
    </row>
    <row r="849" spans="1:8" ht="15.6">
      <c r="A849" s="1586"/>
      <c r="B849" s="1605" t="s">
        <v>2162</v>
      </c>
      <c r="C849" s="1594" t="s">
        <v>2175</v>
      </c>
      <c r="D849" s="1589" t="s">
        <v>2285</v>
      </c>
      <c r="E849" s="2744" t="s">
        <v>691</v>
      </c>
      <c r="F849" s="1609">
        <v>10</v>
      </c>
      <c r="G849" s="1474"/>
      <c r="H849" s="1501">
        <f t="shared" si="15"/>
        <v>0</v>
      </c>
    </row>
    <row r="850" spans="1:8" ht="12.6" customHeight="1">
      <c r="A850" s="1586"/>
      <c r="B850" s="1605"/>
      <c r="C850" s="1606"/>
      <c r="D850" s="1589"/>
      <c r="E850" s="2744"/>
      <c r="F850" s="1609"/>
      <c r="G850" s="1474"/>
      <c r="H850" s="1501" t="str">
        <f t="shared" si="15"/>
        <v/>
      </c>
    </row>
    <row r="851" spans="1:8" ht="15.6">
      <c r="A851" s="1586"/>
      <c r="B851" s="1605" t="s">
        <v>2164</v>
      </c>
      <c r="C851" s="1594" t="s">
        <v>2175</v>
      </c>
      <c r="D851" s="1589" t="s">
        <v>2286</v>
      </c>
      <c r="E851" s="2744" t="s">
        <v>691</v>
      </c>
      <c r="F851" s="1609">
        <v>10</v>
      </c>
      <c r="G851" s="1473"/>
      <c r="H851" s="1501">
        <f t="shared" si="15"/>
        <v>0</v>
      </c>
    </row>
    <row r="852" spans="1:8" ht="12.6" customHeight="1">
      <c r="A852" s="1586"/>
      <c r="B852" s="1605"/>
      <c r="C852" s="1606"/>
      <c r="D852" s="1589"/>
      <c r="E852" s="2744"/>
      <c r="F852" s="1609"/>
      <c r="G852" s="1473"/>
      <c r="H852" s="1501" t="str">
        <f t="shared" si="15"/>
        <v/>
      </c>
    </row>
    <row r="853" spans="1:8" ht="15.6">
      <c r="A853" s="1586"/>
      <c r="B853" s="1605" t="s">
        <v>2166</v>
      </c>
      <c r="C853" s="1594" t="s">
        <v>2175</v>
      </c>
      <c r="D853" s="1589" t="s">
        <v>2287</v>
      </c>
      <c r="E853" s="2744" t="s">
        <v>691</v>
      </c>
      <c r="F853" s="1609">
        <v>2</v>
      </c>
      <c r="G853" s="1472"/>
      <c r="H853" s="1501">
        <f t="shared" si="15"/>
        <v>0</v>
      </c>
    </row>
    <row r="854" spans="1:8" ht="12.6" customHeight="1">
      <c r="A854" s="1586"/>
      <c r="B854" s="1605"/>
      <c r="C854" s="1606"/>
      <c r="D854" s="1589"/>
      <c r="E854" s="2744"/>
      <c r="F854" s="1609"/>
      <c r="G854" s="1472"/>
      <c r="H854" s="1501" t="str">
        <f t="shared" si="15"/>
        <v/>
      </c>
    </row>
    <row r="855" spans="1:8" ht="15.6">
      <c r="A855" s="1586"/>
      <c r="B855" s="1605" t="s">
        <v>2168</v>
      </c>
      <c r="C855" s="1594" t="s">
        <v>2175</v>
      </c>
      <c r="D855" s="1589" t="s">
        <v>2288</v>
      </c>
      <c r="E855" s="2744" t="s">
        <v>691</v>
      </c>
      <c r="F855" s="1609">
        <v>2</v>
      </c>
      <c r="G855" s="1473"/>
      <c r="H855" s="1501">
        <f t="shared" si="15"/>
        <v>0</v>
      </c>
    </row>
    <row r="856" spans="1:8" ht="12.6" customHeight="1">
      <c r="A856" s="1586"/>
      <c r="B856" s="1593"/>
      <c r="C856" s="1594"/>
      <c r="D856" s="2722"/>
      <c r="E856" s="2732"/>
      <c r="F856" s="2735"/>
      <c r="G856" s="1474"/>
      <c r="H856" s="1501" t="str">
        <f t="shared" si="15"/>
        <v/>
      </c>
    </row>
    <row r="857" spans="1:8" ht="12.6" customHeight="1">
      <c r="A857" s="2684">
        <f>$A$4</f>
        <v>19</v>
      </c>
      <c r="B857" s="2684">
        <v>7.4</v>
      </c>
      <c r="C857" s="1594"/>
      <c r="D857" s="2723" t="s">
        <v>2220</v>
      </c>
      <c r="E857" s="2732"/>
      <c r="F857" s="2735"/>
      <c r="G857" s="1473"/>
      <c r="H857" s="1501" t="str">
        <f t="shared" si="15"/>
        <v/>
      </c>
    </row>
    <row r="858" spans="1:8" ht="12.6" customHeight="1">
      <c r="A858" s="1586"/>
      <c r="B858" s="2684"/>
      <c r="C858" s="1594"/>
      <c r="D858" s="2723"/>
      <c r="E858" s="2732"/>
      <c r="F858" s="2735"/>
      <c r="G858" s="1473"/>
      <c r="H858" s="1501" t="str">
        <f t="shared" si="15"/>
        <v/>
      </c>
    </row>
    <row r="859" spans="1:8" ht="16.2">
      <c r="A859" s="1586"/>
      <c r="B859" s="1593" t="s">
        <v>2162</v>
      </c>
      <c r="C859" s="1594" t="s">
        <v>2221</v>
      </c>
      <c r="D859" s="1595" t="s">
        <v>2222</v>
      </c>
      <c r="E859" s="2762" t="s">
        <v>631</v>
      </c>
      <c r="F859" s="2719">
        <v>51.360000000000007</v>
      </c>
      <c r="G859" s="1472"/>
      <c r="H859" s="1501">
        <f t="shared" si="15"/>
        <v>0</v>
      </c>
    </row>
    <row r="860" spans="1:8" ht="12.6" customHeight="1">
      <c r="A860" s="1586"/>
      <c r="B860" s="1593"/>
      <c r="C860" s="1594"/>
      <c r="D860" s="1595"/>
      <c r="E860" s="2762"/>
      <c r="F860" s="2719"/>
      <c r="G860" s="1472"/>
      <c r="H860" s="1501" t="str">
        <f t="shared" si="15"/>
        <v/>
      </c>
    </row>
    <row r="861" spans="1:8" ht="16.2">
      <c r="A861" s="1586"/>
      <c r="B861" s="1604" t="s">
        <v>2164</v>
      </c>
      <c r="C861" s="1594" t="s">
        <v>2221</v>
      </c>
      <c r="D861" s="1595" t="s">
        <v>2223</v>
      </c>
      <c r="E861" s="2762" t="s">
        <v>631</v>
      </c>
      <c r="F861" s="2719">
        <v>51.360000000000007</v>
      </c>
      <c r="G861" s="1473"/>
      <c r="H861" s="1501">
        <f t="shared" si="15"/>
        <v>0</v>
      </c>
    </row>
    <row r="862" spans="1:8" ht="12.6" customHeight="1">
      <c r="A862" s="1586"/>
      <c r="B862" s="2684"/>
      <c r="C862" s="1594"/>
      <c r="D862" s="1595"/>
      <c r="E862" s="2732"/>
      <c r="F862" s="2673"/>
      <c r="G862" s="1472"/>
      <c r="H862" s="1501" t="str">
        <f t="shared" si="15"/>
        <v/>
      </c>
    </row>
    <row r="863" spans="1:8" ht="12.6" customHeight="1">
      <c r="A863" s="2684">
        <f>$A$4</f>
        <v>19</v>
      </c>
      <c r="B863" s="2684">
        <v>7.5</v>
      </c>
      <c r="C863" s="1594"/>
      <c r="D863" s="2723" t="s">
        <v>2224</v>
      </c>
      <c r="E863" s="1596"/>
      <c r="F863" s="2763"/>
      <c r="G863" s="1472"/>
      <c r="H863" s="1501" t="str">
        <f t="shared" si="15"/>
        <v/>
      </c>
    </row>
    <row r="864" spans="1:8" ht="12.6" customHeight="1">
      <c r="A864" s="1586"/>
      <c r="B864" s="2684"/>
      <c r="C864" s="1594"/>
      <c r="D864" s="2722"/>
      <c r="E864" s="1596"/>
      <c r="F864" s="2763"/>
      <c r="G864" s="1472"/>
      <c r="H864" s="1501" t="str">
        <f t="shared" si="15"/>
        <v/>
      </c>
    </row>
    <row r="865" spans="1:8" ht="12.6" customHeight="1">
      <c r="A865" s="1586"/>
      <c r="B865" s="1593" t="s">
        <v>2162</v>
      </c>
      <c r="C865" s="1594" t="s">
        <v>2225</v>
      </c>
      <c r="D865" s="1595" t="s">
        <v>2226</v>
      </c>
      <c r="E865" s="1596" t="s">
        <v>691</v>
      </c>
      <c r="F865" s="1604">
        <v>18</v>
      </c>
      <c r="G865" s="1472"/>
      <c r="H865" s="1501">
        <f t="shared" si="15"/>
        <v>0</v>
      </c>
    </row>
    <row r="866" spans="1:8" ht="12.6" customHeight="1">
      <c r="A866" s="1586"/>
      <c r="B866" s="1271"/>
      <c r="C866" s="1155"/>
      <c r="D866" s="2751"/>
      <c r="E866" s="147"/>
      <c r="F866" s="1577"/>
      <c r="G866" s="1478"/>
      <c r="H866" s="1501" t="str">
        <f t="shared" si="15"/>
        <v/>
      </c>
    </row>
    <row r="867" spans="1:8" ht="12.6" customHeight="1">
      <c r="A867" s="2684">
        <f>$A$4</f>
        <v>19</v>
      </c>
      <c r="B867" s="2684">
        <v>7.6</v>
      </c>
      <c r="C867" s="1594"/>
      <c r="D867" s="2723" t="s">
        <v>2227</v>
      </c>
      <c r="E867" s="1596"/>
      <c r="F867" s="2673"/>
      <c r="G867" s="1472"/>
      <c r="H867" s="1501" t="str">
        <f t="shared" si="15"/>
        <v/>
      </c>
    </row>
    <row r="868" spans="1:8" ht="12.6" customHeight="1">
      <c r="A868" s="1586"/>
      <c r="B868" s="2684"/>
      <c r="C868" s="1594"/>
      <c r="D868" s="2723"/>
      <c r="E868" s="1596"/>
      <c r="F868" s="2673"/>
      <c r="G868" s="1472"/>
      <c r="H868" s="1501" t="str">
        <f t="shared" si="15"/>
        <v/>
      </c>
    </row>
    <row r="869" spans="1:8" ht="26.4">
      <c r="A869" s="1586"/>
      <c r="B869" s="1593"/>
      <c r="C869" s="1594" t="s">
        <v>2228</v>
      </c>
      <c r="D869" s="1595" t="s">
        <v>2329</v>
      </c>
      <c r="E869" s="1596"/>
      <c r="F869" s="2673"/>
      <c r="G869" s="1472"/>
      <c r="H869" s="1501" t="str">
        <f t="shared" si="15"/>
        <v/>
      </c>
    </row>
    <row r="870" spans="1:8" ht="12.6" customHeight="1">
      <c r="A870" s="1586"/>
      <c r="B870" s="1593"/>
      <c r="C870" s="1594"/>
      <c r="D870" s="1595"/>
      <c r="E870" s="1596"/>
      <c r="F870" s="1597"/>
      <c r="G870" s="1472"/>
      <c r="H870" s="1501" t="str">
        <f t="shared" si="15"/>
        <v/>
      </c>
    </row>
    <row r="871" spans="1:8" ht="12.6" customHeight="1">
      <c r="A871" s="1586"/>
      <c r="B871" s="1593" t="s">
        <v>2162</v>
      </c>
      <c r="C871" s="1594" t="s">
        <v>2228</v>
      </c>
      <c r="D871" s="1595" t="s">
        <v>2230</v>
      </c>
      <c r="E871" s="1596" t="s">
        <v>561</v>
      </c>
      <c r="F871" s="1597">
        <v>200</v>
      </c>
      <c r="G871" s="1472"/>
      <c r="H871" s="1501">
        <f t="shared" si="15"/>
        <v>0</v>
      </c>
    </row>
    <row r="872" spans="1:8" ht="12.6" customHeight="1">
      <c r="A872" s="1586"/>
      <c r="B872" s="1593"/>
      <c r="C872" s="1594"/>
      <c r="D872" s="1595"/>
      <c r="E872" s="1596"/>
      <c r="F872" s="1597"/>
      <c r="G872" s="1472"/>
      <c r="H872" s="1501" t="str">
        <f t="shared" si="15"/>
        <v/>
      </c>
    </row>
    <row r="873" spans="1:8">
      <c r="A873" s="1586"/>
      <c r="B873" s="1604" t="s">
        <v>2164</v>
      </c>
      <c r="C873" s="1594" t="s">
        <v>2228</v>
      </c>
      <c r="D873" s="1595" t="s">
        <v>2231</v>
      </c>
      <c r="E873" s="1596" t="s">
        <v>561</v>
      </c>
      <c r="F873" s="2724">
        <v>200</v>
      </c>
      <c r="G873" s="1472"/>
      <c r="H873" s="1501">
        <f t="shared" si="15"/>
        <v>0</v>
      </c>
    </row>
    <row r="874" spans="1:8" ht="12.6" customHeight="1">
      <c r="A874" s="1586"/>
      <c r="B874" s="1604"/>
      <c r="C874" s="1594"/>
      <c r="D874" s="1595"/>
      <c r="E874" s="1596"/>
      <c r="F874" s="2724"/>
      <c r="G874" s="1472"/>
      <c r="H874" s="1501" t="str">
        <f t="shared" si="15"/>
        <v/>
      </c>
    </row>
    <row r="875" spans="1:8" ht="12.6" customHeight="1">
      <c r="A875" s="1586"/>
      <c r="B875" s="1604" t="s">
        <v>2166</v>
      </c>
      <c r="C875" s="1594" t="s">
        <v>2228</v>
      </c>
      <c r="D875" s="1595" t="s">
        <v>2263</v>
      </c>
      <c r="E875" s="1596" t="s">
        <v>561</v>
      </c>
      <c r="F875" s="2724">
        <v>100</v>
      </c>
      <c r="G875" s="1472"/>
      <c r="H875" s="1501">
        <f t="shared" si="15"/>
        <v>0</v>
      </c>
    </row>
    <row r="876" spans="1:8">
      <c r="A876" s="1586"/>
      <c r="B876" s="1604"/>
      <c r="C876" s="1594"/>
      <c r="D876" s="1595"/>
      <c r="E876" s="1596"/>
      <c r="F876" s="2724"/>
      <c r="G876" s="1472"/>
      <c r="H876" s="1501" t="str">
        <f t="shared" si="15"/>
        <v/>
      </c>
    </row>
    <row r="877" spans="1:8" ht="12.6" customHeight="1">
      <c r="A877" s="1586"/>
      <c r="B877" s="1604" t="s">
        <v>2168</v>
      </c>
      <c r="C877" s="1594" t="s">
        <v>2228</v>
      </c>
      <c r="D877" s="1595" t="s">
        <v>2291</v>
      </c>
      <c r="E877" s="1596" t="s">
        <v>561</v>
      </c>
      <c r="F877" s="2724">
        <v>50</v>
      </c>
      <c r="G877" s="1472"/>
      <c r="H877" s="1501">
        <f t="shared" si="15"/>
        <v>0</v>
      </c>
    </row>
    <row r="878" spans="1:8" ht="12.6" customHeight="1">
      <c r="A878" s="1586"/>
      <c r="B878" s="1604"/>
      <c r="C878" s="1594"/>
      <c r="D878" s="1595"/>
      <c r="E878" s="1596"/>
      <c r="F878" s="2724"/>
      <c r="G878" s="1472"/>
      <c r="H878" s="1501" t="str">
        <f t="shared" si="15"/>
        <v/>
      </c>
    </row>
    <row r="879" spans="1:8" ht="15.6">
      <c r="A879" s="1586"/>
      <c r="B879" s="1604" t="s">
        <v>2171</v>
      </c>
      <c r="C879" s="1594" t="s">
        <v>2228</v>
      </c>
      <c r="D879" s="1595" t="s">
        <v>2232</v>
      </c>
      <c r="E879" s="1596" t="s">
        <v>691</v>
      </c>
      <c r="F879" s="2724">
        <v>10</v>
      </c>
      <c r="G879" s="1473"/>
      <c r="H879" s="1501">
        <f t="shared" si="15"/>
        <v>0</v>
      </c>
    </row>
    <row r="880" spans="1:8" ht="12.6" customHeight="1">
      <c r="A880" s="1586"/>
      <c r="B880" s="1604"/>
      <c r="C880" s="1594"/>
      <c r="D880" s="1595"/>
      <c r="E880" s="1596"/>
      <c r="F880" s="2724"/>
      <c r="G880" s="1473"/>
      <c r="H880" s="1501" t="str">
        <f t="shared" si="15"/>
        <v/>
      </c>
    </row>
    <row r="881" spans="1:8" ht="15.6">
      <c r="A881" s="1586"/>
      <c r="B881" s="1604" t="s">
        <v>2174</v>
      </c>
      <c r="C881" s="1594" t="s">
        <v>2228</v>
      </c>
      <c r="D881" s="1595" t="s">
        <v>2233</v>
      </c>
      <c r="E881" s="1596" t="s">
        <v>691</v>
      </c>
      <c r="F881" s="2724">
        <v>10</v>
      </c>
      <c r="G881" s="1474"/>
      <c r="H881" s="1501">
        <f t="shared" si="15"/>
        <v>0</v>
      </c>
    </row>
    <row r="882" spans="1:8" ht="12.6" customHeight="1">
      <c r="A882" s="1586"/>
      <c r="B882" s="1604"/>
      <c r="C882" s="1594"/>
      <c r="D882" s="1595"/>
      <c r="E882" s="1596"/>
      <c r="F882" s="2724"/>
      <c r="G882" s="1474"/>
      <c r="H882" s="1501" t="str">
        <f t="shared" si="15"/>
        <v/>
      </c>
    </row>
    <row r="883" spans="1:8" ht="15.6">
      <c r="A883" s="1586"/>
      <c r="B883" s="2691" t="s">
        <v>2178</v>
      </c>
      <c r="C883" s="1594" t="s">
        <v>2228</v>
      </c>
      <c r="D883" s="1595" t="s">
        <v>2265</v>
      </c>
      <c r="E883" s="1596" t="s">
        <v>691</v>
      </c>
      <c r="F883" s="1604">
        <v>8</v>
      </c>
      <c r="G883" s="1473"/>
      <c r="H883" s="1501">
        <f t="shared" ref="H883:H885" si="16">IF(E883="","",ROUND(F883*G883,2))</f>
        <v>0</v>
      </c>
    </row>
    <row r="884" spans="1:8" ht="12.6" customHeight="1">
      <c r="A884" s="1586"/>
      <c r="B884" s="2691"/>
      <c r="C884" s="1599"/>
      <c r="D884" s="1595"/>
      <c r="E884" s="1596"/>
      <c r="F884" s="1604"/>
      <c r="G884" s="1473"/>
      <c r="H884" s="1501" t="str">
        <f t="shared" si="16"/>
        <v/>
      </c>
    </row>
    <row r="885" spans="1:8" ht="15.6">
      <c r="A885" s="1586"/>
      <c r="B885" s="1598" t="s">
        <v>2180</v>
      </c>
      <c r="C885" s="1594" t="s">
        <v>2228</v>
      </c>
      <c r="D885" s="1595" t="s">
        <v>2292</v>
      </c>
      <c r="E885" s="1590" t="s">
        <v>691</v>
      </c>
      <c r="F885" s="1601">
        <v>8</v>
      </c>
      <c r="G885" s="1472"/>
      <c r="H885" s="1501">
        <f t="shared" si="16"/>
        <v>0</v>
      </c>
    </row>
    <row r="886" spans="1:8">
      <c r="A886" s="1586"/>
      <c r="B886" s="1598"/>
      <c r="C886" s="1599"/>
      <c r="D886" s="1600"/>
      <c r="E886" s="907"/>
      <c r="F886" s="1601"/>
      <c r="G886" s="1472"/>
      <c r="H886" s="1592"/>
    </row>
    <row r="887" spans="1:8">
      <c r="A887" s="1586"/>
      <c r="B887" s="1598"/>
      <c r="C887" s="1599"/>
      <c r="D887" s="1600"/>
      <c r="E887" s="907"/>
      <c r="F887" s="1601"/>
      <c r="G887" s="1472"/>
      <c r="H887" s="1592"/>
    </row>
    <row r="888" spans="1:8">
      <c r="A888" s="1586"/>
      <c r="B888" s="1598"/>
      <c r="C888" s="1599"/>
      <c r="D888" s="1600"/>
      <c r="E888" s="907"/>
      <c r="F888" s="1601"/>
      <c r="G888" s="1472"/>
      <c r="H888" s="1592"/>
    </row>
    <row r="889" spans="1:8">
      <c r="A889" s="1586"/>
      <c r="B889" s="1598"/>
      <c r="C889" s="1599"/>
      <c r="D889" s="1600"/>
      <c r="E889" s="907"/>
      <c r="F889" s="1601"/>
      <c r="G889" s="1472"/>
      <c r="H889" s="1592"/>
    </row>
    <row r="890" spans="1:8">
      <c r="A890" s="1586"/>
      <c r="B890" s="1598"/>
      <c r="C890" s="1599"/>
      <c r="D890" s="1600"/>
      <c r="E890" s="907"/>
      <c r="F890" s="1601"/>
      <c r="G890" s="1472"/>
      <c r="H890" s="1592"/>
    </row>
    <row r="891" spans="1:8" ht="12.6" customHeight="1">
      <c r="A891" s="1586"/>
      <c r="B891" s="2779"/>
      <c r="C891" s="1606"/>
      <c r="D891" s="1600"/>
      <c r="E891" s="921"/>
      <c r="F891" s="1607"/>
      <c r="G891" s="1473"/>
      <c r="H891" s="2747"/>
    </row>
    <row r="892" spans="1:8" ht="12.6" customHeight="1">
      <c r="A892" s="1586"/>
      <c r="B892" s="2684"/>
      <c r="C892" s="1606"/>
      <c r="D892" s="2796"/>
      <c r="E892" s="921"/>
      <c r="F892" s="1607"/>
      <c r="G892" s="1474"/>
      <c r="H892" s="927"/>
    </row>
    <row r="893" spans="1:8">
      <c r="A893" s="2333"/>
      <c r="B893" s="822"/>
      <c r="C893" s="1158"/>
      <c r="D893" s="840"/>
      <c r="E893" s="837"/>
      <c r="F893" s="838"/>
      <c r="G893" s="2748"/>
      <c r="H893" s="2749"/>
    </row>
    <row r="894" spans="1:8">
      <c r="A894" s="2336"/>
      <c r="B894" s="823"/>
      <c r="C894" s="1159"/>
      <c r="D894" s="774" t="s">
        <v>289</v>
      </c>
      <c r="E894" s="426"/>
      <c r="F894" s="24"/>
      <c r="G894" s="1477"/>
      <c r="H894" s="2750">
        <f>SUM(H817:H892)</f>
        <v>0</v>
      </c>
    </row>
    <row r="895" spans="1:8" ht="12.6" customHeight="1">
      <c r="A895" s="1586"/>
      <c r="B895" s="1271"/>
      <c r="C895" s="2797"/>
      <c r="D895" s="2754" t="s">
        <v>290</v>
      </c>
      <c r="E895" s="147"/>
      <c r="F895" s="1577"/>
      <c r="G895" s="1478"/>
      <c r="H895" s="922">
        <f>H894</f>
        <v>0</v>
      </c>
    </row>
    <row r="896" spans="1:8" ht="12.6" customHeight="1">
      <c r="A896" s="1586"/>
      <c r="B896" s="1271"/>
      <c r="C896" s="1792"/>
      <c r="D896" s="2751"/>
      <c r="E896" s="147"/>
      <c r="F896" s="1577"/>
      <c r="G896" s="1478"/>
      <c r="H896" s="897"/>
    </row>
    <row r="897" spans="1:8">
      <c r="A897" s="2684">
        <f>$A$4</f>
        <v>19</v>
      </c>
      <c r="B897" s="2684">
        <v>7.7</v>
      </c>
      <c r="C897" s="1606"/>
      <c r="D897" s="2776" t="s">
        <v>2293</v>
      </c>
      <c r="E897" s="921"/>
      <c r="F897" s="1607"/>
      <c r="G897" s="1474"/>
      <c r="H897" s="2798"/>
    </row>
    <row r="898" spans="1:8" ht="12.6" customHeight="1">
      <c r="A898" s="1586"/>
      <c r="B898" s="2684"/>
      <c r="C898" s="1606"/>
      <c r="D898" s="2776"/>
      <c r="E898" s="921"/>
      <c r="F898" s="1607"/>
      <c r="G898" s="1474"/>
      <c r="H898" s="2798"/>
    </row>
    <row r="899" spans="1:8" ht="26.4">
      <c r="A899" s="1586"/>
      <c r="B899" s="2755"/>
      <c r="C899" s="1606" t="s">
        <v>2294</v>
      </c>
      <c r="D899" s="1595" t="s">
        <v>2330</v>
      </c>
      <c r="E899" s="2768"/>
      <c r="F899" s="1607"/>
      <c r="G899" s="1473"/>
      <c r="H899" s="2747"/>
    </row>
    <row r="900" spans="1:8" ht="12.6" customHeight="1">
      <c r="A900" s="1586"/>
      <c r="B900" s="1605"/>
      <c r="C900" s="1606"/>
      <c r="D900" s="1595"/>
      <c r="E900" s="2768"/>
      <c r="F900" s="1607"/>
      <c r="G900" s="1473"/>
      <c r="H900" s="2747"/>
    </row>
    <row r="901" spans="1:8" ht="26.4">
      <c r="A901" s="1586"/>
      <c r="B901" s="1605" t="s">
        <v>2162</v>
      </c>
      <c r="C901" s="1606" t="s">
        <v>2294</v>
      </c>
      <c r="D901" s="1595" t="s">
        <v>2331</v>
      </c>
      <c r="E901" s="2744" t="s">
        <v>691</v>
      </c>
      <c r="F901" s="1609">
        <v>16</v>
      </c>
      <c r="G901" s="1472"/>
      <c r="H901" s="1501">
        <f t="shared" ref="H901:H939" si="17">IF(E901="","",ROUND(F901*G901,2))</f>
        <v>0</v>
      </c>
    </row>
    <row r="902" spans="1:8" ht="12.6" customHeight="1">
      <c r="A902" s="1586"/>
      <c r="B902" s="1605"/>
      <c r="C902" s="1606"/>
      <c r="D902" s="1595"/>
      <c r="E902" s="2744"/>
      <c r="F902" s="1609"/>
      <c r="G902" s="1473"/>
      <c r="H902" s="1501" t="str">
        <f t="shared" si="17"/>
        <v/>
      </c>
    </row>
    <row r="903" spans="1:8" ht="26.4">
      <c r="A903" s="1586"/>
      <c r="B903" s="1605" t="s">
        <v>2164</v>
      </c>
      <c r="C903" s="1606" t="s">
        <v>2294</v>
      </c>
      <c r="D903" s="1595" t="s">
        <v>2297</v>
      </c>
      <c r="E903" s="2744" t="s">
        <v>691</v>
      </c>
      <c r="F903" s="1609">
        <v>1</v>
      </c>
      <c r="G903" s="1474"/>
      <c r="H903" s="1501">
        <f t="shared" si="17"/>
        <v>0</v>
      </c>
    </row>
    <row r="904" spans="1:8" ht="12.6" customHeight="1">
      <c r="A904" s="1586"/>
      <c r="B904" s="2779"/>
      <c r="C904" s="1606"/>
      <c r="D904" s="1595"/>
      <c r="E904" s="2768"/>
      <c r="F904" s="1607"/>
      <c r="G904" s="1473"/>
      <c r="H904" s="1501" t="str">
        <f t="shared" si="17"/>
        <v/>
      </c>
    </row>
    <row r="905" spans="1:8" ht="26.4">
      <c r="A905" s="1586"/>
      <c r="B905" s="1605" t="s">
        <v>2166</v>
      </c>
      <c r="C905" s="1606" t="s">
        <v>2298</v>
      </c>
      <c r="D905" s="1589" t="s">
        <v>2332</v>
      </c>
      <c r="E905" s="2744" t="s">
        <v>691</v>
      </c>
      <c r="F905" s="1609">
        <v>1</v>
      </c>
      <c r="G905" s="1475"/>
      <c r="H905" s="1501">
        <f t="shared" si="17"/>
        <v>0</v>
      </c>
    </row>
    <row r="906" spans="1:8" ht="12.6" customHeight="1">
      <c r="A906" s="1586"/>
      <c r="B906" s="2780"/>
      <c r="C906" s="2770"/>
      <c r="D906" s="1589"/>
      <c r="E906" s="2744"/>
      <c r="F906" s="1609"/>
      <c r="G906" s="1475"/>
      <c r="H906" s="1501" t="str">
        <f t="shared" si="17"/>
        <v/>
      </c>
    </row>
    <row r="907" spans="1:8" ht="39.6">
      <c r="A907" s="1586"/>
      <c r="B907" s="1605" t="s">
        <v>2168</v>
      </c>
      <c r="C907" s="1606" t="s">
        <v>2298</v>
      </c>
      <c r="D907" s="1589" t="s">
        <v>2333</v>
      </c>
      <c r="E907" s="2744" t="s">
        <v>691</v>
      </c>
      <c r="F907" s="1609">
        <v>1</v>
      </c>
      <c r="G907" s="1475"/>
      <c r="H907" s="1501">
        <f t="shared" si="17"/>
        <v>0</v>
      </c>
    </row>
    <row r="908" spans="1:8" ht="12.6" customHeight="1">
      <c r="A908" s="1586"/>
      <c r="B908" s="2780"/>
      <c r="C908" s="2770"/>
      <c r="D908" s="1589"/>
      <c r="E908" s="2744"/>
      <c r="F908" s="1609"/>
      <c r="G908" s="1473"/>
      <c r="H908" s="1501" t="str">
        <f t="shared" si="17"/>
        <v/>
      </c>
    </row>
    <row r="909" spans="1:8" ht="39.6">
      <c r="A909" s="1586"/>
      <c r="B909" s="2737" t="s">
        <v>2171</v>
      </c>
      <c r="C909" s="1606" t="s">
        <v>2298</v>
      </c>
      <c r="D909" s="1595" t="s">
        <v>2334</v>
      </c>
      <c r="E909" s="1596" t="s">
        <v>691</v>
      </c>
      <c r="F909" s="1604">
        <v>1</v>
      </c>
      <c r="G909" s="1475"/>
      <c r="H909" s="1501">
        <f t="shared" si="17"/>
        <v>0</v>
      </c>
    </row>
    <row r="910" spans="1:8" ht="12.6" customHeight="1">
      <c r="A910" s="1586"/>
      <c r="B910" s="1605"/>
      <c r="C910" s="1606"/>
      <c r="D910" s="2799"/>
      <c r="E910" s="2744"/>
      <c r="F910" s="1609"/>
      <c r="G910" s="1473"/>
      <c r="H910" s="1501" t="str">
        <f t="shared" si="17"/>
        <v/>
      </c>
    </row>
    <row r="911" spans="1:8" ht="12.6" customHeight="1">
      <c r="A911" s="1586"/>
      <c r="B911" s="1587" t="s">
        <v>2174</v>
      </c>
      <c r="C911" s="1606" t="s">
        <v>2298</v>
      </c>
      <c r="D911" s="1589" t="s">
        <v>2335</v>
      </c>
      <c r="E911" s="1590" t="s">
        <v>691</v>
      </c>
      <c r="F911" s="1591">
        <v>1</v>
      </c>
      <c r="G911" s="1475"/>
      <c r="H911" s="1501">
        <f t="shared" si="17"/>
        <v>0</v>
      </c>
    </row>
    <row r="912" spans="1:8" ht="12.6" customHeight="1">
      <c r="A912" s="1586"/>
      <c r="B912" s="1605"/>
      <c r="C912" s="1606"/>
      <c r="D912" s="2799"/>
      <c r="E912" s="2744"/>
      <c r="F912" s="1609"/>
      <c r="G912" s="1473"/>
      <c r="H912" s="1501" t="str">
        <f t="shared" si="17"/>
        <v/>
      </c>
    </row>
    <row r="913" spans="1:8">
      <c r="A913" s="2684">
        <f>$A$4</f>
        <v>19</v>
      </c>
      <c r="B913" s="2684">
        <v>7.8</v>
      </c>
      <c r="C913" s="1606"/>
      <c r="D913" s="2800" t="s">
        <v>2336</v>
      </c>
      <c r="E913" s="2744"/>
      <c r="F913" s="1609"/>
      <c r="G913" s="1475"/>
      <c r="H913" s="1501" t="str">
        <f t="shared" si="17"/>
        <v/>
      </c>
    </row>
    <row r="914" spans="1:8" ht="12.6" customHeight="1">
      <c r="A914" s="1586"/>
      <c r="B914" s="2684"/>
      <c r="C914" s="1606"/>
      <c r="D914" s="2800"/>
      <c r="E914" s="2744"/>
      <c r="F914" s="1609"/>
      <c r="G914" s="1475"/>
      <c r="H914" s="1501" t="str">
        <f t="shared" si="17"/>
        <v/>
      </c>
    </row>
    <row r="915" spans="1:8" ht="79.2">
      <c r="A915" s="1586"/>
      <c r="B915" s="1605" t="s">
        <v>2162</v>
      </c>
      <c r="C915" s="1606" t="s">
        <v>2337</v>
      </c>
      <c r="D915" s="2799" t="s">
        <v>2338</v>
      </c>
      <c r="E915" s="918" t="s">
        <v>691</v>
      </c>
      <c r="F915" s="1609">
        <v>1</v>
      </c>
      <c r="G915" s="1473"/>
      <c r="H915" s="1501">
        <f t="shared" si="17"/>
        <v>0</v>
      </c>
    </row>
    <row r="916" spans="1:8">
      <c r="A916" s="1586"/>
      <c r="B916" s="1605"/>
      <c r="C916" s="1606"/>
      <c r="D916" s="904"/>
      <c r="E916" s="2744"/>
      <c r="F916" s="1609"/>
      <c r="G916" s="1475"/>
      <c r="H916" s="1501" t="str">
        <f t="shared" si="17"/>
        <v/>
      </c>
    </row>
    <row r="917" spans="1:8" ht="66">
      <c r="A917" s="1586"/>
      <c r="B917" s="2699" t="s">
        <v>2164</v>
      </c>
      <c r="C917" s="1606" t="s">
        <v>2337</v>
      </c>
      <c r="D917" s="2799" t="s">
        <v>2339</v>
      </c>
      <c r="E917" s="2744" t="s">
        <v>691</v>
      </c>
      <c r="F917" s="1609">
        <v>2</v>
      </c>
      <c r="G917" s="1475"/>
      <c r="H917" s="1501">
        <f t="shared" si="17"/>
        <v>0</v>
      </c>
    </row>
    <row r="918" spans="1:8" ht="12.6" customHeight="1">
      <c r="A918" s="1586"/>
      <c r="B918" s="2801"/>
      <c r="C918" s="2770"/>
      <c r="D918" s="2799"/>
      <c r="E918" s="2683"/>
      <c r="F918" s="2789"/>
      <c r="G918" s="1473"/>
      <c r="H918" s="1501" t="str">
        <f t="shared" si="17"/>
        <v/>
      </c>
    </row>
    <row r="919" spans="1:8" ht="66">
      <c r="A919" s="1586"/>
      <c r="B919" s="2699" t="s">
        <v>2166</v>
      </c>
      <c r="C919" s="1606" t="s">
        <v>2337</v>
      </c>
      <c r="D919" s="2799" t="s">
        <v>2340</v>
      </c>
      <c r="E919" s="2744" t="s">
        <v>691</v>
      </c>
      <c r="F919" s="1609">
        <v>2</v>
      </c>
      <c r="G919" s="1475"/>
      <c r="H919" s="1501">
        <f t="shared" si="17"/>
        <v>0</v>
      </c>
    </row>
    <row r="920" spans="1:8" ht="12.6" customHeight="1">
      <c r="A920" s="1586"/>
      <c r="B920" s="2801"/>
      <c r="C920" s="2770"/>
      <c r="D920" s="2799"/>
      <c r="E920" s="2683"/>
      <c r="F920" s="2789"/>
      <c r="G920" s="1473"/>
      <c r="H920" s="1501" t="str">
        <f t="shared" si="17"/>
        <v/>
      </c>
    </row>
    <row r="921" spans="1:8" ht="66">
      <c r="A921" s="1586"/>
      <c r="B921" s="2699" t="s">
        <v>2168</v>
      </c>
      <c r="C921" s="1606" t="s">
        <v>2337</v>
      </c>
      <c r="D921" s="2799" t="s">
        <v>2341</v>
      </c>
      <c r="E921" s="2744" t="s">
        <v>691</v>
      </c>
      <c r="F921" s="1609">
        <v>1</v>
      </c>
      <c r="G921" s="1475"/>
      <c r="H921" s="1501">
        <f t="shared" si="17"/>
        <v>0</v>
      </c>
    </row>
    <row r="922" spans="1:8" ht="12.6" customHeight="1">
      <c r="A922" s="1586"/>
      <c r="B922" s="2801"/>
      <c r="C922" s="2770"/>
      <c r="D922" s="2799"/>
      <c r="E922" s="2683"/>
      <c r="F922" s="2789"/>
      <c r="G922" s="1475"/>
      <c r="H922" s="1501" t="str">
        <f t="shared" si="17"/>
        <v/>
      </c>
    </row>
    <row r="923" spans="1:8" ht="26.4">
      <c r="A923" s="2684">
        <f>$A$4</f>
        <v>19</v>
      </c>
      <c r="B923" s="2684">
        <v>7.9</v>
      </c>
      <c r="C923" s="1588"/>
      <c r="D923" s="2723" t="s">
        <v>2303</v>
      </c>
      <c r="E923" s="2782"/>
      <c r="F923" s="2782"/>
      <c r="G923" s="1473"/>
      <c r="H923" s="1501" t="str">
        <f t="shared" si="17"/>
        <v/>
      </c>
    </row>
    <row r="924" spans="1:8">
      <c r="A924" s="1586"/>
      <c r="B924" s="1587"/>
      <c r="C924" s="2783"/>
      <c r="D924" s="2725"/>
      <c r="E924" s="2782"/>
      <c r="F924" s="2784"/>
      <c r="G924" s="1473"/>
      <c r="H924" s="1501" t="str">
        <f t="shared" si="17"/>
        <v/>
      </c>
    </row>
    <row r="925" spans="1:8" ht="66">
      <c r="A925" s="1586"/>
      <c r="B925" s="1587" t="s">
        <v>2162</v>
      </c>
      <c r="C925" s="2783" t="s">
        <v>2304</v>
      </c>
      <c r="D925" s="1589" t="s">
        <v>2320</v>
      </c>
      <c r="E925" s="1591" t="s">
        <v>691</v>
      </c>
      <c r="F925" s="1591">
        <v>1</v>
      </c>
      <c r="G925" s="1473"/>
      <c r="H925" s="1501">
        <f t="shared" si="17"/>
        <v>0</v>
      </c>
    </row>
    <row r="926" spans="1:8">
      <c r="A926" s="1586"/>
      <c r="B926" s="1587"/>
      <c r="C926" s="1588"/>
      <c r="D926" s="1589"/>
      <c r="E926" s="1590"/>
      <c r="F926" s="1591"/>
      <c r="G926" s="1473"/>
      <c r="H926" s="1501" t="str">
        <f t="shared" si="17"/>
        <v/>
      </c>
    </row>
    <row r="927" spans="1:8" ht="12.6" customHeight="1">
      <c r="A927" s="2684">
        <f>$A$4</f>
        <v>19</v>
      </c>
      <c r="B927" s="2786">
        <v>7.1</v>
      </c>
      <c r="C927" s="1588"/>
      <c r="D927" s="2723" t="s">
        <v>2306</v>
      </c>
      <c r="E927" s="2782"/>
      <c r="F927" s="2782"/>
      <c r="G927" s="1473"/>
      <c r="H927" s="1501" t="str">
        <f t="shared" si="17"/>
        <v/>
      </c>
    </row>
    <row r="928" spans="1:8" ht="12.6" customHeight="1">
      <c r="A928" s="1586"/>
      <c r="B928" s="2684"/>
      <c r="C928" s="1588"/>
      <c r="D928" s="900"/>
      <c r="E928" s="2782"/>
      <c r="F928" s="2782"/>
      <c r="G928" s="1473"/>
      <c r="H928" s="1501" t="str">
        <f t="shared" si="17"/>
        <v/>
      </c>
    </row>
    <row r="929" spans="1:8" ht="26.4">
      <c r="A929" s="1586"/>
      <c r="B929" s="1587" t="s">
        <v>2162</v>
      </c>
      <c r="C929" s="1588" t="s">
        <v>2307</v>
      </c>
      <c r="D929" s="1589" t="s">
        <v>2342</v>
      </c>
      <c r="E929" s="1590" t="s">
        <v>691</v>
      </c>
      <c r="F929" s="1591">
        <v>3</v>
      </c>
      <c r="G929" s="1473"/>
      <c r="H929" s="1501">
        <f t="shared" si="17"/>
        <v>0</v>
      </c>
    </row>
    <row r="930" spans="1:8" ht="12.6" customHeight="1">
      <c r="A930" s="1586"/>
      <c r="B930" s="1587"/>
      <c r="C930" s="1588"/>
      <c r="D930" s="1589"/>
      <c r="E930" s="1590"/>
      <c r="F930" s="1591"/>
      <c r="G930" s="1473"/>
      <c r="H930" s="1501" t="str">
        <f t="shared" si="17"/>
        <v/>
      </c>
    </row>
    <row r="931" spans="1:8" ht="12.6" customHeight="1">
      <c r="A931" s="1586"/>
      <c r="B931" s="1587" t="s">
        <v>2164</v>
      </c>
      <c r="C931" s="1588" t="s">
        <v>2307</v>
      </c>
      <c r="D931" s="1589" t="s">
        <v>2239</v>
      </c>
      <c r="E931" s="1590" t="s">
        <v>691</v>
      </c>
      <c r="F931" s="1591">
        <v>3</v>
      </c>
      <c r="G931" s="1473"/>
      <c r="H931" s="1501">
        <f t="shared" si="17"/>
        <v>0</v>
      </c>
    </row>
    <row r="932" spans="1:8" ht="12.6" customHeight="1">
      <c r="A932" s="1586"/>
      <c r="B932" s="1587"/>
      <c r="C932" s="1588"/>
      <c r="D932" s="1589"/>
      <c r="E932" s="1590"/>
      <c r="F932" s="1591"/>
      <c r="G932" s="1473"/>
      <c r="H932" s="1501" t="str">
        <f t="shared" si="17"/>
        <v/>
      </c>
    </row>
    <row r="933" spans="1:8" ht="12.6" customHeight="1">
      <c r="A933" s="1586"/>
      <c r="B933" s="1587" t="s">
        <v>2166</v>
      </c>
      <c r="C933" s="1588" t="s">
        <v>2307</v>
      </c>
      <c r="D933" s="1589" t="s">
        <v>2310</v>
      </c>
      <c r="E933" s="1590" t="s">
        <v>691</v>
      </c>
      <c r="F933" s="1591">
        <v>9</v>
      </c>
      <c r="G933" s="1473"/>
      <c r="H933" s="1501">
        <f t="shared" si="17"/>
        <v>0</v>
      </c>
    </row>
    <row r="934" spans="1:8" ht="12.6" customHeight="1">
      <c r="A934" s="1586"/>
      <c r="B934" s="1587"/>
      <c r="C934" s="1588"/>
      <c r="D934" s="1589"/>
      <c r="E934" s="2726"/>
      <c r="F934" s="1597"/>
      <c r="G934" s="1473"/>
      <c r="H934" s="1501" t="str">
        <f t="shared" si="17"/>
        <v/>
      </c>
    </row>
    <row r="935" spans="1:8" ht="12.6" customHeight="1">
      <c r="A935" s="1586"/>
      <c r="B935" s="1587" t="s">
        <v>2168</v>
      </c>
      <c r="C935" s="1588" t="s">
        <v>2307</v>
      </c>
      <c r="D935" s="1589" t="s">
        <v>2239</v>
      </c>
      <c r="E935" s="1590" t="s">
        <v>691</v>
      </c>
      <c r="F935" s="1591">
        <v>9</v>
      </c>
      <c r="G935" s="1473"/>
      <c r="H935" s="1501">
        <f t="shared" si="17"/>
        <v>0</v>
      </c>
    </row>
    <row r="936" spans="1:8" ht="12.6" customHeight="1">
      <c r="A936" s="1586"/>
      <c r="B936" s="1605"/>
      <c r="C936" s="1606"/>
      <c r="D936" s="2788"/>
      <c r="E936" s="2683"/>
      <c r="F936" s="2789"/>
      <c r="G936" s="1473"/>
      <c r="H936" s="1501" t="str">
        <f t="shared" si="17"/>
        <v/>
      </c>
    </row>
    <row r="937" spans="1:8" ht="12.6" customHeight="1">
      <c r="A937" s="2684">
        <f>$A$4</f>
        <v>19</v>
      </c>
      <c r="B937" s="2684">
        <v>7.11</v>
      </c>
      <c r="C937" s="2770"/>
      <c r="D937" s="2802" t="s">
        <v>2343</v>
      </c>
      <c r="E937" s="2744"/>
      <c r="F937" s="1609"/>
      <c r="G937" s="1473"/>
      <c r="H937" s="1501" t="str">
        <f t="shared" si="17"/>
        <v/>
      </c>
    </row>
    <row r="938" spans="1:8" ht="12.6" customHeight="1">
      <c r="A938" s="1586"/>
      <c r="B938" s="2684"/>
      <c r="C938" s="2770"/>
      <c r="D938" s="2803"/>
      <c r="E938" s="918"/>
      <c r="F938" s="1609"/>
      <c r="G938" s="1473"/>
      <c r="H938" s="1501" t="str">
        <f t="shared" si="17"/>
        <v/>
      </c>
    </row>
    <row r="939" spans="1:8" ht="66">
      <c r="A939" s="1586"/>
      <c r="B939" s="1605" t="s">
        <v>2162</v>
      </c>
      <c r="C939" s="1606" t="s">
        <v>2172</v>
      </c>
      <c r="D939" s="2804" t="s">
        <v>2344</v>
      </c>
      <c r="E939" s="930" t="s">
        <v>691</v>
      </c>
      <c r="F939" s="1601">
        <v>2</v>
      </c>
      <c r="G939" s="1473"/>
      <c r="H939" s="1501">
        <f t="shared" si="17"/>
        <v>0</v>
      </c>
    </row>
    <row r="940" spans="1:8">
      <c r="A940" s="1586"/>
      <c r="B940" s="1605"/>
      <c r="C940" s="1606"/>
      <c r="D940" s="2804"/>
      <c r="E940" s="930"/>
      <c r="F940" s="1601"/>
      <c r="G940" s="1473"/>
      <c r="H940" s="1592"/>
    </row>
    <row r="941" spans="1:8">
      <c r="A941" s="1586"/>
      <c r="B941" s="1605"/>
      <c r="C941" s="1606"/>
      <c r="D941" s="2804"/>
      <c r="E941" s="930"/>
      <c r="F941" s="1601"/>
      <c r="G941" s="1473"/>
      <c r="H941" s="1592"/>
    </row>
    <row r="942" spans="1:8" ht="12.6" customHeight="1">
      <c r="A942" s="1586"/>
      <c r="B942" s="1605"/>
      <c r="C942" s="1606"/>
      <c r="D942" s="2805"/>
      <c r="E942" s="2744"/>
      <c r="F942" s="1609"/>
      <c r="G942" s="1473"/>
      <c r="H942" s="2747"/>
    </row>
    <row r="943" spans="1:8">
      <c r="A943" s="2333"/>
      <c r="B943" s="822"/>
      <c r="C943" s="1158"/>
      <c r="D943" s="840"/>
      <c r="E943" s="837"/>
      <c r="F943" s="838"/>
      <c r="G943" s="2748"/>
      <c r="H943" s="2749"/>
    </row>
    <row r="944" spans="1:8">
      <c r="A944" s="2336"/>
      <c r="B944" s="823"/>
      <c r="C944" s="1159"/>
      <c r="D944" s="774" t="s">
        <v>289</v>
      </c>
      <c r="E944" s="426"/>
      <c r="F944" s="24"/>
      <c r="G944" s="1477"/>
      <c r="H944" s="2750">
        <f>SUM(H895:H942)</f>
        <v>0</v>
      </c>
    </row>
    <row r="945" spans="1:8" ht="12.6" customHeight="1">
      <c r="A945" s="1586"/>
      <c r="B945" s="1271"/>
      <c r="C945" s="1155"/>
      <c r="D945" s="2751" t="s">
        <v>290</v>
      </c>
      <c r="E945" s="147"/>
      <c r="F945" s="1577"/>
      <c r="G945" s="1478"/>
      <c r="H945" s="922">
        <f>H944</f>
        <v>0</v>
      </c>
    </row>
    <row r="946" spans="1:8" ht="12.6" customHeight="1">
      <c r="A946" s="1586"/>
      <c r="B946" s="2780"/>
      <c r="C946" s="2770"/>
      <c r="D946" s="1595"/>
      <c r="E946" s="2744"/>
      <c r="F946" s="1609"/>
      <c r="G946" s="1473"/>
      <c r="H946" s="2747"/>
    </row>
    <row r="947" spans="1:8" ht="66">
      <c r="A947" s="1586"/>
      <c r="B947" s="1605" t="s">
        <v>2164</v>
      </c>
      <c r="C947" s="1606" t="s">
        <v>2172</v>
      </c>
      <c r="D947" s="2805" t="s">
        <v>2345</v>
      </c>
      <c r="E947" s="2737" t="s">
        <v>691</v>
      </c>
      <c r="F947" s="1601">
        <v>2</v>
      </c>
      <c r="G947" s="1473"/>
      <c r="H947" s="1501">
        <f t="shared" ref="H947:H1010" si="18">IF(E947="","",ROUND(F947*G947,2))</f>
        <v>0</v>
      </c>
    </row>
    <row r="948" spans="1:8" ht="12.6" customHeight="1">
      <c r="A948" s="1586"/>
      <c r="B948" s="1605"/>
      <c r="C948" s="1606"/>
      <c r="D948" s="2805"/>
      <c r="E948" s="2744"/>
      <c r="F948" s="1609"/>
      <c r="G948" s="1475"/>
      <c r="H948" s="1501" t="str">
        <f t="shared" si="18"/>
        <v/>
      </c>
    </row>
    <row r="949" spans="1:8" ht="12.6" customHeight="1">
      <c r="A949" s="2684">
        <f>$A$4</f>
        <v>19</v>
      </c>
      <c r="B949" s="2684">
        <v>8</v>
      </c>
      <c r="C949" s="2771"/>
      <c r="D949" s="2723" t="s">
        <v>2346</v>
      </c>
      <c r="E949" s="2772"/>
      <c r="F949" s="2772"/>
      <c r="G949" s="1480"/>
      <c r="H949" s="1501" t="str">
        <f t="shared" si="18"/>
        <v/>
      </c>
    </row>
    <row r="950" spans="1:8" ht="12.6" customHeight="1">
      <c r="A950" s="1586"/>
      <c r="B950" s="2772"/>
      <c r="C950" s="2771"/>
      <c r="D950" s="908"/>
      <c r="E950" s="2772"/>
      <c r="F950" s="2772"/>
      <c r="G950" s="1480"/>
      <c r="H950" s="1501" t="str">
        <f t="shared" si="18"/>
        <v/>
      </c>
    </row>
    <row r="951" spans="1:8" ht="12.6" customHeight="1">
      <c r="A951" s="2684">
        <f>$A$4</f>
        <v>19</v>
      </c>
      <c r="B951" s="2684">
        <v>8.1</v>
      </c>
      <c r="C951" s="1594"/>
      <c r="D951" s="2723" t="s">
        <v>2211</v>
      </c>
      <c r="E951" s="2732"/>
      <c r="F951" s="2733"/>
      <c r="G951" s="1480"/>
      <c r="H951" s="1501" t="str">
        <f t="shared" si="18"/>
        <v/>
      </c>
    </row>
    <row r="952" spans="1:8" ht="12.6" customHeight="1">
      <c r="A952" s="1586"/>
      <c r="B952" s="2684"/>
      <c r="C952" s="1594"/>
      <c r="D952" s="2723"/>
      <c r="E952" s="2732"/>
      <c r="F952" s="2733"/>
      <c r="G952" s="1480"/>
      <c r="H952" s="1501" t="str">
        <f t="shared" si="18"/>
        <v/>
      </c>
    </row>
    <row r="953" spans="1:8" ht="39.6">
      <c r="A953" s="1586"/>
      <c r="B953" s="1593"/>
      <c r="C953" s="1594"/>
      <c r="D953" s="1595" t="s">
        <v>2212</v>
      </c>
      <c r="E953" s="2732"/>
      <c r="F953" s="2733"/>
      <c r="G953" s="1480"/>
      <c r="H953" s="1501" t="str">
        <f t="shared" si="18"/>
        <v/>
      </c>
    </row>
    <row r="954" spans="1:8" ht="12.6" customHeight="1">
      <c r="A954" s="1586"/>
      <c r="B954" s="1593"/>
      <c r="C954" s="1594"/>
      <c r="D954" s="1589"/>
      <c r="E954" s="2734"/>
      <c r="F954" s="1597"/>
      <c r="G954" s="1480"/>
      <c r="H954" s="1501" t="str">
        <f t="shared" si="18"/>
        <v/>
      </c>
    </row>
    <row r="955" spans="1:8" ht="15.6">
      <c r="A955" s="1586"/>
      <c r="B955" s="1593" t="s">
        <v>2162</v>
      </c>
      <c r="C955" s="1594" t="s">
        <v>2175</v>
      </c>
      <c r="D955" s="1589" t="s">
        <v>2277</v>
      </c>
      <c r="E955" s="2734" t="s">
        <v>561</v>
      </c>
      <c r="F955" s="1597">
        <v>1745</v>
      </c>
      <c r="G955" s="1480"/>
      <c r="H955" s="1501">
        <f t="shared" si="18"/>
        <v>0</v>
      </c>
    </row>
    <row r="956" spans="1:8" ht="12.6" customHeight="1">
      <c r="A956" s="1586"/>
      <c r="B956" s="1593"/>
      <c r="C956" s="1594"/>
      <c r="D956" s="2746"/>
      <c r="E956" s="2734"/>
      <c r="F956" s="1597"/>
      <c r="G956" s="1480"/>
      <c r="H956" s="1501" t="str">
        <f t="shared" si="18"/>
        <v/>
      </c>
    </row>
    <row r="957" spans="1:8" ht="15.6">
      <c r="A957" s="1586"/>
      <c r="B957" s="1593" t="s">
        <v>2164</v>
      </c>
      <c r="C957" s="1594" t="s">
        <v>2175</v>
      </c>
      <c r="D957" s="1589" t="s">
        <v>2278</v>
      </c>
      <c r="E957" s="2734" t="s">
        <v>561</v>
      </c>
      <c r="F957" s="1597">
        <v>360</v>
      </c>
      <c r="G957" s="1480"/>
      <c r="H957" s="1501">
        <f t="shared" si="18"/>
        <v>0</v>
      </c>
    </row>
    <row r="958" spans="1:8" ht="12.6" customHeight="1">
      <c r="A958" s="1586"/>
      <c r="B958" s="1593"/>
      <c r="C958" s="1594"/>
      <c r="D958" s="1589"/>
      <c r="E958" s="2734"/>
      <c r="F958" s="1597"/>
      <c r="G958" s="1480"/>
      <c r="H958" s="1501" t="str">
        <f t="shared" si="18"/>
        <v/>
      </c>
    </row>
    <row r="959" spans="1:8" ht="15.6">
      <c r="A959" s="1586"/>
      <c r="B959" s="1593" t="s">
        <v>2166</v>
      </c>
      <c r="C959" s="1594" t="s">
        <v>2175</v>
      </c>
      <c r="D959" s="1589" t="s">
        <v>2279</v>
      </c>
      <c r="E959" s="2734" t="s">
        <v>561</v>
      </c>
      <c r="F959" s="1597">
        <v>400</v>
      </c>
      <c r="G959" s="1480"/>
      <c r="H959" s="1501">
        <f t="shared" si="18"/>
        <v>0</v>
      </c>
    </row>
    <row r="960" spans="1:8" ht="12.6" customHeight="1">
      <c r="A960" s="1586"/>
      <c r="B960" s="1593"/>
      <c r="C960" s="1594"/>
      <c r="D960" s="1589"/>
      <c r="E960" s="2734"/>
      <c r="F960" s="1597"/>
      <c r="G960" s="1480"/>
      <c r="H960" s="1501" t="str">
        <f t="shared" si="18"/>
        <v/>
      </c>
    </row>
    <row r="961" spans="1:8" ht="15.6">
      <c r="A961" s="1586"/>
      <c r="B961" s="1593" t="s">
        <v>2168</v>
      </c>
      <c r="C961" s="1594" t="s">
        <v>2175</v>
      </c>
      <c r="D961" s="1589" t="s">
        <v>2280</v>
      </c>
      <c r="E961" s="2734" t="s">
        <v>561</v>
      </c>
      <c r="F961" s="1597">
        <v>300</v>
      </c>
      <c r="G961" s="1480"/>
      <c r="H961" s="1501">
        <f t="shared" si="18"/>
        <v>0</v>
      </c>
    </row>
    <row r="962" spans="1:8" ht="12.6" customHeight="1">
      <c r="A962" s="1586"/>
      <c r="B962" s="1593"/>
      <c r="C962" s="1594"/>
      <c r="D962" s="1589"/>
      <c r="E962" s="2734"/>
      <c r="F962" s="1597"/>
      <c r="G962" s="1480"/>
      <c r="H962" s="1501" t="str">
        <f t="shared" si="18"/>
        <v/>
      </c>
    </row>
    <row r="963" spans="1:8" ht="15.6">
      <c r="A963" s="1586"/>
      <c r="B963" s="1593" t="s">
        <v>2171</v>
      </c>
      <c r="C963" s="1594" t="s">
        <v>2175</v>
      </c>
      <c r="D963" s="1589" t="s">
        <v>2281</v>
      </c>
      <c r="E963" s="2734" t="s">
        <v>561</v>
      </c>
      <c r="F963" s="1597">
        <v>100</v>
      </c>
      <c r="G963" s="1480"/>
      <c r="H963" s="1501">
        <f t="shared" si="18"/>
        <v>0</v>
      </c>
    </row>
    <row r="964" spans="1:8" ht="12.6" customHeight="1">
      <c r="A964" s="1586"/>
      <c r="B964" s="1593"/>
      <c r="C964" s="1594"/>
      <c r="D964" s="1589"/>
      <c r="E964" s="2734"/>
      <c r="F964" s="1597"/>
      <c r="G964" s="1480"/>
      <c r="H964" s="1501" t="str">
        <f t="shared" si="18"/>
        <v/>
      </c>
    </row>
    <row r="965" spans="1:8" ht="15.6">
      <c r="A965" s="1586"/>
      <c r="B965" s="1593" t="s">
        <v>2174</v>
      </c>
      <c r="C965" s="1594" t="s">
        <v>2175</v>
      </c>
      <c r="D965" s="1589" t="s">
        <v>2282</v>
      </c>
      <c r="E965" s="2734" t="s">
        <v>561</v>
      </c>
      <c r="F965" s="1604">
        <v>1260</v>
      </c>
      <c r="G965" s="1480"/>
      <c r="H965" s="1501">
        <f t="shared" si="18"/>
        <v>0</v>
      </c>
    </row>
    <row r="966" spans="1:8" ht="12.6" customHeight="1">
      <c r="A966" s="1586"/>
      <c r="B966" s="1593"/>
      <c r="C966" s="1594"/>
      <c r="D966" s="2746"/>
      <c r="E966" s="2734"/>
      <c r="F966" s="1597"/>
      <c r="G966" s="1480"/>
      <c r="H966" s="1501" t="str">
        <f t="shared" si="18"/>
        <v/>
      </c>
    </row>
    <row r="967" spans="1:8" ht="15.6">
      <c r="A967" s="1586"/>
      <c r="B967" s="1593" t="s">
        <v>2178</v>
      </c>
      <c r="C967" s="1594" t="s">
        <v>2175</v>
      </c>
      <c r="D967" s="1589" t="s">
        <v>2283</v>
      </c>
      <c r="E967" s="2734" t="s">
        <v>561</v>
      </c>
      <c r="F967" s="1604">
        <v>600</v>
      </c>
      <c r="G967" s="1480"/>
      <c r="H967" s="1501">
        <f t="shared" si="18"/>
        <v>0</v>
      </c>
    </row>
    <row r="968" spans="1:8" ht="12.6" customHeight="1">
      <c r="A968" s="1586"/>
      <c r="B968" s="1593"/>
      <c r="C968" s="1594"/>
      <c r="D968" s="2746"/>
      <c r="E968" s="2734"/>
      <c r="F968" s="1604"/>
      <c r="G968" s="1480"/>
      <c r="H968" s="1501" t="str">
        <f t="shared" si="18"/>
        <v/>
      </c>
    </row>
    <row r="969" spans="1:8" ht="15.6">
      <c r="A969" s="1586"/>
      <c r="B969" s="1593" t="s">
        <v>2180</v>
      </c>
      <c r="C969" s="1594" t="s">
        <v>2175</v>
      </c>
      <c r="D969" s="1589" t="s">
        <v>2284</v>
      </c>
      <c r="E969" s="2734" t="s">
        <v>561</v>
      </c>
      <c r="F969" s="1604">
        <v>1305</v>
      </c>
      <c r="G969" s="1480"/>
      <c r="H969" s="1501">
        <f t="shared" si="18"/>
        <v>0</v>
      </c>
    </row>
    <row r="970" spans="1:8" ht="12.6" customHeight="1">
      <c r="A970" s="1586"/>
      <c r="B970" s="1593"/>
      <c r="C970" s="1594"/>
      <c r="D970" s="2746"/>
      <c r="E970" s="2734"/>
      <c r="F970" s="1597"/>
      <c r="G970" s="1480"/>
      <c r="H970" s="1501" t="str">
        <f t="shared" si="18"/>
        <v/>
      </c>
    </row>
    <row r="971" spans="1:8" ht="12.6" customHeight="1">
      <c r="A971" s="2684">
        <f>$A$4</f>
        <v>19</v>
      </c>
      <c r="B971" s="2684">
        <v>8.1999999999999993</v>
      </c>
      <c r="C971" s="1594"/>
      <c r="D971" s="2723" t="s">
        <v>2216</v>
      </c>
      <c r="E971" s="2732"/>
      <c r="F971" s="1604"/>
      <c r="G971" s="1480"/>
      <c r="H971" s="1501" t="str">
        <f t="shared" si="18"/>
        <v/>
      </c>
    </row>
    <row r="972" spans="1:8" ht="12.6" customHeight="1">
      <c r="A972" s="1586"/>
      <c r="B972" s="2684"/>
      <c r="C972" s="1594"/>
      <c r="D972" s="2722"/>
      <c r="E972" s="2732"/>
      <c r="F972" s="1604"/>
      <c r="G972" s="1480"/>
      <c r="H972" s="1501" t="str">
        <f t="shared" si="18"/>
        <v/>
      </c>
    </row>
    <row r="973" spans="1:8" ht="26.4">
      <c r="A973" s="1586"/>
      <c r="B973" s="1593"/>
      <c r="C973" s="1594"/>
      <c r="D973" s="1595" t="s">
        <v>2197</v>
      </c>
      <c r="E973" s="2732"/>
      <c r="F973" s="1597"/>
      <c r="G973" s="1480"/>
      <c r="H973" s="1501" t="str">
        <f t="shared" si="18"/>
        <v/>
      </c>
    </row>
    <row r="974" spans="1:8" ht="12.6" customHeight="1">
      <c r="A974" s="1586"/>
      <c r="B974" s="1593"/>
      <c r="C974" s="1594"/>
      <c r="D974" s="904"/>
      <c r="E974" s="2732"/>
      <c r="F974" s="931"/>
      <c r="G974" s="1480"/>
      <c r="H974" s="1501" t="str">
        <f t="shared" si="18"/>
        <v/>
      </c>
    </row>
    <row r="975" spans="1:8" ht="15.6">
      <c r="A975" s="1586"/>
      <c r="B975" s="1593" t="s">
        <v>2162</v>
      </c>
      <c r="C975" s="1594" t="s">
        <v>2175</v>
      </c>
      <c r="D975" s="1589" t="s">
        <v>2277</v>
      </c>
      <c r="E975" s="2734" t="s">
        <v>691</v>
      </c>
      <c r="F975" s="932">
        <v>24</v>
      </c>
      <c r="G975" s="1480"/>
      <c r="H975" s="1501">
        <f t="shared" si="18"/>
        <v>0</v>
      </c>
    </row>
    <row r="976" spans="1:8" ht="12.6" customHeight="1">
      <c r="A976" s="1586"/>
      <c r="B976" s="1593"/>
      <c r="C976" s="1594"/>
      <c r="D976" s="2746"/>
      <c r="E976" s="2734"/>
      <c r="F976" s="932"/>
      <c r="G976" s="1480"/>
      <c r="H976" s="1501" t="str">
        <f t="shared" si="18"/>
        <v/>
      </c>
    </row>
    <row r="977" spans="1:11" ht="15.6">
      <c r="A977" s="1586"/>
      <c r="B977" s="1593" t="s">
        <v>2164</v>
      </c>
      <c r="C977" s="1594" t="s">
        <v>2175</v>
      </c>
      <c r="D977" s="1589" t="s">
        <v>2278</v>
      </c>
      <c r="E977" s="2734" t="s">
        <v>691</v>
      </c>
      <c r="F977" s="932">
        <v>24</v>
      </c>
      <c r="G977" s="1480"/>
      <c r="H977" s="1501">
        <f t="shared" si="18"/>
        <v>0</v>
      </c>
    </row>
    <row r="978" spans="1:11" ht="12.6" customHeight="1">
      <c r="A978" s="1586"/>
      <c r="B978" s="1593"/>
      <c r="C978" s="1594"/>
      <c r="D978" s="1589"/>
      <c r="E978" s="2734"/>
      <c r="F978" s="932"/>
      <c r="G978" s="1480"/>
      <c r="H978" s="1501" t="str">
        <f t="shared" si="18"/>
        <v/>
      </c>
      <c r="K978" s="776"/>
    </row>
    <row r="979" spans="1:11" ht="15.6">
      <c r="A979" s="1586"/>
      <c r="B979" s="1593" t="s">
        <v>2166</v>
      </c>
      <c r="C979" s="1594" t="s">
        <v>2175</v>
      </c>
      <c r="D979" s="1589" t="s">
        <v>2279</v>
      </c>
      <c r="E979" s="2734" t="s">
        <v>691</v>
      </c>
      <c r="F979" s="932">
        <v>10</v>
      </c>
      <c r="G979" s="1480"/>
      <c r="H979" s="1501">
        <f t="shared" si="18"/>
        <v>0</v>
      </c>
    </row>
    <row r="980" spans="1:11" ht="12.6" customHeight="1">
      <c r="A980" s="1586"/>
      <c r="B980" s="1593"/>
      <c r="C980" s="1594"/>
      <c r="D980" s="1589"/>
      <c r="E980" s="2734"/>
      <c r="F980" s="1597"/>
      <c r="G980" s="1480"/>
      <c r="H980" s="1501" t="str">
        <f t="shared" si="18"/>
        <v/>
      </c>
    </row>
    <row r="981" spans="1:11" ht="15.6">
      <c r="A981" s="1586"/>
      <c r="B981" s="1593" t="s">
        <v>2168</v>
      </c>
      <c r="C981" s="1594" t="s">
        <v>2175</v>
      </c>
      <c r="D981" s="1589" t="s">
        <v>2280</v>
      </c>
      <c r="E981" s="2734" t="s">
        <v>691</v>
      </c>
      <c r="F981" s="1597">
        <v>6</v>
      </c>
      <c r="G981" s="1480"/>
      <c r="H981" s="1501">
        <f t="shared" si="18"/>
        <v>0</v>
      </c>
    </row>
    <row r="982" spans="1:11" ht="12.6" customHeight="1">
      <c r="A982" s="1586"/>
      <c r="B982" s="1593"/>
      <c r="C982" s="1594"/>
      <c r="D982" s="1589"/>
      <c r="E982" s="2734"/>
      <c r="F982" s="1597"/>
      <c r="G982" s="1480"/>
      <c r="H982" s="1501" t="str">
        <f t="shared" si="18"/>
        <v/>
      </c>
    </row>
    <row r="983" spans="1:11" ht="15.6">
      <c r="A983" s="1586"/>
      <c r="B983" s="1593" t="s">
        <v>2171</v>
      </c>
      <c r="C983" s="1594" t="s">
        <v>2175</v>
      </c>
      <c r="D983" s="1589" t="s">
        <v>2281</v>
      </c>
      <c r="E983" s="2734" t="s">
        <v>691</v>
      </c>
      <c r="F983" s="1597">
        <v>6</v>
      </c>
      <c r="G983" s="1480"/>
      <c r="H983" s="1501">
        <f t="shared" si="18"/>
        <v>0</v>
      </c>
    </row>
    <row r="984" spans="1:11" ht="12.6" customHeight="1">
      <c r="A984" s="1586"/>
      <c r="B984" s="1593"/>
      <c r="C984" s="1594"/>
      <c r="D984" s="1589"/>
      <c r="E984" s="2734"/>
      <c r="F984" s="1597"/>
      <c r="G984" s="1480"/>
      <c r="H984" s="1501" t="str">
        <f t="shared" si="18"/>
        <v/>
      </c>
    </row>
    <row r="985" spans="1:11" ht="15.6">
      <c r="A985" s="1586"/>
      <c r="B985" s="1593" t="s">
        <v>2174</v>
      </c>
      <c r="C985" s="1594" t="s">
        <v>2175</v>
      </c>
      <c r="D985" s="1589" t="s">
        <v>2282</v>
      </c>
      <c r="E985" s="2734" t="s">
        <v>691</v>
      </c>
      <c r="F985" s="1597">
        <v>18</v>
      </c>
      <c r="G985" s="1480"/>
      <c r="H985" s="1501">
        <f t="shared" si="18"/>
        <v>0</v>
      </c>
    </row>
    <row r="986" spans="1:11" ht="12.6" customHeight="1">
      <c r="A986" s="1586"/>
      <c r="B986" s="1593"/>
      <c r="C986" s="1594"/>
      <c r="D986" s="2746"/>
      <c r="E986" s="2734"/>
      <c r="F986" s="1604"/>
      <c r="G986" s="1480"/>
      <c r="H986" s="1501" t="str">
        <f t="shared" si="18"/>
        <v/>
      </c>
    </row>
    <row r="987" spans="1:11" ht="15.6">
      <c r="A987" s="1586"/>
      <c r="B987" s="1593" t="s">
        <v>2178</v>
      </c>
      <c r="C987" s="1594" t="s">
        <v>2175</v>
      </c>
      <c r="D987" s="1589" t="s">
        <v>2283</v>
      </c>
      <c r="E987" s="2734" t="s">
        <v>691</v>
      </c>
      <c r="F987" s="1604">
        <v>10</v>
      </c>
      <c r="G987" s="1480"/>
      <c r="H987" s="1501">
        <f t="shared" si="18"/>
        <v>0</v>
      </c>
    </row>
    <row r="988" spans="1:11" ht="12.6" customHeight="1">
      <c r="A988" s="1586"/>
      <c r="B988" s="1593"/>
      <c r="C988" s="1594"/>
      <c r="D988" s="2746"/>
      <c r="E988" s="2734"/>
      <c r="F988" s="1604"/>
      <c r="G988" s="1480"/>
      <c r="H988" s="1501" t="str">
        <f t="shared" si="18"/>
        <v/>
      </c>
    </row>
    <row r="989" spans="1:11" ht="15.6">
      <c r="A989" s="1586"/>
      <c r="B989" s="1593" t="s">
        <v>2180</v>
      </c>
      <c r="C989" s="1594" t="s">
        <v>2175</v>
      </c>
      <c r="D989" s="1589" t="s">
        <v>2284</v>
      </c>
      <c r="E989" s="2734" t="s">
        <v>691</v>
      </c>
      <c r="F989" s="1604">
        <v>36</v>
      </c>
      <c r="G989" s="1480"/>
      <c r="H989" s="1501">
        <f t="shared" si="18"/>
        <v>0</v>
      </c>
    </row>
    <row r="990" spans="1:11" ht="12.6" customHeight="1">
      <c r="A990" s="1586"/>
      <c r="B990" s="1271"/>
      <c r="C990" s="1155"/>
      <c r="D990" s="2751"/>
      <c r="E990" s="147"/>
      <c r="F990" s="1577"/>
      <c r="G990" s="1478"/>
      <c r="H990" s="1501" t="str">
        <f t="shared" si="18"/>
        <v/>
      </c>
    </row>
    <row r="991" spans="1:11">
      <c r="A991" s="2684">
        <f>$A$4</f>
        <v>19</v>
      </c>
      <c r="B991" s="2684">
        <v>8.3000000000000007</v>
      </c>
      <c r="C991" s="1603"/>
      <c r="D991" s="2725" t="s">
        <v>2234</v>
      </c>
      <c r="E991" s="2764"/>
      <c r="F991" s="2765"/>
      <c r="G991" s="1480"/>
      <c r="H991" s="1501" t="str">
        <f t="shared" si="18"/>
        <v/>
      </c>
    </row>
    <row r="992" spans="1:11" ht="12.6" customHeight="1">
      <c r="A992" s="1586"/>
      <c r="B992" s="2684"/>
      <c r="C992" s="1603"/>
      <c r="D992" s="2745"/>
      <c r="E992" s="2764"/>
      <c r="F992" s="2765"/>
      <c r="G992" s="1480"/>
      <c r="H992" s="1501" t="str">
        <f t="shared" si="18"/>
        <v/>
      </c>
    </row>
    <row r="993" spans="1:11" ht="39.6">
      <c r="A993" s="1586"/>
      <c r="B993" s="2697"/>
      <c r="C993" s="1606"/>
      <c r="D993" s="1589" t="s">
        <v>2235</v>
      </c>
      <c r="E993" s="2766"/>
      <c r="F993" s="2767"/>
      <c r="G993" s="1480"/>
      <c r="H993" s="1501" t="str">
        <f t="shared" si="18"/>
        <v/>
      </c>
    </row>
    <row r="994" spans="1:11">
      <c r="A994" s="1586"/>
      <c r="B994" s="1605"/>
      <c r="C994" s="1606"/>
      <c r="D994" s="1589"/>
      <c r="E994" s="921"/>
      <c r="F994" s="1607"/>
      <c r="G994" s="1480"/>
      <c r="H994" s="1501" t="str">
        <f t="shared" si="18"/>
        <v/>
      </c>
    </row>
    <row r="995" spans="1:11" ht="15.6">
      <c r="A995" s="1586"/>
      <c r="B995" s="1605" t="s">
        <v>2162</v>
      </c>
      <c r="C995" s="1594" t="s">
        <v>2175</v>
      </c>
      <c r="D995" s="1589" t="s">
        <v>2285</v>
      </c>
      <c r="E995" s="2744" t="s">
        <v>691</v>
      </c>
      <c r="F995" s="1609">
        <v>10</v>
      </c>
      <c r="G995" s="1480"/>
      <c r="H995" s="1501">
        <f t="shared" si="18"/>
        <v>0</v>
      </c>
    </row>
    <row r="996" spans="1:11" ht="12.6" customHeight="1">
      <c r="A996" s="1586"/>
      <c r="B996" s="1605"/>
      <c r="C996" s="1606"/>
      <c r="D996" s="1589"/>
      <c r="E996" s="2744"/>
      <c r="F996" s="1609"/>
      <c r="G996" s="1480"/>
      <c r="H996" s="1501" t="str">
        <f t="shared" si="18"/>
        <v/>
      </c>
    </row>
    <row r="997" spans="1:11" ht="15.6">
      <c r="A997" s="1586"/>
      <c r="B997" s="1605" t="s">
        <v>2164</v>
      </c>
      <c r="C997" s="1594" t="s">
        <v>2175</v>
      </c>
      <c r="D997" s="1589" t="s">
        <v>2286</v>
      </c>
      <c r="E997" s="2744" t="s">
        <v>691</v>
      </c>
      <c r="F997" s="1609">
        <v>10</v>
      </c>
      <c r="G997" s="1480"/>
      <c r="H997" s="1501">
        <f t="shared" si="18"/>
        <v>0</v>
      </c>
    </row>
    <row r="998" spans="1:11" ht="12.6" customHeight="1">
      <c r="A998" s="1586"/>
      <c r="B998" s="1605"/>
      <c r="C998" s="1606"/>
      <c r="D998" s="1589"/>
      <c r="E998" s="2744"/>
      <c r="F998" s="1609"/>
      <c r="G998" s="1480"/>
      <c r="H998" s="1501" t="str">
        <f t="shared" si="18"/>
        <v/>
      </c>
    </row>
    <row r="999" spans="1:11" ht="15.6">
      <c r="A999" s="1586"/>
      <c r="B999" s="1605" t="s">
        <v>2166</v>
      </c>
      <c r="C999" s="1594" t="s">
        <v>2175</v>
      </c>
      <c r="D999" s="1589" t="s">
        <v>2287</v>
      </c>
      <c r="E999" s="2744" t="s">
        <v>691</v>
      </c>
      <c r="F999" s="1609">
        <v>2</v>
      </c>
      <c r="G999" s="1480"/>
      <c r="H999" s="1501">
        <f t="shared" si="18"/>
        <v>0</v>
      </c>
    </row>
    <row r="1000" spans="1:11" ht="12.6" customHeight="1">
      <c r="A1000" s="1586"/>
      <c r="B1000" s="1605"/>
      <c r="C1000" s="1606"/>
      <c r="D1000" s="1589"/>
      <c r="E1000" s="2744"/>
      <c r="F1000" s="1609"/>
      <c r="G1000" s="1480"/>
      <c r="H1000" s="1501" t="str">
        <f t="shared" si="18"/>
        <v/>
      </c>
    </row>
    <row r="1001" spans="1:11" ht="15.6">
      <c r="A1001" s="1586"/>
      <c r="B1001" s="1605" t="s">
        <v>2168</v>
      </c>
      <c r="C1001" s="1594" t="s">
        <v>2175</v>
      </c>
      <c r="D1001" s="1589" t="s">
        <v>2288</v>
      </c>
      <c r="E1001" s="2744" t="s">
        <v>691</v>
      </c>
      <c r="F1001" s="1609">
        <v>2</v>
      </c>
      <c r="G1001" s="1480"/>
      <c r="H1001" s="1501">
        <f t="shared" si="18"/>
        <v>0</v>
      </c>
    </row>
    <row r="1002" spans="1:11" ht="12.6" customHeight="1">
      <c r="A1002" s="1586"/>
      <c r="B1002" s="1593"/>
      <c r="C1002" s="1594"/>
      <c r="D1002" s="2722"/>
      <c r="E1002" s="2732"/>
      <c r="F1002" s="2735"/>
      <c r="G1002" s="1480"/>
      <c r="H1002" s="1501" t="str">
        <f t="shared" si="18"/>
        <v/>
      </c>
    </row>
    <row r="1003" spans="1:11">
      <c r="A1003" s="2684">
        <f>$A$4</f>
        <v>19</v>
      </c>
      <c r="B1003" s="2684">
        <v>8.4</v>
      </c>
      <c r="C1003" s="1594"/>
      <c r="D1003" s="2723" t="s">
        <v>2220</v>
      </c>
      <c r="E1003" s="2732"/>
      <c r="F1003" s="2735"/>
      <c r="G1003" s="1480"/>
      <c r="H1003" s="1501" t="str">
        <f t="shared" si="18"/>
        <v/>
      </c>
      <c r="K1003" s="776"/>
    </row>
    <row r="1004" spans="1:11" ht="12.6" customHeight="1">
      <c r="A1004" s="1586"/>
      <c r="B1004" s="2684"/>
      <c r="C1004" s="1594"/>
      <c r="D1004" s="2722"/>
      <c r="E1004" s="2732"/>
      <c r="F1004" s="2735"/>
      <c r="G1004" s="1480"/>
      <c r="H1004" s="1501" t="str">
        <f t="shared" si="18"/>
        <v/>
      </c>
      <c r="K1004" s="776"/>
    </row>
    <row r="1005" spans="1:11" ht="16.2">
      <c r="A1005" s="1586"/>
      <c r="B1005" s="1593" t="s">
        <v>2162</v>
      </c>
      <c r="C1005" s="1594" t="s">
        <v>2221</v>
      </c>
      <c r="D1005" s="1595" t="s">
        <v>2222</v>
      </c>
      <c r="E1005" s="2762" t="s">
        <v>631</v>
      </c>
      <c r="F1005" s="2719">
        <v>74.399999999999991</v>
      </c>
      <c r="G1005" s="1480"/>
      <c r="H1005" s="1501">
        <f t="shared" si="18"/>
        <v>0</v>
      </c>
      <c r="K1005" s="776"/>
    </row>
    <row r="1006" spans="1:11" ht="12.6" customHeight="1">
      <c r="A1006" s="1586"/>
      <c r="B1006" s="1593"/>
      <c r="C1006" s="1594"/>
      <c r="D1006" s="1595"/>
      <c r="E1006" s="2762"/>
      <c r="F1006" s="2719"/>
      <c r="G1006" s="1480"/>
      <c r="H1006" s="1501" t="str">
        <f t="shared" si="18"/>
        <v/>
      </c>
      <c r="K1006" s="776"/>
    </row>
    <row r="1007" spans="1:11" ht="16.2">
      <c r="A1007" s="1586"/>
      <c r="B1007" s="1604" t="s">
        <v>2164</v>
      </c>
      <c r="C1007" s="1594" t="s">
        <v>2221</v>
      </c>
      <c r="D1007" s="1595" t="s">
        <v>2223</v>
      </c>
      <c r="E1007" s="2762" t="s">
        <v>631</v>
      </c>
      <c r="F1007" s="2719">
        <v>74.399999999999991</v>
      </c>
      <c r="G1007" s="1480"/>
      <c r="H1007" s="1501">
        <f t="shared" si="18"/>
        <v>0</v>
      </c>
    </row>
    <row r="1008" spans="1:11" ht="12.6" customHeight="1">
      <c r="A1008" s="1586"/>
      <c r="B1008" s="1593"/>
      <c r="C1008" s="1594"/>
      <c r="D1008" s="2722"/>
      <c r="E1008" s="1596"/>
      <c r="F1008" s="2763"/>
      <c r="G1008" s="1480"/>
      <c r="H1008" s="1501" t="str">
        <f t="shared" si="18"/>
        <v/>
      </c>
    </row>
    <row r="1009" spans="1:11">
      <c r="A1009" s="2684">
        <f>$A$4</f>
        <v>19</v>
      </c>
      <c r="B1009" s="2684">
        <v>8.5</v>
      </c>
      <c r="C1009" s="1594"/>
      <c r="D1009" s="2723" t="s">
        <v>2224</v>
      </c>
      <c r="E1009" s="1596"/>
      <c r="F1009" s="2763"/>
      <c r="G1009" s="1480"/>
      <c r="H1009" s="1501" t="str">
        <f t="shared" si="18"/>
        <v/>
      </c>
    </row>
    <row r="1010" spans="1:11" ht="12.6" customHeight="1">
      <c r="A1010" s="1586"/>
      <c r="B1010" s="2684"/>
      <c r="C1010" s="1594"/>
      <c r="D1010" s="2723"/>
      <c r="E1010" s="1596"/>
      <c r="F1010" s="2763"/>
      <c r="G1010" s="1480"/>
      <c r="H1010" s="1501" t="str">
        <f t="shared" si="18"/>
        <v/>
      </c>
    </row>
    <row r="1011" spans="1:11">
      <c r="A1011" s="1586"/>
      <c r="B1011" s="1593" t="s">
        <v>2162</v>
      </c>
      <c r="C1011" s="1594" t="s">
        <v>2225</v>
      </c>
      <c r="D1011" s="1595" t="s">
        <v>2289</v>
      </c>
      <c r="E1011" s="1596" t="s">
        <v>691</v>
      </c>
      <c r="F1011" s="1604">
        <v>18</v>
      </c>
      <c r="G1011" s="1480"/>
      <c r="H1011" s="1501">
        <f t="shared" ref="H1011:H1012" si="19">IF(E1011="","",ROUND(F1011*G1011,2))</f>
        <v>0</v>
      </c>
    </row>
    <row r="1012" spans="1:11">
      <c r="A1012" s="1586"/>
      <c r="B1012" s="1593"/>
      <c r="C1012" s="1594"/>
      <c r="D1012" s="1595"/>
      <c r="E1012" s="1596"/>
      <c r="F1012" s="1604"/>
      <c r="G1012" s="1480"/>
      <c r="H1012" s="1501" t="str">
        <f t="shared" si="19"/>
        <v/>
      </c>
    </row>
    <row r="1013" spans="1:11">
      <c r="A1013" s="1586"/>
      <c r="B1013" s="1593"/>
      <c r="C1013" s="1594"/>
      <c r="D1013" s="1595"/>
      <c r="E1013" s="1596"/>
      <c r="F1013" s="1604"/>
      <c r="G1013" s="1480"/>
      <c r="H1013" s="1592"/>
    </row>
    <row r="1014" spans="1:11" ht="12.6" customHeight="1">
      <c r="A1014" s="1586"/>
      <c r="B1014" s="1271"/>
      <c r="C1014" s="1792"/>
      <c r="D1014" s="2647"/>
      <c r="E1014" s="882"/>
      <c r="F1014" s="1577"/>
      <c r="G1014" s="1476"/>
      <c r="H1014" s="902"/>
    </row>
    <row r="1015" spans="1:11">
      <c r="A1015" s="2333"/>
      <c r="B1015" s="822"/>
      <c r="C1015" s="1158"/>
      <c r="D1015" s="840"/>
      <c r="E1015" s="837"/>
      <c r="F1015" s="838"/>
      <c r="G1015" s="2748"/>
      <c r="H1015" s="2749"/>
    </row>
    <row r="1016" spans="1:11">
      <c r="A1016" s="2336"/>
      <c r="B1016" s="823"/>
      <c r="C1016" s="1159"/>
      <c r="D1016" s="774" t="s">
        <v>289</v>
      </c>
      <c r="E1016" s="426"/>
      <c r="F1016" s="24"/>
      <c r="G1016" s="1477"/>
      <c r="H1016" s="2750">
        <f>SUM(H945:H1014)</f>
        <v>0</v>
      </c>
      <c r="K1016" s="776"/>
    </row>
    <row r="1017" spans="1:11" ht="12.6" customHeight="1">
      <c r="A1017" s="1586"/>
      <c r="B1017" s="1271"/>
      <c r="C1017" s="1155"/>
      <c r="D1017" s="2751" t="s">
        <v>290</v>
      </c>
      <c r="E1017" s="147"/>
      <c r="F1017" s="1577"/>
      <c r="G1017" s="1478"/>
      <c r="H1017" s="922">
        <f>H1016</f>
        <v>0</v>
      </c>
      <c r="K1017" s="776"/>
    </row>
    <row r="1018" spans="1:11" ht="12.6" customHeight="1">
      <c r="A1018" s="1586"/>
      <c r="B1018" s="2684"/>
      <c r="C1018" s="1594"/>
      <c r="D1018" s="2723"/>
      <c r="E1018" s="1596"/>
      <c r="F1018" s="2673"/>
      <c r="G1018" s="1480"/>
      <c r="H1018" s="2790"/>
    </row>
    <row r="1019" spans="1:11">
      <c r="A1019" s="2684">
        <f>$A$4</f>
        <v>19</v>
      </c>
      <c r="B1019" s="2684">
        <v>8.6</v>
      </c>
      <c r="C1019" s="1594"/>
      <c r="D1019" s="2723" t="s">
        <v>2227</v>
      </c>
      <c r="E1019" s="1596"/>
      <c r="F1019" s="2673"/>
      <c r="G1019" s="1480"/>
      <c r="H1019" s="2790"/>
    </row>
    <row r="1020" spans="1:11" ht="12.6" customHeight="1">
      <c r="A1020" s="1586"/>
      <c r="B1020" s="2684"/>
      <c r="C1020" s="1594"/>
      <c r="D1020" s="2723"/>
      <c r="E1020" s="1596"/>
      <c r="F1020" s="2673"/>
      <c r="G1020" s="1480"/>
      <c r="H1020" s="2790"/>
    </row>
    <row r="1021" spans="1:11" ht="26.4">
      <c r="A1021" s="1586"/>
      <c r="B1021" s="1593"/>
      <c r="C1021" s="1594" t="s">
        <v>2228</v>
      </c>
      <c r="D1021" s="1595" t="s">
        <v>2290</v>
      </c>
      <c r="E1021" s="1596"/>
      <c r="F1021" s="2673"/>
      <c r="G1021" s="1480"/>
      <c r="H1021" s="2790"/>
    </row>
    <row r="1022" spans="1:11" ht="12.6" customHeight="1">
      <c r="A1022" s="1586"/>
      <c r="B1022" s="1593"/>
      <c r="C1022" s="1594"/>
      <c r="D1022" s="1595"/>
      <c r="E1022" s="1596"/>
      <c r="F1022" s="1597"/>
      <c r="G1022" s="1480"/>
      <c r="H1022" s="2790"/>
      <c r="K1022" s="776"/>
    </row>
    <row r="1023" spans="1:11">
      <c r="A1023" s="1586"/>
      <c r="B1023" s="1593" t="s">
        <v>2162</v>
      </c>
      <c r="C1023" s="1594" t="s">
        <v>2228</v>
      </c>
      <c r="D1023" s="1595" t="s">
        <v>2230</v>
      </c>
      <c r="E1023" s="1596" t="s">
        <v>561</v>
      </c>
      <c r="F1023" s="1597">
        <v>200</v>
      </c>
      <c r="G1023" s="1480"/>
      <c r="H1023" s="1501">
        <f t="shared" ref="H1023:H1076" si="20">IF(E1023="","",ROUND(F1023*G1023,2))</f>
        <v>0</v>
      </c>
    </row>
    <row r="1024" spans="1:11" ht="12.6" customHeight="1">
      <c r="A1024" s="1586"/>
      <c r="B1024" s="1593"/>
      <c r="C1024" s="1594"/>
      <c r="D1024" s="1595"/>
      <c r="E1024" s="1596"/>
      <c r="F1024" s="1597"/>
      <c r="G1024" s="1480"/>
      <c r="H1024" s="1501" t="str">
        <f t="shared" si="20"/>
        <v/>
      </c>
    </row>
    <row r="1025" spans="1:8">
      <c r="A1025" s="1586"/>
      <c r="B1025" s="1604" t="s">
        <v>2164</v>
      </c>
      <c r="C1025" s="1594" t="s">
        <v>2228</v>
      </c>
      <c r="D1025" s="1595" t="s">
        <v>2231</v>
      </c>
      <c r="E1025" s="1596" t="s">
        <v>561</v>
      </c>
      <c r="F1025" s="2724">
        <v>200</v>
      </c>
      <c r="G1025" s="1480"/>
      <c r="H1025" s="1501">
        <f t="shared" si="20"/>
        <v>0</v>
      </c>
    </row>
    <row r="1026" spans="1:8" ht="12.6" customHeight="1">
      <c r="A1026" s="1586"/>
      <c r="B1026" s="1604"/>
      <c r="C1026" s="1594"/>
      <c r="D1026" s="1595"/>
      <c r="E1026" s="1596"/>
      <c r="F1026" s="2724"/>
      <c r="G1026" s="1480"/>
      <c r="H1026" s="1501" t="str">
        <f t="shared" si="20"/>
        <v/>
      </c>
    </row>
    <row r="1027" spans="1:8" ht="12.6" customHeight="1">
      <c r="A1027" s="1586"/>
      <c r="B1027" s="1604" t="s">
        <v>2166</v>
      </c>
      <c r="C1027" s="1594" t="s">
        <v>2228</v>
      </c>
      <c r="D1027" s="1595" t="s">
        <v>2263</v>
      </c>
      <c r="E1027" s="1596" t="s">
        <v>561</v>
      </c>
      <c r="F1027" s="2724">
        <v>100</v>
      </c>
      <c r="G1027" s="1480"/>
      <c r="H1027" s="1501">
        <f t="shared" si="20"/>
        <v>0</v>
      </c>
    </row>
    <row r="1028" spans="1:8" ht="12.6" customHeight="1">
      <c r="A1028" s="1586"/>
      <c r="B1028" s="1604"/>
      <c r="C1028" s="1594"/>
      <c r="D1028" s="1595"/>
      <c r="E1028" s="1596"/>
      <c r="F1028" s="2724"/>
      <c r="G1028" s="1480"/>
      <c r="H1028" s="1501" t="str">
        <f t="shared" si="20"/>
        <v/>
      </c>
    </row>
    <row r="1029" spans="1:8" ht="12.6" customHeight="1">
      <c r="A1029" s="1586"/>
      <c r="B1029" s="1604" t="s">
        <v>2168</v>
      </c>
      <c r="C1029" s="1594" t="s">
        <v>2228</v>
      </c>
      <c r="D1029" s="1595" t="s">
        <v>2291</v>
      </c>
      <c r="E1029" s="1596" t="s">
        <v>561</v>
      </c>
      <c r="F1029" s="2724">
        <v>50</v>
      </c>
      <c r="G1029" s="1480"/>
      <c r="H1029" s="1501">
        <f t="shared" si="20"/>
        <v>0</v>
      </c>
    </row>
    <row r="1030" spans="1:8" ht="12.6" customHeight="1">
      <c r="A1030" s="1586"/>
      <c r="B1030" s="1604"/>
      <c r="C1030" s="1594"/>
      <c r="D1030" s="1595"/>
      <c r="E1030" s="1596"/>
      <c r="F1030" s="2724"/>
      <c r="G1030" s="1480"/>
      <c r="H1030" s="1501" t="str">
        <f t="shared" si="20"/>
        <v/>
      </c>
    </row>
    <row r="1031" spans="1:8" ht="15.6">
      <c r="A1031" s="1586"/>
      <c r="B1031" s="1604" t="s">
        <v>2171</v>
      </c>
      <c r="C1031" s="1594" t="s">
        <v>2228</v>
      </c>
      <c r="D1031" s="1595" t="s">
        <v>2232</v>
      </c>
      <c r="E1031" s="1596" t="s">
        <v>691</v>
      </c>
      <c r="F1031" s="2724">
        <v>10</v>
      </c>
      <c r="G1031" s="1480"/>
      <c r="H1031" s="1501">
        <f t="shared" si="20"/>
        <v>0</v>
      </c>
    </row>
    <row r="1032" spans="1:8" ht="12.6" customHeight="1">
      <c r="A1032" s="1586"/>
      <c r="B1032" s="1604"/>
      <c r="C1032" s="1594"/>
      <c r="D1032" s="1595"/>
      <c r="E1032" s="1596"/>
      <c r="F1032" s="2724"/>
      <c r="G1032" s="1480"/>
      <c r="H1032" s="1501" t="str">
        <f t="shared" si="20"/>
        <v/>
      </c>
    </row>
    <row r="1033" spans="1:8" ht="15.6">
      <c r="A1033" s="1586"/>
      <c r="B1033" s="1604" t="s">
        <v>2174</v>
      </c>
      <c r="C1033" s="1594" t="s">
        <v>2228</v>
      </c>
      <c r="D1033" s="1595" t="s">
        <v>2233</v>
      </c>
      <c r="E1033" s="1596" t="s">
        <v>691</v>
      </c>
      <c r="F1033" s="2724">
        <v>10</v>
      </c>
      <c r="G1033" s="1480"/>
      <c r="H1033" s="1501">
        <f t="shared" si="20"/>
        <v>0</v>
      </c>
    </row>
    <row r="1034" spans="1:8">
      <c r="A1034" s="1586"/>
      <c r="B1034" s="1604"/>
      <c r="C1034" s="1594"/>
      <c r="D1034" s="1595"/>
      <c r="E1034" s="1596"/>
      <c r="F1034" s="2724"/>
      <c r="G1034" s="1480"/>
      <c r="H1034" s="1501" t="str">
        <f t="shared" si="20"/>
        <v/>
      </c>
    </row>
    <row r="1035" spans="1:8" ht="15.6">
      <c r="A1035" s="1586"/>
      <c r="B1035" s="2691" t="s">
        <v>2178</v>
      </c>
      <c r="C1035" s="1594" t="s">
        <v>2228</v>
      </c>
      <c r="D1035" s="1595" t="s">
        <v>2265</v>
      </c>
      <c r="E1035" s="1596" t="s">
        <v>691</v>
      </c>
      <c r="F1035" s="1604">
        <v>8</v>
      </c>
      <c r="G1035" s="1480"/>
      <c r="H1035" s="1501">
        <f t="shared" si="20"/>
        <v>0</v>
      </c>
    </row>
    <row r="1036" spans="1:8" ht="12.6" customHeight="1">
      <c r="A1036" s="1586"/>
      <c r="B1036" s="2691"/>
      <c r="C1036" s="1599"/>
      <c r="D1036" s="1595"/>
      <c r="E1036" s="1596"/>
      <c r="F1036" s="1604"/>
      <c r="G1036" s="1480"/>
      <c r="H1036" s="1501" t="str">
        <f t="shared" si="20"/>
        <v/>
      </c>
    </row>
    <row r="1037" spans="1:8" ht="15.6">
      <c r="A1037" s="1586"/>
      <c r="B1037" s="1598" t="s">
        <v>2180</v>
      </c>
      <c r="C1037" s="1594" t="s">
        <v>2228</v>
      </c>
      <c r="D1037" s="1595" t="s">
        <v>2292</v>
      </c>
      <c r="E1037" s="1590" t="s">
        <v>691</v>
      </c>
      <c r="F1037" s="1601">
        <v>8</v>
      </c>
      <c r="G1037" s="1480"/>
      <c r="H1037" s="1501">
        <f t="shared" si="20"/>
        <v>0</v>
      </c>
    </row>
    <row r="1038" spans="1:8">
      <c r="A1038" s="1586"/>
      <c r="B1038" s="2779"/>
      <c r="C1038" s="1606"/>
      <c r="D1038" s="1595"/>
      <c r="E1038" s="2768"/>
      <c r="F1038" s="1607"/>
      <c r="G1038" s="1480"/>
      <c r="H1038" s="1501" t="str">
        <f t="shared" si="20"/>
        <v/>
      </c>
    </row>
    <row r="1039" spans="1:8" ht="12.6" customHeight="1">
      <c r="A1039" s="2684">
        <f>$A$4</f>
        <v>19</v>
      </c>
      <c r="B1039" s="2684">
        <v>8.6999999999999993</v>
      </c>
      <c r="C1039" s="1606"/>
      <c r="D1039" s="2723" t="s">
        <v>2293</v>
      </c>
      <c r="E1039" s="2768"/>
      <c r="F1039" s="1607"/>
      <c r="G1039" s="1480"/>
      <c r="H1039" s="1501" t="str">
        <f t="shared" si="20"/>
        <v/>
      </c>
    </row>
    <row r="1040" spans="1:8">
      <c r="A1040" s="1586"/>
      <c r="B1040" s="2684"/>
      <c r="C1040" s="1606"/>
      <c r="D1040" s="2723"/>
      <c r="E1040" s="2768"/>
      <c r="F1040" s="1607"/>
      <c r="G1040" s="1480"/>
      <c r="H1040" s="1501" t="str">
        <f t="shared" si="20"/>
        <v/>
      </c>
    </row>
    <row r="1041" spans="1:8" ht="26.4">
      <c r="A1041" s="1586"/>
      <c r="B1041" s="2755"/>
      <c r="C1041" s="1606" t="s">
        <v>2294</v>
      </c>
      <c r="D1041" s="1595" t="s">
        <v>2295</v>
      </c>
      <c r="E1041" s="2768"/>
      <c r="F1041" s="1607"/>
      <c r="G1041" s="1480"/>
      <c r="H1041" s="1501" t="str">
        <f t="shared" si="20"/>
        <v/>
      </c>
    </row>
    <row r="1042" spans="1:8" ht="12.6" customHeight="1">
      <c r="A1042" s="1586"/>
      <c r="B1042" s="1605"/>
      <c r="C1042" s="1606"/>
      <c r="D1042" s="1595"/>
      <c r="E1042" s="2768"/>
      <c r="F1042" s="1607"/>
      <c r="G1042" s="1480"/>
      <c r="H1042" s="1501" t="str">
        <f t="shared" si="20"/>
        <v/>
      </c>
    </row>
    <row r="1043" spans="1:8" ht="26.4">
      <c r="A1043" s="1586"/>
      <c r="B1043" s="1605" t="s">
        <v>2162</v>
      </c>
      <c r="C1043" s="1606" t="s">
        <v>2294</v>
      </c>
      <c r="D1043" s="1595" t="s">
        <v>2296</v>
      </c>
      <c r="E1043" s="2744" t="s">
        <v>691</v>
      </c>
      <c r="F1043" s="1609">
        <v>16</v>
      </c>
      <c r="G1043" s="1480"/>
      <c r="H1043" s="1501">
        <f t="shared" si="20"/>
        <v>0</v>
      </c>
    </row>
    <row r="1044" spans="1:8" ht="12.6" customHeight="1">
      <c r="A1044" s="1586"/>
      <c r="B1044" s="1605"/>
      <c r="C1044" s="1606"/>
      <c r="D1044" s="1595"/>
      <c r="E1044" s="2744"/>
      <c r="F1044" s="1609"/>
      <c r="G1044" s="1480"/>
      <c r="H1044" s="1501" t="str">
        <f t="shared" si="20"/>
        <v/>
      </c>
    </row>
    <row r="1045" spans="1:8" ht="26.4">
      <c r="A1045" s="1586"/>
      <c r="B1045" s="1605" t="s">
        <v>2164</v>
      </c>
      <c r="C1045" s="1606" t="s">
        <v>2294</v>
      </c>
      <c r="D1045" s="1595" t="s">
        <v>2297</v>
      </c>
      <c r="E1045" s="2744" t="s">
        <v>691</v>
      </c>
      <c r="F1045" s="1609">
        <v>1</v>
      </c>
      <c r="G1045" s="1480"/>
      <c r="H1045" s="1501">
        <f t="shared" si="20"/>
        <v>0</v>
      </c>
    </row>
    <row r="1046" spans="1:8" ht="12.6" customHeight="1">
      <c r="A1046" s="1586"/>
      <c r="B1046" s="1271"/>
      <c r="C1046" s="1155"/>
      <c r="D1046" s="2751"/>
      <c r="E1046" s="147"/>
      <c r="F1046" s="1577"/>
      <c r="G1046" s="1478"/>
      <c r="H1046" s="1501" t="str">
        <f t="shared" si="20"/>
        <v/>
      </c>
    </row>
    <row r="1047" spans="1:8" ht="26.4">
      <c r="A1047" s="1586"/>
      <c r="B1047" s="1605" t="s">
        <v>2166</v>
      </c>
      <c r="C1047" s="1606" t="s">
        <v>2298</v>
      </c>
      <c r="D1047" s="1589" t="s">
        <v>2299</v>
      </c>
      <c r="E1047" s="2744" t="s">
        <v>691</v>
      </c>
      <c r="F1047" s="1609">
        <v>1</v>
      </c>
      <c r="G1047" s="1480"/>
      <c r="H1047" s="1501">
        <f t="shared" si="20"/>
        <v>0</v>
      </c>
    </row>
    <row r="1048" spans="1:8" ht="12.6" customHeight="1">
      <c r="A1048" s="1586"/>
      <c r="B1048" s="2780"/>
      <c r="C1048" s="2770"/>
      <c r="D1048" s="1589"/>
      <c r="E1048" s="2744"/>
      <c r="F1048" s="1609"/>
      <c r="G1048" s="1480"/>
      <c r="H1048" s="1501" t="str">
        <f t="shared" si="20"/>
        <v/>
      </c>
    </row>
    <row r="1049" spans="1:8" ht="39.6">
      <c r="A1049" s="1586"/>
      <c r="B1049" s="1605" t="s">
        <v>2168</v>
      </c>
      <c r="C1049" s="1606" t="s">
        <v>2298</v>
      </c>
      <c r="D1049" s="1589" t="s">
        <v>2300</v>
      </c>
      <c r="E1049" s="2744" t="s">
        <v>691</v>
      </c>
      <c r="F1049" s="1609">
        <v>1</v>
      </c>
      <c r="G1049" s="1480"/>
      <c r="H1049" s="1501">
        <f t="shared" si="20"/>
        <v>0</v>
      </c>
    </row>
    <row r="1050" spans="1:8">
      <c r="A1050" s="1586"/>
      <c r="B1050" s="2780"/>
      <c r="C1050" s="2770"/>
      <c r="D1050" s="1589"/>
      <c r="E1050" s="918"/>
      <c r="F1050" s="1609"/>
      <c r="G1050" s="1480"/>
      <c r="H1050" s="1501" t="str">
        <f t="shared" si="20"/>
        <v/>
      </c>
    </row>
    <row r="1051" spans="1:8" ht="26.4">
      <c r="A1051" s="1586"/>
      <c r="B1051" s="2737" t="s">
        <v>2171</v>
      </c>
      <c r="C1051" s="1606" t="s">
        <v>2298</v>
      </c>
      <c r="D1051" s="1600" t="s">
        <v>2301</v>
      </c>
      <c r="E1051" s="916" t="s">
        <v>691</v>
      </c>
      <c r="F1051" s="1604">
        <v>6</v>
      </c>
      <c r="G1051" s="1480"/>
      <c r="H1051" s="1501">
        <f t="shared" si="20"/>
        <v>0</v>
      </c>
    </row>
    <row r="1052" spans="1:8" ht="12.6" customHeight="1">
      <c r="A1052" s="1586"/>
      <c r="B1052" s="2780"/>
      <c r="C1052" s="2770"/>
      <c r="D1052" s="1600"/>
      <c r="E1052" s="916"/>
      <c r="F1052" s="1604"/>
      <c r="G1052" s="1480"/>
      <c r="H1052" s="1501" t="str">
        <f t="shared" si="20"/>
        <v/>
      </c>
    </row>
    <row r="1053" spans="1:8" ht="26.4">
      <c r="A1053" s="1586"/>
      <c r="B1053" s="1593" t="s">
        <v>2174</v>
      </c>
      <c r="C1053" s="1606" t="s">
        <v>2298</v>
      </c>
      <c r="D1053" s="1600" t="s">
        <v>2302</v>
      </c>
      <c r="E1053" s="916" t="s">
        <v>691</v>
      </c>
      <c r="F1053" s="1604">
        <v>3</v>
      </c>
      <c r="G1053" s="1480"/>
      <c r="H1053" s="1501">
        <f t="shared" si="20"/>
        <v>0</v>
      </c>
    </row>
    <row r="1054" spans="1:8" ht="12.6" customHeight="1">
      <c r="A1054" s="1586"/>
      <c r="B1054" s="2806"/>
      <c r="C1054" s="1606"/>
      <c r="D1054" s="903"/>
      <c r="E1054" s="2744"/>
      <c r="F1054" s="1609"/>
      <c r="G1054" s="1480"/>
      <c r="H1054" s="1501" t="str">
        <f t="shared" si="20"/>
        <v/>
      </c>
    </row>
    <row r="1055" spans="1:8" ht="26.4">
      <c r="A1055" s="2684">
        <f>$A$4</f>
        <v>19</v>
      </c>
      <c r="B1055" s="2684">
        <v>8.8000000000000007</v>
      </c>
      <c r="C1055" s="1588"/>
      <c r="D1055" s="2723" t="s">
        <v>2303</v>
      </c>
      <c r="E1055" s="2782"/>
      <c r="F1055" s="2782"/>
      <c r="G1055" s="1480"/>
      <c r="H1055" s="1501" t="str">
        <f t="shared" si="20"/>
        <v/>
      </c>
    </row>
    <row r="1056" spans="1:8" ht="12.6" customHeight="1">
      <c r="A1056" s="1586"/>
      <c r="B1056" s="1587"/>
      <c r="C1056" s="2783"/>
      <c r="D1056" s="2725"/>
      <c r="E1056" s="2782"/>
      <c r="F1056" s="2784"/>
      <c r="G1056" s="1480"/>
      <c r="H1056" s="1501" t="str">
        <f t="shared" si="20"/>
        <v/>
      </c>
    </row>
    <row r="1057" spans="1:8" ht="66">
      <c r="A1057" s="1586"/>
      <c r="B1057" s="1587" t="s">
        <v>2162</v>
      </c>
      <c r="C1057" s="2783" t="s">
        <v>2304</v>
      </c>
      <c r="D1057" s="1589" t="s">
        <v>2320</v>
      </c>
      <c r="E1057" s="1591" t="s">
        <v>691</v>
      </c>
      <c r="F1057" s="1591">
        <v>5</v>
      </c>
      <c r="G1057" s="1480"/>
      <c r="H1057" s="1501">
        <f t="shared" si="20"/>
        <v>0</v>
      </c>
    </row>
    <row r="1058" spans="1:8" ht="12.6" customHeight="1">
      <c r="A1058" s="1586"/>
      <c r="B1058" s="1587"/>
      <c r="C1058" s="1588"/>
      <c r="D1058" s="1589"/>
      <c r="E1058" s="1590"/>
      <c r="F1058" s="1591"/>
      <c r="G1058" s="1480"/>
      <c r="H1058" s="1501" t="str">
        <f t="shared" si="20"/>
        <v/>
      </c>
    </row>
    <row r="1059" spans="1:8" ht="12.6" customHeight="1">
      <c r="A1059" s="2684">
        <f>$A$4</f>
        <v>19</v>
      </c>
      <c r="B1059" s="2684">
        <v>8.9</v>
      </c>
      <c r="C1059" s="1588"/>
      <c r="D1059" s="2723" t="s">
        <v>2306</v>
      </c>
      <c r="E1059" s="2782"/>
      <c r="F1059" s="2782"/>
      <c r="G1059" s="1480"/>
      <c r="H1059" s="1501" t="str">
        <f t="shared" si="20"/>
        <v/>
      </c>
    </row>
    <row r="1060" spans="1:8" ht="12.6" customHeight="1">
      <c r="A1060" s="1586"/>
      <c r="B1060" s="2684"/>
      <c r="C1060" s="1588"/>
      <c r="D1060" s="920"/>
      <c r="E1060" s="2782"/>
      <c r="F1060" s="2782"/>
      <c r="G1060" s="1480"/>
      <c r="H1060" s="1501" t="str">
        <f t="shared" si="20"/>
        <v/>
      </c>
    </row>
    <row r="1061" spans="1:8" ht="26.4">
      <c r="A1061" s="1586"/>
      <c r="B1061" s="1587" t="s">
        <v>2162</v>
      </c>
      <c r="C1061" s="1588" t="s">
        <v>2307</v>
      </c>
      <c r="D1061" s="1589" t="s">
        <v>2308</v>
      </c>
      <c r="E1061" s="1591" t="s">
        <v>691</v>
      </c>
      <c r="F1061" s="2785">
        <v>4</v>
      </c>
      <c r="G1061" s="1480"/>
      <c r="H1061" s="1501">
        <f t="shared" si="20"/>
        <v>0</v>
      </c>
    </row>
    <row r="1062" spans="1:8" ht="12.6" customHeight="1">
      <c r="A1062" s="1586"/>
      <c r="B1062" s="1587"/>
      <c r="C1062" s="1588"/>
      <c r="D1062" s="1589"/>
      <c r="E1062" s="1590"/>
      <c r="F1062" s="1591"/>
      <c r="G1062" s="1480"/>
      <c r="H1062" s="1501" t="str">
        <f t="shared" si="20"/>
        <v/>
      </c>
    </row>
    <row r="1063" spans="1:8">
      <c r="A1063" s="2684">
        <f>$A$4</f>
        <v>19</v>
      </c>
      <c r="B1063" s="2786">
        <v>8.1</v>
      </c>
      <c r="C1063" s="2783"/>
      <c r="D1063" s="2723" t="s">
        <v>2236</v>
      </c>
      <c r="E1063" s="2726"/>
      <c r="F1063" s="1609"/>
      <c r="G1063" s="1480"/>
      <c r="H1063" s="1501" t="str">
        <f t="shared" si="20"/>
        <v/>
      </c>
    </row>
    <row r="1064" spans="1:8" ht="12.6" customHeight="1">
      <c r="A1064" s="1586"/>
      <c r="B1064" s="1587"/>
      <c r="C1064" s="1588"/>
      <c r="D1064" s="2725"/>
      <c r="E1064" s="1590"/>
      <c r="F1064" s="1591"/>
      <c r="G1064" s="1480"/>
      <c r="H1064" s="1501" t="str">
        <f t="shared" si="20"/>
        <v/>
      </c>
    </row>
    <row r="1065" spans="1:8" ht="12.6" customHeight="1">
      <c r="A1065" s="1586"/>
      <c r="B1065" s="1587" t="s">
        <v>2162</v>
      </c>
      <c r="C1065" s="1588" t="s">
        <v>2237</v>
      </c>
      <c r="D1065" s="1589" t="s">
        <v>2309</v>
      </c>
      <c r="E1065" s="1590" t="s">
        <v>691</v>
      </c>
      <c r="F1065" s="1591">
        <v>3</v>
      </c>
      <c r="G1065" s="1480"/>
      <c r="H1065" s="1501">
        <f t="shared" si="20"/>
        <v>0</v>
      </c>
    </row>
    <row r="1066" spans="1:8" ht="12.6" customHeight="1">
      <c r="A1066" s="1586"/>
      <c r="B1066" s="1587"/>
      <c r="C1066" s="1588"/>
      <c r="D1066" s="1589"/>
      <c r="E1066" s="1590"/>
      <c r="F1066" s="1591"/>
      <c r="G1066" s="1480"/>
      <c r="H1066" s="1501" t="str">
        <f t="shared" si="20"/>
        <v/>
      </c>
    </row>
    <row r="1067" spans="1:8" ht="12.6" customHeight="1">
      <c r="A1067" s="1586"/>
      <c r="B1067" s="1587" t="s">
        <v>2164</v>
      </c>
      <c r="C1067" s="1588" t="s">
        <v>2237</v>
      </c>
      <c r="D1067" s="1589" t="s">
        <v>2239</v>
      </c>
      <c r="E1067" s="1590" t="s">
        <v>691</v>
      </c>
      <c r="F1067" s="1591">
        <v>3</v>
      </c>
      <c r="G1067" s="1480"/>
      <c r="H1067" s="1501">
        <f t="shared" si="20"/>
        <v>0</v>
      </c>
    </row>
    <row r="1068" spans="1:8" ht="12.6" customHeight="1">
      <c r="A1068" s="1586"/>
      <c r="B1068" s="1587"/>
      <c r="C1068" s="1588"/>
      <c r="D1068" s="1589"/>
      <c r="E1068" s="1590"/>
      <c r="F1068" s="1591"/>
      <c r="G1068" s="1480"/>
      <c r="H1068" s="1501" t="str">
        <f t="shared" si="20"/>
        <v/>
      </c>
    </row>
    <row r="1069" spans="1:8" ht="12.6" customHeight="1">
      <c r="A1069" s="1586"/>
      <c r="B1069" s="1587" t="s">
        <v>2166</v>
      </c>
      <c r="C1069" s="1588" t="s">
        <v>2237</v>
      </c>
      <c r="D1069" s="1589" t="s">
        <v>2310</v>
      </c>
      <c r="E1069" s="1590" t="s">
        <v>691</v>
      </c>
      <c r="F1069" s="1597">
        <v>4</v>
      </c>
      <c r="G1069" s="1480"/>
      <c r="H1069" s="1501">
        <f t="shared" si="20"/>
        <v>0</v>
      </c>
    </row>
    <row r="1070" spans="1:8" ht="12.6" customHeight="1">
      <c r="A1070" s="1586"/>
      <c r="B1070" s="1587"/>
      <c r="C1070" s="1588"/>
      <c r="D1070" s="1589"/>
      <c r="E1070" s="1590"/>
      <c r="F1070" s="1591"/>
      <c r="G1070" s="1480"/>
      <c r="H1070" s="1501" t="str">
        <f t="shared" si="20"/>
        <v/>
      </c>
    </row>
    <row r="1071" spans="1:8" ht="12.6" customHeight="1">
      <c r="A1071" s="1586"/>
      <c r="B1071" s="1587" t="s">
        <v>2168</v>
      </c>
      <c r="C1071" s="1588" t="s">
        <v>2237</v>
      </c>
      <c r="D1071" s="1589" t="s">
        <v>2239</v>
      </c>
      <c r="E1071" s="1590" t="s">
        <v>691</v>
      </c>
      <c r="F1071" s="1591">
        <v>4</v>
      </c>
      <c r="G1071" s="1480"/>
      <c r="H1071" s="1501">
        <f t="shared" si="20"/>
        <v>0</v>
      </c>
    </row>
    <row r="1072" spans="1:8" ht="12.6" customHeight="1">
      <c r="A1072" s="1586"/>
      <c r="B1072" s="1593"/>
      <c r="C1072" s="1603"/>
      <c r="D1072" s="1589"/>
      <c r="E1072" s="2726"/>
      <c r="F1072" s="1597"/>
      <c r="G1072" s="1480"/>
      <c r="H1072" s="1501" t="str">
        <f t="shared" si="20"/>
        <v/>
      </c>
    </row>
    <row r="1073" spans="1:8" ht="12.6" customHeight="1">
      <c r="A1073" s="1586"/>
      <c r="B1073" s="1587" t="s">
        <v>2171</v>
      </c>
      <c r="C1073" s="1588" t="s">
        <v>2237</v>
      </c>
      <c r="D1073" s="1589" t="s">
        <v>2311</v>
      </c>
      <c r="E1073" s="1590" t="s">
        <v>691</v>
      </c>
      <c r="F1073" s="1591">
        <v>2</v>
      </c>
      <c r="G1073" s="1480"/>
      <c r="H1073" s="1501">
        <f t="shared" si="20"/>
        <v>0</v>
      </c>
    </row>
    <row r="1074" spans="1:8" ht="12.6" customHeight="1">
      <c r="A1074" s="1586"/>
      <c r="B1074" s="1587"/>
      <c r="C1074" s="1588"/>
      <c r="D1074" s="1589"/>
      <c r="E1074" s="1590"/>
      <c r="F1074" s="1597"/>
      <c r="G1074" s="1480"/>
      <c r="H1074" s="1501" t="str">
        <f t="shared" si="20"/>
        <v/>
      </c>
    </row>
    <row r="1075" spans="1:8" ht="12.6" customHeight="1">
      <c r="A1075" s="1586"/>
      <c r="B1075" s="1587" t="s">
        <v>2174</v>
      </c>
      <c r="C1075" s="1588" t="s">
        <v>2237</v>
      </c>
      <c r="D1075" s="1589" t="s">
        <v>2239</v>
      </c>
      <c r="E1075" s="1590" t="s">
        <v>691</v>
      </c>
      <c r="F1075" s="1591">
        <v>2</v>
      </c>
      <c r="G1075" s="1480"/>
      <c r="H1075" s="1501">
        <f t="shared" si="20"/>
        <v>0</v>
      </c>
    </row>
    <row r="1076" spans="1:8" ht="12.6" customHeight="1">
      <c r="A1076" s="1586"/>
      <c r="B1076" s="1587"/>
      <c r="C1076" s="1588"/>
      <c r="D1076" s="1589"/>
      <c r="E1076" s="1590"/>
      <c r="F1076" s="1591"/>
      <c r="G1076" s="1480"/>
      <c r="H1076" s="1501" t="str">
        <f t="shared" si="20"/>
        <v/>
      </c>
    </row>
    <row r="1077" spans="1:8" ht="12.6" customHeight="1">
      <c r="A1077" s="1586"/>
      <c r="B1077" s="1587"/>
      <c r="C1077" s="1588"/>
      <c r="D1077" s="1589"/>
      <c r="E1077" s="1590"/>
      <c r="F1077" s="1591"/>
      <c r="G1077" s="1480"/>
      <c r="H1077" s="1592"/>
    </row>
    <row r="1078" spans="1:8" ht="12.6" customHeight="1">
      <c r="A1078" s="1586"/>
      <c r="B1078" s="1587"/>
      <c r="C1078" s="1588"/>
      <c r="D1078" s="1589"/>
      <c r="E1078" s="1590"/>
      <c r="F1078" s="1591"/>
      <c r="G1078" s="1480"/>
      <c r="H1078" s="1592"/>
    </row>
    <row r="1079" spans="1:8" ht="12.6" customHeight="1">
      <c r="A1079" s="1586"/>
      <c r="B1079" s="1587"/>
      <c r="C1079" s="1588"/>
      <c r="D1079" s="1589"/>
      <c r="E1079" s="1590"/>
      <c r="F1079" s="1591"/>
      <c r="G1079" s="1480"/>
      <c r="H1079" s="1592"/>
    </row>
    <row r="1080" spans="1:8" ht="12.6" customHeight="1">
      <c r="A1080" s="1586"/>
      <c r="B1080" s="1587"/>
      <c r="C1080" s="1588"/>
      <c r="D1080" s="1589"/>
      <c r="E1080" s="1590"/>
      <c r="F1080" s="1591"/>
      <c r="G1080" s="1480"/>
      <c r="H1080" s="1592"/>
    </row>
    <row r="1081" spans="1:8" ht="12.6" customHeight="1">
      <c r="A1081" s="1586"/>
      <c r="B1081" s="1587"/>
      <c r="C1081" s="1588"/>
      <c r="D1081" s="1589"/>
      <c r="E1081" s="1590"/>
      <c r="F1081" s="1591"/>
      <c r="G1081" s="1480"/>
      <c r="H1081" s="1592"/>
    </row>
    <row r="1082" spans="1:8" ht="12.6" customHeight="1">
      <c r="A1082" s="1586"/>
      <c r="B1082" s="1587"/>
      <c r="C1082" s="1588"/>
      <c r="D1082" s="1589"/>
      <c r="E1082" s="1590"/>
      <c r="F1082" s="1591"/>
      <c r="G1082" s="1480"/>
      <c r="H1082" s="1592"/>
    </row>
    <row r="1083" spans="1:8" ht="12.6" customHeight="1">
      <c r="A1083" s="1586"/>
      <c r="B1083" s="2780"/>
      <c r="C1083" s="2770"/>
      <c r="D1083" s="2788"/>
      <c r="E1083" s="2683"/>
      <c r="F1083" s="2789"/>
      <c r="G1083" s="1480"/>
      <c r="H1083" s="2790"/>
    </row>
    <row r="1084" spans="1:8" ht="12.6" customHeight="1">
      <c r="A1084" s="1586"/>
      <c r="B1084" s="1271"/>
      <c r="C1084" s="1792"/>
      <c r="D1084" s="2647"/>
      <c r="E1084" s="882"/>
      <c r="F1084" s="1577"/>
      <c r="G1084" s="1476"/>
      <c r="H1084" s="902"/>
    </row>
    <row r="1085" spans="1:8">
      <c r="A1085" s="2333"/>
      <c r="B1085" s="822"/>
      <c r="C1085" s="1158"/>
      <c r="D1085" s="840"/>
      <c r="E1085" s="837"/>
      <c r="F1085" s="838"/>
      <c r="G1085" s="2748"/>
      <c r="H1085" s="2749"/>
    </row>
    <row r="1086" spans="1:8">
      <c r="A1086" s="2336"/>
      <c r="B1086" s="823"/>
      <c r="C1086" s="1159"/>
      <c r="D1086" s="774" t="s">
        <v>289</v>
      </c>
      <c r="E1086" s="426"/>
      <c r="F1086" s="24"/>
      <c r="G1086" s="1477"/>
      <c r="H1086" s="2750">
        <f>SUM(H1017:H1084)</f>
        <v>0</v>
      </c>
    </row>
    <row r="1087" spans="1:8" ht="12.6" customHeight="1">
      <c r="A1087" s="1586"/>
      <c r="B1087" s="1271"/>
      <c r="C1087" s="2797"/>
      <c r="D1087" s="2754" t="s">
        <v>290</v>
      </c>
      <c r="E1087" s="147"/>
      <c r="F1087" s="1577"/>
      <c r="G1087" s="1478"/>
      <c r="H1087" s="922">
        <f>H1086</f>
        <v>0</v>
      </c>
    </row>
    <row r="1088" spans="1:8" ht="12.6" customHeight="1">
      <c r="A1088" s="1586"/>
      <c r="B1088" s="1271"/>
      <c r="C1088" s="1792"/>
      <c r="D1088" s="2751"/>
      <c r="E1088" s="147"/>
      <c r="F1088" s="1577"/>
      <c r="G1088" s="1478"/>
      <c r="H1088" s="897"/>
    </row>
    <row r="1089" spans="1:8" ht="12.6" customHeight="1">
      <c r="A1089" s="2684">
        <f>$A$4</f>
        <v>19</v>
      </c>
      <c r="B1089" s="2684">
        <v>9</v>
      </c>
      <c r="C1089" s="1599"/>
      <c r="D1089" s="2776" t="s">
        <v>2077</v>
      </c>
      <c r="E1089" s="925"/>
      <c r="F1089" s="2759"/>
      <c r="G1089" s="1472"/>
      <c r="H1089" s="1592"/>
    </row>
    <row r="1090" spans="1:8" ht="12.6" customHeight="1">
      <c r="A1090" s="1586"/>
      <c r="B1090" s="2780"/>
      <c r="C1090" s="2770"/>
      <c r="D1090" s="2788"/>
      <c r="E1090" s="933"/>
      <c r="F1090" s="2789"/>
      <c r="G1090" s="1473"/>
      <c r="H1090" s="2747"/>
    </row>
    <row r="1091" spans="1:8" ht="12.6" customHeight="1">
      <c r="A1091" s="2684">
        <f>$A$4</f>
        <v>19</v>
      </c>
      <c r="B1091" s="2684">
        <v>9.1</v>
      </c>
      <c r="C1091" s="1594"/>
      <c r="D1091" s="2774" t="s">
        <v>2253</v>
      </c>
      <c r="E1091" s="906"/>
      <c r="F1091" s="2733"/>
      <c r="G1091" s="1473"/>
      <c r="H1091" s="2747"/>
    </row>
    <row r="1092" spans="1:8" ht="12.6" customHeight="1">
      <c r="A1092" s="1586"/>
      <c r="B1092" s="2684"/>
      <c r="C1092" s="1594"/>
      <c r="D1092" s="2774"/>
      <c r="E1092" s="906"/>
      <c r="F1092" s="2733"/>
      <c r="G1092" s="1473"/>
      <c r="H1092" s="2747"/>
    </row>
    <row r="1093" spans="1:8" ht="39.6">
      <c r="A1093" s="1586"/>
      <c r="B1093" s="1593" t="s">
        <v>2162</v>
      </c>
      <c r="C1093" s="1594" t="s">
        <v>2254</v>
      </c>
      <c r="D1093" s="2746" t="s">
        <v>2347</v>
      </c>
      <c r="E1093" s="916" t="s">
        <v>976</v>
      </c>
      <c r="F1093" s="1597">
        <v>1</v>
      </c>
      <c r="G1093" s="1473"/>
      <c r="H1093" s="1501">
        <f t="shared" ref="H1093:H1154" si="21">IF(E1093="","",ROUND(F1093*G1093,2))</f>
        <v>0</v>
      </c>
    </row>
    <row r="1094" spans="1:8" ht="12.6" customHeight="1">
      <c r="A1094" s="1586"/>
      <c r="B1094" s="1271"/>
      <c r="C1094" s="1792"/>
      <c r="D1094" s="2751"/>
      <c r="E1094" s="147"/>
      <c r="F1094" s="1577"/>
      <c r="G1094" s="1478"/>
      <c r="H1094" s="1501" t="str">
        <f t="shared" si="21"/>
        <v/>
      </c>
    </row>
    <row r="1095" spans="1:8" ht="26.4">
      <c r="A1095" s="1586"/>
      <c r="B1095" s="1604" t="s">
        <v>2164</v>
      </c>
      <c r="C1095" s="1594" t="s">
        <v>2254</v>
      </c>
      <c r="D1095" s="1600" t="s">
        <v>2348</v>
      </c>
      <c r="E1095" s="916" t="s">
        <v>976</v>
      </c>
      <c r="F1095" s="2730">
        <v>1</v>
      </c>
      <c r="G1095" s="1473"/>
      <c r="H1095" s="1501">
        <f t="shared" si="21"/>
        <v>0</v>
      </c>
    </row>
    <row r="1096" spans="1:8" ht="12.6" customHeight="1">
      <c r="A1096" s="1586"/>
      <c r="B1096" s="1271"/>
      <c r="C1096" s="1155"/>
      <c r="D1096" s="2751"/>
      <c r="E1096" s="147"/>
      <c r="F1096" s="1577"/>
      <c r="G1096" s="1478"/>
      <c r="H1096" s="1501" t="str">
        <f t="shared" si="21"/>
        <v/>
      </c>
    </row>
    <row r="1097" spans="1:8" ht="12.6" customHeight="1">
      <c r="A1097" s="2684">
        <f>$A$4</f>
        <v>19</v>
      </c>
      <c r="B1097" s="2684">
        <v>9.1999999999999993</v>
      </c>
      <c r="C1097" s="1594"/>
      <c r="D1097" s="2723" t="s">
        <v>2349</v>
      </c>
      <c r="E1097" s="2732"/>
      <c r="F1097" s="2733"/>
      <c r="G1097" s="1473"/>
      <c r="H1097" s="1501" t="str">
        <f t="shared" si="21"/>
        <v/>
      </c>
    </row>
    <row r="1098" spans="1:8" ht="12.6" customHeight="1">
      <c r="A1098" s="1586"/>
      <c r="B1098" s="1593"/>
      <c r="C1098" s="1594"/>
      <c r="D1098" s="2723"/>
      <c r="E1098" s="2732"/>
      <c r="F1098" s="2733"/>
      <c r="G1098" s="1473"/>
      <c r="H1098" s="1501" t="str">
        <f t="shared" si="21"/>
        <v/>
      </c>
    </row>
    <row r="1099" spans="1:8" ht="39.6">
      <c r="A1099" s="1586"/>
      <c r="B1099" s="1593" t="s">
        <v>2162</v>
      </c>
      <c r="C1099" s="2684" t="s">
        <v>2268</v>
      </c>
      <c r="D1099" s="1595" t="s">
        <v>2350</v>
      </c>
      <c r="E1099" s="1596" t="s">
        <v>691</v>
      </c>
      <c r="F1099" s="1597">
        <v>1</v>
      </c>
      <c r="G1099" s="1473"/>
      <c r="H1099" s="1501">
        <f t="shared" si="21"/>
        <v>0</v>
      </c>
    </row>
    <row r="1100" spans="1:8" ht="12.6" customHeight="1">
      <c r="A1100" s="1586"/>
      <c r="B1100" s="1604"/>
      <c r="C1100" s="1594"/>
      <c r="D1100" s="2722"/>
      <c r="E1100" s="2732"/>
      <c r="F1100" s="2733"/>
      <c r="G1100" s="1473"/>
      <c r="H1100" s="1501" t="str">
        <f t="shared" si="21"/>
        <v/>
      </c>
    </row>
    <row r="1101" spans="1:8" ht="12.6" customHeight="1">
      <c r="A1101" s="2684">
        <f>$A$4</f>
        <v>19</v>
      </c>
      <c r="B1101" s="2684">
        <v>9.3000000000000007</v>
      </c>
      <c r="C1101" s="1594"/>
      <c r="D1101" s="2723" t="s">
        <v>2211</v>
      </c>
      <c r="E1101" s="2732"/>
      <c r="F1101" s="2733"/>
      <c r="G1101" s="1473"/>
      <c r="H1101" s="1501" t="str">
        <f t="shared" si="21"/>
        <v/>
      </c>
    </row>
    <row r="1102" spans="1:8" ht="12.6" customHeight="1">
      <c r="A1102" s="1586"/>
      <c r="B1102" s="2684"/>
      <c r="C1102" s="1594"/>
      <c r="D1102" s="2723"/>
      <c r="E1102" s="2732"/>
      <c r="F1102" s="2733"/>
      <c r="G1102" s="1473"/>
      <c r="H1102" s="1501" t="str">
        <f t="shared" si="21"/>
        <v/>
      </c>
    </row>
    <row r="1103" spans="1:8" ht="39.6">
      <c r="A1103" s="1586"/>
      <c r="B1103" s="1593"/>
      <c r="C1103" s="1594" t="s">
        <v>2175</v>
      </c>
      <c r="D1103" s="1595" t="s">
        <v>2212</v>
      </c>
      <c r="E1103" s="2732"/>
      <c r="F1103" s="2733"/>
      <c r="G1103" s="1473"/>
      <c r="H1103" s="1501" t="str">
        <f t="shared" si="21"/>
        <v/>
      </c>
    </row>
    <row r="1104" spans="1:8" ht="12.6" customHeight="1">
      <c r="A1104" s="1586"/>
      <c r="B1104" s="1271"/>
      <c r="C1104" s="1155"/>
      <c r="D1104" s="2751"/>
      <c r="E1104" s="147"/>
      <c r="F1104" s="1577"/>
      <c r="G1104" s="1478"/>
      <c r="H1104" s="1501" t="str">
        <f t="shared" si="21"/>
        <v/>
      </c>
    </row>
    <row r="1105" spans="1:8" ht="15.6">
      <c r="A1105" s="1586"/>
      <c r="B1105" s="1593" t="s">
        <v>2162</v>
      </c>
      <c r="C1105" s="1594" t="s">
        <v>2175</v>
      </c>
      <c r="D1105" s="1589" t="s">
        <v>2351</v>
      </c>
      <c r="E1105" s="2734" t="s">
        <v>561</v>
      </c>
      <c r="F1105" s="1597">
        <v>145</v>
      </c>
      <c r="G1105" s="1473"/>
      <c r="H1105" s="1501">
        <f t="shared" si="21"/>
        <v>0</v>
      </c>
    </row>
    <row r="1106" spans="1:8" ht="12.6" customHeight="1">
      <c r="A1106" s="1586"/>
      <c r="B1106" s="1593"/>
      <c r="C1106" s="1594"/>
      <c r="D1106" s="1589"/>
      <c r="E1106" s="2734"/>
      <c r="F1106" s="1597"/>
      <c r="G1106" s="1473"/>
      <c r="H1106" s="1501" t="str">
        <f t="shared" si="21"/>
        <v/>
      </c>
    </row>
    <row r="1107" spans="1:8" ht="15.6">
      <c r="A1107" s="1586"/>
      <c r="B1107" s="1593" t="s">
        <v>2164</v>
      </c>
      <c r="C1107" s="1594" t="s">
        <v>2175</v>
      </c>
      <c r="D1107" s="1589" t="s">
        <v>2352</v>
      </c>
      <c r="E1107" s="2734" t="s">
        <v>561</v>
      </c>
      <c r="F1107" s="1597">
        <v>270</v>
      </c>
      <c r="G1107" s="1473"/>
      <c r="H1107" s="1501">
        <f t="shared" si="21"/>
        <v>0</v>
      </c>
    </row>
    <row r="1108" spans="1:8" ht="12.6" customHeight="1">
      <c r="A1108" s="1586"/>
      <c r="B1108" s="1593"/>
      <c r="C1108" s="1594"/>
      <c r="D1108" s="1589"/>
      <c r="E1108" s="2734"/>
      <c r="F1108" s="1597"/>
      <c r="G1108" s="1473"/>
      <c r="H1108" s="1501" t="str">
        <f t="shared" si="21"/>
        <v/>
      </c>
    </row>
    <row r="1109" spans="1:8" ht="15.6">
      <c r="A1109" s="1586"/>
      <c r="B1109" s="1593" t="s">
        <v>2166</v>
      </c>
      <c r="C1109" s="1594" t="s">
        <v>2175</v>
      </c>
      <c r="D1109" s="1589" t="s">
        <v>2353</v>
      </c>
      <c r="E1109" s="2734" t="s">
        <v>561</v>
      </c>
      <c r="F1109" s="1597">
        <v>37</v>
      </c>
      <c r="G1109" s="1473"/>
      <c r="H1109" s="1501">
        <f t="shared" si="21"/>
        <v>0</v>
      </c>
    </row>
    <row r="1110" spans="1:8" ht="12.6" customHeight="1">
      <c r="A1110" s="1586"/>
      <c r="B1110" s="1593"/>
      <c r="C1110" s="1594"/>
      <c r="D1110" s="1589"/>
      <c r="E1110" s="2734"/>
      <c r="F1110" s="1597"/>
      <c r="G1110" s="1473"/>
      <c r="H1110" s="1501" t="str">
        <f t="shared" si="21"/>
        <v/>
      </c>
    </row>
    <row r="1111" spans="1:8" ht="15.6">
      <c r="A1111" s="1586"/>
      <c r="B1111" s="1593" t="s">
        <v>2168</v>
      </c>
      <c r="C1111" s="1594" t="s">
        <v>2175</v>
      </c>
      <c r="D1111" s="1589" t="s">
        <v>2317</v>
      </c>
      <c r="E1111" s="2734" t="s">
        <v>561</v>
      </c>
      <c r="F1111" s="1597">
        <v>84</v>
      </c>
      <c r="G1111" s="1473"/>
      <c r="H1111" s="1501">
        <f t="shared" si="21"/>
        <v>0</v>
      </c>
    </row>
    <row r="1112" spans="1:8" ht="12.6" customHeight="1">
      <c r="A1112" s="1586"/>
      <c r="B1112" s="1593"/>
      <c r="C1112" s="1594"/>
      <c r="D1112" s="1589"/>
      <c r="E1112" s="2734"/>
      <c r="F1112" s="1597"/>
      <c r="G1112" s="1473"/>
      <c r="H1112" s="1501" t="str">
        <f t="shared" si="21"/>
        <v/>
      </c>
    </row>
    <row r="1113" spans="1:8" ht="15.6">
      <c r="A1113" s="1586"/>
      <c r="B1113" s="1593" t="s">
        <v>2171</v>
      </c>
      <c r="C1113" s="1594" t="s">
        <v>2175</v>
      </c>
      <c r="D1113" s="1589" t="s">
        <v>2354</v>
      </c>
      <c r="E1113" s="2734" t="s">
        <v>561</v>
      </c>
      <c r="F1113" s="1597">
        <v>10</v>
      </c>
      <c r="G1113" s="1473"/>
      <c r="H1113" s="1501">
        <f t="shared" si="21"/>
        <v>0</v>
      </c>
    </row>
    <row r="1114" spans="1:8" ht="12.6" customHeight="1">
      <c r="A1114" s="1586"/>
      <c r="B1114" s="1593"/>
      <c r="C1114" s="1594"/>
      <c r="D1114" s="1589"/>
      <c r="E1114" s="2734"/>
      <c r="F1114" s="1597"/>
      <c r="G1114" s="1473"/>
      <c r="H1114" s="1501" t="str">
        <f t="shared" si="21"/>
        <v/>
      </c>
    </row>
    <row r="1115" spans="1:8" ht="15.6">
      <c r="A1115" s="1586"/>
      <c r="B1115" s="1593" t="s">
        <v>2174</v>
      </c>
      <c r="C1115" s="1594" t="s">
        <v>2175</v>
      </c>
      <c r="D1115" s="1589" t="s">
        <v>2355</v>
      </c>
      <c r="E1115" s="2734" t="s">
        <v>561</v>
      </c>
      <c r="F1115" s="1597">
        <v>63</v>
      </c>
      <c r="G1115" s="1473"/>
      <c r="H1115" s="1501">
        <f t="shared" si="21"/>
        <v>0</v>
      </c>
    </row>
    <row r="1116" spans="1:8" ht="12.6" customHeight="1">
      <c r="A1116" s="1586"/>
      <c r="B1116" s="1593"/>
      <c r="C1116" s="1594"/>
      <c r="D1116" s="1589"/>
      <c r="E1116" s="2734"/>
      <c r="F1116" s="1597"/>
      <c r="G1116" s="1473"/>
      <c r="H1116" s="1501" t="str">
        <f t="shared" si="21"/>
        <v/>
      </c>
    </row>
    <row r="1117" spans="1:8" ht="15.6">
      <c r="A1117" s="1586"/>
      <c r="B1117" s="1593" t="s">
        <v>2178</v>
      </c>
      <c r="C1117" s="1594" t="s">
        <v>2175</v>
      </c>
      <c r="D1117" s="1589" t="s">
        <v>2356</v>
      </c>
      <c r="E1117" s="2734" t="s">
        <v>561</v>
      </c>
      <c r="F1117" s="1597">
        <v>20</v>
      </c>
      <c r="G1117" s="1473"/>
      <c r="H1117" s="1501">
        <f t="shared" si="21"/>
        <v>0</v>
      </c>
    </row>
    <row r="1118" spans="1:8" ht="12.6" customHeight="1">
      <c r="A1118" s="1586"/>
      <c r="B1118" s="1593"/>
      <c r="C1118" s="1594"/>
      <c r="D1118" s="1589"/>
      <c r="E1118" s="2734"/>
      <c r="F1118" s="1597"/>
      <c r="G1118" s="1473"/>
      <c r="H1118" s="1501" t="str">
        <f t="shared" si="21"/>
        <v/>
      </c>
    </row>
    <row r="1119" spans="1:8" ht="15.6">
      <c r="A1119" s="1586"/>
      <c r="B1119" s="1593" t="s">
        <v>2180</v>
      </c>
      <c r="C1119" s="1594" t="s">
        <v>2175</v>
      </c>
      <c r="D1119" s="1589" t="s">
        <v>2357</v>
      </c>
      <c r="E1119" s="2734" t="s">
        <v>561</v>
      </c>
      <c r="F1119" s="1597">
        <v>20</v>
      </c>
      <c r="G1119" s="1473"/>
      <c r="H1119" s="1501">
        <f t="shared" si="21"/>
        <v>0</v>
      </c>
    </row>
    <row r="1120" spans="1:8" ht="12.6" customHeight="1">
      <c r="A1120" s="1586"/>
      <c r="B1120" s="1593"/>
      <c r="C1120" s="1594"/>
      <c r="D1120" s="1589"/>
      <c r="E1120" s="2734"/>
      <c r="F1120" s="1597"/>
      <c r="G1120" s="1473"/>
      <c r="H1120" s="1501" t="str">
        <f t="shared" si="21"/>
        <v/>
      </c>
    </row>
    <row r="1121" spans="1:8" ht="15.6">
      <c r="A1121" s="1586"/>
      <c r="B1121" s="1593" t="s">
        <v>2183</v>
      </c>
      <c r="C1121" s="1594" t="s">
        <v>2175</v>
      </c>
      <c r="D1121" s="1589" t="s">
        <v>2358</v>
      </c>
      <c r="E1121" s="2734" t="s">
        <v>561</v>
      </c>
      <c r="F1121" s="1597">
        <v>120</v>
      </c>
      <c r="G1121" s="1473"/>
      <c r="H1121" s="1501">
        <f t="shared" si="21"/>
        <v>0</v>
      </c>
    </row>
    <row r="1122" spans="1:8" ht="12.6" customHeight="1">
      <c r="A1122" s="1586"/>
      <c r="B1122" s="1593"/>
      <c r="C1122" s="1594"/>
      <c r="D1122" s="1589"/>
      <c r="E1122" s="2734"/>
      <c r="F1122" s="1597"/>
      <c r="G1122" s="1473"/>
      <c r="H1122" s="1501" t="str">
        <f t="shared" si="21"/>
        <v/>
      </c>
    </row>
    <row r="1123" spans="1:8" ht="15.6">
      <c r="A1123" s="1586"/>
      <c r="B1123" s="1593" t="s">
        <v>2186</v>
      </c>
      <c r="C1123" s="1594" t="s">
        <v>2175</v>
      </c>
      <c r="D1123" s="1589" t="s">
        <v>2359</v>
      </c>
      <c r="E1123" s="2734" t="s">
        <v>561</v>
      </c>
      <c r="F1123" s="1597">
        <v>120</v>
      </c>
      <c r="G1123" s="1473"/>
      <c r="H1123" s="1501">
        <f t="shared" si="21"/>
        <v>0</v>
      </c>
    </row>
    <row r="1124" spans="1:8" ht="12.6" customHeight="1">
      <c r="A1124" s="1586"/>
      <c r="B1124" s="1593"/>
      <c r="C1124" s="1594"/>
      <c r="D1124" s="1595"/>
      <c r="E1124" s="2734"/>
      <c r="F1124" s="1597"/>
      <c r="G1124" s="1473"/>
      <c r="H1124" s="1501" t="str">
        <f t="shared" si="21"/>
        <v/>
      </c>
    </row>
    <row r="1125" spans="1:8" ht="12.6" customHeight="1">
      <c r="A1125" s="2684">
        <f>$A$4</f>
        <v>19</v>
      </c>
      <c r="B1125" s="2684">
        <v>9.4</v>
      </c>
      <c r="C1125" s="1594"/>
      <c r="D1125" s="2723" t="s">
        <v>2216</v>
      </c>
      <c r="E1125" s="2734"/>
      <c r="F1125" s="1597"/>
      <c r="G1125" s="1473"/>
      <c r="H1125" s="1501" t="str">
        <f t="shared" si="21"/>
        <v/>
      </c>
    </row>
    <row r="1126" spans="1:8" ht="12.6" customHeight="1">
      <c r="A1126" s="1586"/>
      <c r="B1126" s="2684"/>
      <c r="C1126" s="1594"/>
      <c r="D1126" s="2723"/>
      <c r="E1126" s="2734"/>
      <c r="F1126" s="1597"/>
      <c r="G1126" s="1473"/>
      <c r="H1126" s="1501" t="str">
        <f t="shared" si="21"/>
        <v/>
      </c>
    </row>
    <row r="1127" spans="1:8" ht="26.4">
      <c r="A1127" s="1586"/>
      <c r="B1127" s="1593"/>
      <c r="C1127" s="1594"/>
      <c r="D1127" s="1595" t="s">
        <v>2197</v>
      </c>
      <c r="E1127" s="2734"/>
      <c r="F1127" s="1597"/>
      <c r="G1127" s="1473"/>
      <c r="H1127" s="1501" t="str">
        <f t="shared" si="21"/>
        <v/>
      </c>
    </row>
    <row r="1128" spans="1:8" ht="12.6" customHeight="1">
      <c r="A1128" s="1586"/>
      <c r="B1128" s="1593"/>
      <c r="C1128" s="1594"/>
      <c r="D1128" s="904"/>
      <c r="E1128" s="2734"/>
      <c r="F1128" s="1604"/>
      <c r="G1128" s="1473"/>
      <c r="H1128" s="1501" t="str">
        <f t="shared" si="21"/>
        <v/>
      </c>
    </row>
    <row r="1129" spans="1:8" ht="15.6">
      <c r="A1129" s="1586"/>
      <c r="B1129" s="1593" t="s">
        <v>2162</v>
      </c>
      <c r="C1129" s="1594" t="s">
        <v>2175</v>
      </c>
      <c r="D1129" s="1589" t="s">
        <v>2351</v>
      </c>
      <c r="E1129" s="2734" t="s">
        <v>691</v>
      </c>
      <c r="F1129" s="1604">
        <v>20</v>
      </c>
      <c r="G1129" s="1473"/>
      <c r="H1129" s="1501">
        <f t="shared" si="21"/>
        <v>0</v>
      </c>
    </row>
    <row r="1130" spans="1:8" ht="12.6" customHeight="1">
      <c r="A1130" s="1586"/>
      <c r="B1130" s="1593"/>
      <c r="C1130" s="1594"/>
      <c r="D1130" s="1589"/>
      <c r="E1130" s="2734"/>
      <c r="F1130" s="1604"/>
      <c r="G1130" s="1473"/>
      <c r="H1130" s="1501" t="str">
        <f t="shared" si="21"/>
        <v/>
      </c>
    </row>
    <row r="1131" spans="1:8" ht="15.6">
      <c r="A1131" s="1586"/>
      <c r="B1131" s="1593" t="s">
        <v>2164</v>
      </c>
      <c r="C1131" s="1594" t="s">
        <v>2175</v>
      </c>
      <c r="D1131" s="1589" t="s">
        <v>2352</v>
      </c>
      <c r="E1131" s="2734" t="s">
        <v>691</v>
      </c>
      <c r="F1131" s="1604">
        <v>6</v>
      </c>
      <c r="G1131" s="1473"/>
      <c r="H1131" s="1501">
        <f t="shared" si="21"/>
        <v>0</v>
      </c>
    </row>
    <row r="1132" spans="1:8" ht="12.6" customHeight="1">
      <c r="A1132" s="1586"/>
      <c r="B1132" s="1593"/>
      <c r="C1132" s="1594"/>
      <c r="D1132" s="1589"/>
      <c r="E1132" s="2734"/>
      <c r="F1132" s="1604"/>
      <c r="G1132" s="1473"/>
      <c r="H1132" s="1501" t="str">
        <f t="shared" si="21"/>
        <v/>
      </c>
    </row>
    <row r="1133" spans="1:8" ht="15.6">
      <c r="A1133" s="1586"/>
      <c r="B1133" s="1593" t="s">
        <v>2166</v>
      </c>
      <c r="C1133" s="1594" t="s">
        <v>2175</v>
      </c>
      <c r="D1133" s="1589" t="s">
        <v>2353</v>
      </c>
      <c r="E1133" s="2734" t="s">
        <v>691</v>
      </c>
      <c r="F1133" s="1604">
        <v>12</v>
      </c>
      <c r="G1133" s="1473"/>
      <c r="H1133" s="1501">
        <f t="shared" si="21"/>
        <v>0</v>
      </c>
    </row>
    <row r="1134" spans="1:8" ht="12.6" customHeight="1">
      <c r="A1134" s="1586"/>
      <c r="B1134" s="1593"/>
      <c r="C1134" s="1594"/>
      <c r="D1134" s="1589"/>
      <c r="E1134" s="2734"/>
      <c r="F1134" s="1604"/>
      <c r="G1134" s="1473"/>
      <c r="H1134" s="1501" t="str">
        <f t="shared" si="21"/>
        <v/>
      </c>
    </row>
    <row r="1135" spans="1:8" ht="15.6">
      <c r="A1135" s="1586"/>
      <c r="B1135" s="1593" t="s">
        <v>2168</v>
      </c>
      <c r="C1135" s="1594" t="s">
        <v>2175</v>
      </c>
      <c r="D1135" s="1589" t="s">
        <v>2317</v>
      </c>
      <c r="E1135" s="2734" t="s">
        <v>691</v>
      </c>
      <c r="F1135" s="1597">
        <v>16</v>
      </c>
      <c r="G1135" s="1473"/>
      <c r="H1135" s="1501">
        <f t="shared" si="21"/>
        <v>0</v>
      </c>
    </row>
    <row r="1136" spans="1:8" ht="12.6" customHeight="1">
      <c r="A1136" s="1586"/>
      <c r="B1136" s="1593"/>
      <c r="C1136" s="1594"/>
      <c r="D1136" s="1589"/>
      <c r="E1136" s="2734"/>
      <c r="F1136" s="1597"/>
      <c r="G1136" s="1473"/>
      <c r="H1136" s="1501" t="str">
        <f t="shared" si="21"/>
        <v/>
      </c>
    </row>
    <row r="1137" spans="1:8" ht="15.6">
      <c r="A1137" s="1586"/>
      <c r="B1137" s="1593" t="s">
        <v>2171</v>
      </c>
      <c r="C1137" s="1594" t="s">
        <v>2175</v>
      </c>
      <c r="D1137" s="1589" t="s">
        <v>2354</v>
      </c>
      <c r="E1137" s="2734" t="s">
        <v>691</v>
      </c>
      <c r="F1137" s="1604">
        <v>2</v>
      </c>
      <c r="G1137" s="1473"/>
      <c r="H1137" s="1501">
        <f t="shared" si="21"/>
        <v>0</v>
      </c>
    </row>
    <row r="1138" spans="1:8" ht="12.6" customHeight="1">
      <c r="A1138" s="1586"/>
      <c r="B1138" s="1593"/>
      <c r="C1138" s="1594"/>
      <c r="D1138" s="1589"/>
      <c r="E1138" s="2734"/>
      <c r="F1138" s="1604"/>
      <c r="G1138" s="1473"/>
      <c r="H1138" s="1501" t="str">
        <f t="shared" si="21"/>
        <v/>
      </c>
    </row>
    <row r="1139" spans="1:8" ht="15.6">
      <c r="A1139" s="1586"/>
      <c r="B1139" s="1593" t="s">
        <v>2174</v>
      </c>
      <c r="C1139" s="1594" t="s">
        <v>2175</v>
      </c>
      <c r="D1139" s="1589" t="s">
        <v>2355</v>
      </c>
      <c r="E1139" s="2734" t="s">
        <v>691</v>
      </c>
      <c r="F1139" s="1604">
        <v>12</v>
      </c>
      <c r="G1139" s="1473"/>
      <c r="H1139" s="1501">
        <f t="shared" si="21"/>
        <v>0</v>
      </c>
    </row>
    <row r="1140" spans="1:8" ht="12.6" customHeight="1">
      <c r="A1140" s="1586"/>
      <c r="B1140" s="1593"/>
      <c r="C1140" s="1594"/>
      <c r="D1140" s="1589"/>
      <c r="E1140" s="2734"/>
      <c r="F1140" s="1604"/>
      <c r="G1140" s="1473"/>
      <c r="H1140" s="1501" t="str">
        <f t="shared" si="21"/>
        <v/>
      </c>
    </row>
    <row r="1141" spans="1:8" ht="15.6">
      <c r="A1141" s="1586"/>
      <c r="B1141" s="1593" t="s">
        <v>2178</v>
      </c>
      <c r="C1141" s="1594" t="s">
        <v>2175</v>
      </c>
      <c r="D1141" s="1589" t="s">
        <v>2356</v>
      </c>
      <c r="E1141" s="2734" t="s">
        <v>691</v>
      </c>
      <c r="F1141" s="1597">
        <v>2</v>
      </c>
      <c r="G1141" s="1473"/>
      <c r="H1141" s="1501">
        <f t="shared" si="21"/>
        <v>0</v>
      </c>
    </row>
    <row r="1142" spans="1:8" ht="12.6" customHeight="1">
      <c r="A1142" s="1586"/>
      <c r="B1142" s="1593"/>
      <c r="C1142" s="1594"/>
      <c r="D1142" s="1589"/>
      <c r="E1142" s="2734"/>
      <c r="F1142" s="1597"/>
      <c r="G1142" s="1473"/>
      <c r="H1142" s="1501" t="str">
        <f t="shared" si="21"/>
        <v/>
      </c>
    </row>
    <row r="1143" spans="1:8" ht="15.6">
      <c r="A1143" s="1586"/>
      <c r="B1143" s="1593" t="s">
        <v>2180</v>
      </c>
      <c r="C1143" s="1594" t="s">
        <v>2175</v>
      </c>
      <c r="D1143" s="1589" t="s">
        <v>2357</v>
      </c>
      <c r="E1143" s="2734" t="s">
        <v>691</v>
      </c>
      <c r="F1143" s="1597">
        <v>2</v>
      </c>
      <c r="G1143" s="1473"/>
      <c r="H1143" s="1501">
        <f t="shared" si="21"/>
        <v>0</v>
      </c>
    </row>
    <row r="1144" spans="1:8" ht="12.6" customHeight="1">
      <c r="A1144" s="1586"/>
      <c r="B1144" s="1593"/>
      <c r="C1144" s="1594"/>
      <c r="D1144" s="1589"/>
      <c r="E1144" s="2734"/>
      <c r="F1144" s="1597"/>
      <c r="G1144" s="1473"/>
      <c r="H1144" s="1501" t="str">
        <f t="shared" si="21"/>
        <v/>
      </c>
    </row>
    <row r="1145" spans="1:8" ht="15.6">
      <c r="A1145" s="1586"/>
      <c r="B1145" s="1593" t="s">
        <v>2183</v>
      </c>
      <c r="C1145" s="1594" t="s">
        <v>2175</v>
      </c>
      <c r="D1145" s="1589" t="s">
        <v>2358</v>
      </c>
      <c r="E1145" s="2734" t="s">
        <v>691</v>
      </c>
      <c r="F1145" s="1597">
        <v>2</v>
      </c>
      <c r="G1145" s="1473"/>
      <c r="H1145" s="1501">
        <f t="shared" si="21"/>
        <v>0</v>
      </c>
    </row>
    <row r="1146" spans="1:8" ht="12.6" customHeight="1">
      <c r="A1146" s="1586"/>
      <c r="B1146" s="1593"/>
      <c r="C1146" s="1594"/>
      <c r="D1146" s="1589"/>
      <c r="E1146" s="2734"/>
      <c r="F1146" s="1597"/>
      <c r="G1146" s="1473"/>
      <c r="H1146" s="1501" t="str">
        <f t="shared" si="21"/>
        <v/>
      </c>
    </row>
    <row r="1147" spans="1:8" ht="15.6">
      <c r="A1147" s="1586"/>
      <c r="B1147" s="1593" t="s">
        <v>2186</v>
      </c>
      <c r="C1147" s="1594" t="s">
        <v>2175</v>
      </c>
      <c r="D1147" s="1589" t="s">
        <v>2359</v>
      </c>
      <c r="E1147" s="2734" t="s">
        <v>691</v>
      </c>
      <c r="F1147" s="1597">
        <v>2</v>
      </c>
      <c r="G1147" s="1473"/>
      <c r="H1147" s="1501">
        <f t="shared" si="21"/>
        <v>0</v>
      </c>
    </row>
    <row r="1148" spans="1:8">
      <c r="A1148" s="1586"/>
      <c r="B1148" s="1271"/>
      <c r="C1148" s="1155"/>
      <c r="D1148" s="2751"/>
      <c r="E1148" s="147"/>
      <c r="F1148" s="1577"/>
      <c r="G1148" s="1478"/>
      <c r="H1148" s="1501" t="str">
        <f t="shared" si="21"/>
        <v/>
      </c>
    </row>
    <row r="1149" spans="1:8" ht="12.6" customHeight="1">
      <c r="A1149" s="2684">
        <f>$A$4</f>
        <v>19</v>
      </c>
      <c r="B1149" s="2684">
        <v>9.5</v>
      </c>
      <c r="C1149" s="1603"/>
      <c r="D1149" s="2725" t="s">
        <v>2234</v>
      </c>
      <c r="E1149" s="2764"/>
      <c r="F1149" s="2765"/>
      <c r="G1149" s="1473"/>
      <c r="H1149" s="1501" t="str">
        <f t="shared" si="21"/>
        <v/>
      </c>
    </row>
    <row r="1150" spans="1:8">
      <c r="A1150" s="1586"/>
      <c r="B1150" s="2684"/>
      <c r="C1150" s="1603"/>
      <c r="D1150" s="2725"/>
      <c r="E1150" s="2764"/>
      <c r="F1150" s="2765"/>
      <c r="G1150" s="1473"/>
      <c r="H1150" s="1501" t="str">
        <f t="shared" si="21"/>
        <v/>
      </c>
    </row>
    <row r="1151" spans="1:8" ht="39.6">
      <c r="A1151" s="1586"/>
      <c r="B1151" s="2697"/>
      <c r="C1151" s="1606"/>
      <c r="D1151" s="1589" t="s">
        <v>2235</v>
      </c>
      <c r="E1151" s="2766"/>
      <c r="F1151" s="2767"/>
      <c r="G1151" s="1473"/>
      <c r="H1151" s="1501" t="str">
        <f t="shared" si="21"/>
        <v/>
      </c>
    </row>
    <row r="1152" spans="1:8">
      <c r="A1152" s="1586"/>
      <c r="B1152" s="1605"/>
      <c r="C1152" s="1606"/>
      <c r="D1152" s="1589"/>
      <c r="E1152" s="2768"/>
      <c r="F1152" s="1607"/>
      <c r="G1152" s="1473"/>
      <c r="H1152" s="1501" t="str">
        <f t="shared" si="21"/>
        <v/>
      </c>
    </row>
    <row r="1153" spans="1:8" ht="15.6">
      <c r="A1153" s="1586"/>
      <c r="B1153" s="1605" t="s">
        <v>2162</v>
      </c>
      <c r="C1153" s="1594" t="s">
        <v>2175</v>
      </c>
      <c r="D1153" s="1589" t="s">
        <v>2360</v>
      </c>
      <c r="E1153" s="918" t="s">
        <v>691</v>
      </c>
      <c r="F1153" s="1609">
        <v>4</v>
      </c>
      <c r="G1153" s="1473"/>
      <c r="H1153" s="1501">
        <f t="shared" si="21"/>
        <v>0</v>
      </c>
    </row>
    <row r="1154" spans="1:8">
      <c r="A1154" s="1586"/>
      <c r="B1154" s="1593"/>
      <c r="C1154" s="1594"/>
      <c r="D1154" s="2787"/>
      <c r="E1154" s="916"/>
      <c r="F1154" s="2763"/>
      <c r="G1154" s="1473"/>
      <c r="H1154" s="1501" t="str">
        <f t="shared" si="21"/>
        <v/>
      </c>
    </row>
    <row r="1155" spans="1:8">
      <c r="A1155" s="1586"/>
      <c r="B1155" s="1593"/>
      <c r="C1155" s="1594"/>
      <c r="D1155" s="2787"/>
      <c r="E1155" s="916"/>
      <c r="F1155" s="2763"/>
      <c r="G1155" s="1473"/>
      <c r="H1155" s="901"/>
    </row>
    <row r="1156" spans="1:8" ht="12.6" customHeight="1">
      <c r="A1156" s="1586"/>
      <c r="B1156" s="1271"/>
      <c r="C1156" s="1792"/>
      <c r="D1156" s="2647"/>
      <c r="E1156" s="882"/>
      <c r="F1156" s="1577"/>
      <c r="G1156" s="1476"/>
      <c r="H1156" s="902"/>
    </row>
    <row r="1157" spans="1:8">
      <c r="A1157" s="2333"/>
      <c r="B1157" s="822"/>
      <c r="C1157" s="1158"/>
      <c r="D1157" s="840"/>
      <c r="E1157" s="837"/>
      <c r="F1157" s="838"/>
      <c r="G1157" s="2748"/>
      <c r="H1157" s="2749"/>
    </row>
    <row r="1158" spans="1:8">
      <c r="A1158" s="2336"/>
      <c r="B1158" s="823"/>
      <c r="C1158" s="1159"/>
      <c r="D1158" s="774" t="s">
        <v>289</v>
      </c>
      <c r="E1158" s="426"/>
      <c r="F1158" s="24"/>
      <c r="G1158" s="1477"/>
      <c r="H1158" s="2750">
        <f>SUM(H1087:H1156)</f>
        <v>0</v>
      </c>
    </row>
    <row r="1159" spans="1:8" ht="12.6" customHeight="1">
      <c r="A1159" s="1586"/>
      <c r="B1159" s="1271"/>
      <c r="C1159" s="2797"/>
      <c r="D1159" s="2754" t="s">
        <v>290</v>
      </c>
      <c r="E1159" s="147"/>
      <c r="F1159" s="1577"/>
      <c r="G1159" s="1478"/>
      <c r="H1159" s="922">
        <f>H1158</f>
        <v>0</v>
      </c>
    </row>
    <row r="1160" spans="1:8" ht="12.6" customHeight="1">
      <c r="A1160" s="1586"/>
      <c r="B1160" s="1271"/>
      <c r="C1160" s="1792"/>
      <c r="D1160" s="2751"/>
      <c r="E1160" s="147"/>
      <c r="F1160" s="1577"/>
      <c r="G1160" s="1478"/>
      <c r="H1160" s="897"/>
    </row>
    <row r="1161" spans="1:8" ht="12.6" customHeight="1">
      <c r="A1161" s="2684">
        <f>$A$4</f>
        <v>19</v>
      </c>
      <c r="B1161" s="2684">
        <v>9.6</v>
      </c>
      <c r="C1161" s="1594"/>
      <c r="D1161" s="2776" t="s">
        <v>2220</v>
      </c>
      <c r="E1161" s="906"/>
      <c r="F1161" s="2735"/>
      <c r="G1161" s="1473"/>
      <c r="H1161" s="2747"/>
    </row>
    <row r="1162" spans="1:8" ht="12.6" customHeight="1">
      <c r="A1162" s="1586"/>
      <c r="B1162" s="2684"/>
      <c r="C1162" s="1594"/>
      <c r="D1162" s="2776"/>
      <c r="E1162" s="906"/>
      <c r="F1162" s="2735"/>
      <c r="G1162" s="1473"/>
      <c r="H1162" s="2747"/>
    </row>
    <row r="1163" spans="1:8" ht="16.2">
      <c r="A1163" s="1586"/>
      <c r="B1163" s="1593" t="s">
        <v>2162</v>
      </c>
      <c r="C1163" s="1594" t="s">
        <v>2221</v>
      </c>
      <c r="D1163" s="1600" t="s">
        <v>2222</v>
      </c>
      <c r="E1163" s="934" t="s">
        <v>631</v>
      </c>
      <c r="F1163" s="2719">
        <v>28.799999999999997</v>
      </c>
      <c r="G1163" s="1473"/>
      <c r="H1163" s="1501">
        <f t="shared" ref="H1163:H1226" si="22">IF(E1163="","",ROUND(F1163*G1163,2))</f>
        <v>0</v>
      </c>
    </row>
    <row r="1164" spans="1:8" ht="12.6" customHeight="1">
      <c r="A1164" s="1586"/>
      <c r="B1164" s="1593"/>
      <c r="C1164" s="1594"/>
      <c r="D1164" s="1600"/>
      <c r="E1164" s="934"/>
      <c r="F1164" s="2719"/>
      <c r="G1164" s="1473"/>
      <c r="H1164" s="1501" t="str">
        <f t="shared" si="22"/>
        <v/>
      </c>
    </row>
    <row r="1165" spans="1:8" ht="16.2">
      <c r="A1165" s="1586"/>
      <c r="B1165" s="1604" t="s">
        <v>2164</v>
      </c>
      <c r="C1165" s="1594" t="s">
        <v>2221</v>
      </c>
      <c r="D1165" s="1595" t="s">
        <v>2223</v>
      </c>
      <c r="E1165" s="2762" t="s">
        <v>631</v>
      </c>
      <c r="F1165" s="2719">
        <v>28.799999999999997</v>
      </c>
      <c r="G1165" s="1473"/>
      <c r="H1165" s="1501">
        <f t="shared" si="22"/>
        <v>0</v>
      </c>
    </row>
    <row r="1166" spans="1:8" ht="12.6" customHeight="1">
      <c r="A1166" s="1586"/>
      <c r="B1166" s="2780"/>
      <c r="C1166" s="2770"/>
      <c r="D1166" s="935"/>
      <c r="E1166" s="2683"/>
      <c r="F1166" s="2789"/>
      <c r="G1166" s="1473"/>
      <c r="H1166" s="1501" t="str">
        <f t="shared" si="22"/>
        <v/>
      </c>
    </row>
    <row r="1167" spans="1:8" ht="12.6" customHeight="1">
      <c r="A1167" s="2684">
        <f>$A$4</f>
        <v>19</v>
      </c>
      <c r="B1167" s="2684">
        <v>9.6999999999999993</v>
      </c>
      <c r="C1167" s="1594"/>
      <c r="D1167" s="2723" t="s">
        <v>2224</v>
      </c>
      <c r="E1167" s="1596"/>
      <c r="F1167" s="2763"/>
      <c r="G1167" s="1473"/>
      <c r="H1167" s="1501" t="str">
        <f t="shared" si="22"/>
        <v/>
      </c>
    </row>
    <row r="1168" spans="1:8" ht="12.6" customHeight="1">
      <c r="A1168" s="1586"/>
      <c r="B1168" s="2684"/>
      <c r="C1168" s="1594"/>
      <c r="D1168" s="2722"/>
      <c r="E1168" s="1596"/>
      <c r="F1168" s="2763"/>
      <c r="G1168" s="1473"/>
      <c r="H1168" s="1501" t="str">
        <f t="shared" si="22"/>
        <v/>
      </c>
    </row>
    <row r="1169" spans="1:8" ht="12.6" customHeight="1">
      <c r="A1169" s="1586"/>
      <c r="B1169" s="1593" t="s">
        <v>2162</v>
      </c>
      <c r="C1169" s="1594" t="s">
        <v>2225</v>
      </c>
      <c r="D1169" s="1595" t="s">
        <v>2289</v>
      </c>
      <c r="E1169" s="1596" t="s">
        <v>691</v>
      </c>
      <c r="F1169" s="1604">
        <v>6</v>
      </c>
      <c r="G1169" s="1473"/>
      <c r="H1169" s="1501">
        <f t="shared" si="22"/>
        <v>0</v>
      </c>
    </row>
    <row r="1170" spans="1:8" ht="12.6" customHeight="1">
      <c r="A1170" s="1586"/>
      <c r="B1170" s="1271"/>
      <c r="C1170" s="1155"/>
      <c r="D1170" s="2751"/>
      <c r="E1170" s="147"/>
      <c r="F1170" s="1577"/>
      <c r="G1170" s="1478"/>
      <c r="H1170" s="1501" t="str">
        <f t="shared" si="22"/>
        <v/>
      </c>
    </row>
    <row r="1171" spans="1:8" ht="12.6" customHeight="1">
      <c r="A1171" s="2684">
        <f>$A$4</f>
        <v>19</v>
      </c>
      <c r="B1171" s="2684">
        <v>9.8000000000000007</v>
      </c>
      <c r="C1171" s="1594"/>
      <c r="D1171" s="2776" t="s">
        <v>2227</v>
      </c>
      <c r="E1171" s="147"/>
      <c r="F1171" s="1577"/>
      <c r="G1171" s="1478"/>
      <c r="H1171" s="1501" t="str">
        <f t="shared" si="22"/>
        <v/>
      </c>
    </row>
    <row r="1172" spans="1:8">
      <c r="A1172" s="1586"/>
      <c r="B1172" s="1271"/>
      <c r="C1172" s="1792"/>
      <c r="D1172" s="2751"/>
      <c r="E1172" s="147"/>
      <c r="F1172" s="1577"/>
      <c r="G1172" s="1478"/>
      <c r="H1172" s="1501" t="str">
        <f t="shared" si="22"/>
        <v/>
      </c>
    </row>
    <row r="1173" spans="1:8" ht="26.4">
      <c r="A1173" s="1586"/>
      <c r="B1173" s="1593"/>
      <c r="C1173" s="1594" t="s">
        <v>2228</v>
      </c>
      <c r="D1173" s="1600" t="s">
        <v>2361</v>
      </c>
      <c r="E1173" s="916"/>
      <c r="F1173" s="2673"/>
      <c r="G1173" s="1473"/>
      <c r="H1173" s="1501" t="str">
        <f t="shared" si="22"/>
        <v/>
      </c>
    </row>
    <row r="1174" spans="1:8">
      <c r="A1174" s="1586"/>
      <c r="B1174" s="1593"/>
      <c r="C1174" s="1594"/>
      <c r="D1174" s="1595"/>
      <c r="E1174" s="1596"/>
      <c r="F1174" s="1597"/>
      <c r="G1174" s="1473"/>
      <c r="H1174" s="1501" t="str">
        <f t="shared" si="22"/>
        <v/>
      </c>
    </row>
    <row r="1175" spans="1:8" ht="12.6" customHeight="1">
      <c r="A1175" s="1586"/>
      <c r="B1175" s="1593" t="s">
        <v>2162</v>
      </c>
      <c r="C1175" s="1594" t="s">
        <v>2228</v>
      </c>
      <c r="D1175" s="1595" t="s">
        <v>2230</v>
      </c>
      <c r="E1175" s="1596" t="s">
        <v>561</v>
      </c>
      <c r="F1175" s="1597">
        <v>90</v>
      </c>
      <c r="G1175" s="1473"/>
      <c r="H1175" s="1501">
        <f t="shared" si="22"/>
        <v>0</v>
      </c>
    </row>
    <row r="1176" spans="1:8" ht="12.6" customHeight="1">
      <c r="A1176" s="1586"/>
      <c r="B1176" s="1593"/>
      <c r="C1176" s="1594"/>
      <c r="D1176" s="1595"/>
      <c r="E1176" s="1596"/>
      <c r="F1176" s="1597"/>
      <c r="G1176" s="1473"/>
      <c r="H1176" s="1501" t="str">
        <f t="shared" si="22"/>
        <v/>
      </c>
    </row>
    <row r="1177" spans="1:8" ht="12.6" customHeight="1">
      <c r="A1177" s="1586"/>
      <c r="B1177" s="1604" t="s">
        <v>2164</v>
      </c>
      <c r="C1177" s="1594" t="s">
        <v>2228</v>
      </c>
      <c r="D1177" s="1595" t="s">
        <v>2231</v>
      </c>
      <c r="E1177" s="1596" t="s">
        <v>561</v>
      </c>
      <c r="F1177" s="1597">
        <v>90</v>
      </c>
      <c r="G1177" s="1473"/>
      <c r="H1177" s="1501">
        <f t="shared" si="22"/>
        <v>0</v>
      </c>
    </row>
    <row r="1178" spans="1:8" ht="12.6" customHeight="1">
      <c r="A1178" s="1586"/>
      <c r="B1178" s="1604"/>
      <c r="C1178" s="1594"/>
      <c r="D1178" s="1595"/>
      <c r="E1178" s="1596"/>
      <c r="F1178" s="1597"/>
      <c r="G1178" s="1473"/>
      <c r="H1178" s="1501" t="str">
        <f t="shared" si="22"/>
        <v/>
      </c>
    </row>
    <row r="1179" spans="1:8" ht="12.6" customHeight="1">
      <c r="A1179" s="1586"/>
      <c r="B1179" s="1604" t="s">
        <v>2166</v>
      </c>
      <c r="C1179" s="1594" t="s">
        <v>2228</v>
      </c>
      <c r="D1179" s="1595" t="s">
        <v>2263</v>
      </c>
      <c r="E1179" s="1596" t="s">
        <v>561</v>
      </c>
      <c r="F1179" s="1597">
        <v>90</v>
      </c>
      <c r="G1179" s="1473"/>
      <c r="H1179" s="1501">
        <f t="shared" si="22"/>
        <v>0</v>
      </c>
    </row>
    <row r="1180" spans="1:8" ht="12.6" customHeight="1">
      <c r="A1180" s="1586"/>
      <c r="B1180" s="1604"/>
      <c r="C1180" s="1594"/>
      <c r="D1180" s="1595"/>
      <c r="E1180" s="1596"/>
      <c r="F1180" s="1597"/>
      <c r="G1180" s="1473"/>
      <c r="H1180" s="1501" t="str">
        <f t="shared" si="22"/>
        <v/>
      </c>
    </row>
    <row r="1181" spans="1:8" ht="12.6" customHeight="1">
      <c r="A1181" s="1586"/>
      <c r="B1181" s="1604" t="s">
        <v>2168</v>
      </c>
      <c r="C1181" s="1594" t="s">
        <v>2228</v>
      </c>
      <c r="D1181" s="1595" t="s">
        <v>2291</v>
      </c>
      <c r="E1181" s="1596" t="s">
        <v>561</v>
      </c>
      <c r="F1181" s="1597">
        <v>90</v>
      </c>
      <c r="G1181" s="1473"/>
      <c r="H1181" s="1501">
        <f t="shared" si="22"/>
        <v>0</v>
      </c>
    </row>
    <row r="1182" spans="1:8" ht="12.6" customHeight="1">
      <c r="A1182" s="1586"/>
      <c r="B1182" s="1604"/>
      <c r="C1182" s="1594"/>
      <c r="D1182" s="1595"/>
      <c r="E1182" s="1596"/>
      <c r="F1182" s="1597"/>
      <c r="G1182" s="1473"/>
      <c r="H1182" s="1501" t="str">
        <f t="shared" si="22"/>
        <v/>
      </c>
    </row>
    <row r="1183" spans="1:8" ht="15.6">
      <c r="A1183" s="1586"/>
      <c r="B1183" s="1604" t="s">
        <v>2171</v>
      </c>
      <c r="C1183" s="1594" t="s">
        <v>2228</v>
      </c>
      <c r="D1183" s="1595" t="s">
        <v>2232</v>
      </c>
      <c r="E1183" s="1596" t="s">
        <v>691</v>
      </c>
      <c r="F1183" s="2724">
        <v>10</v>
      </c>
      <c r="G1183" s="1473"/>
      <c r="H1183" s="1501">
        <f t="shared" si="22"/>
        <v>0</v>
      </c>
    </row>
    <row r="1184" spans="1:8" ht="12.6" customHeight="1">
      <c r="A1184" s="1586"/>
      <c r="B1184" s="1604"/>
      <c r="C1184" s="1594"/>
      <c r="D1184" s="1595"/>
      <c r="E1184" s="1596"/>
      <c r="F1184" s="2724"/>
      <c r="G1184" s="1473"/>
      <c r="H1184" s="1501" t="str">
        <f t="shared" si="22"/>
        <v/>
      </c>
    </row>
    <row r="1185" spans="1:8" ht="15.6">
      <c r="A1185" s="1586"/>
      <c r="B1185" s="1604" t="s">
        <v>2174</v>
      </c>
      <c r="C1185" s="1594" t="s">
        <v>2228</v>
      </c>
      <c r="D1185" s="1595" t="s">
        <v>2233</v>
      </c>
      <c r="E1185" s="1596" t="s">
        <v>691</v>
      </c>
      <c r="F1185" s="2724">
        <v>10</v>
      </c>
      <c r="G1185" s="1473"/>
      <c r="H1185" s="1501">
        <f t="shared" si="22"/>
        <v>0</v>
      </c>
    </row>
    <row r="1186" spans="1:8" ht="12.6" customHeight="1">
      <c r="A1186" s="1586"/>
      <c r="B1186" s="1604"/>
      <c r="C1186" s="1594"/>
      <c r="D1186" s="1595"/>
      <c r="E1186" s="1596"/>
      <c r="F1186" s="2724"/>
      <c r="G1186" s="1473"/>
      <c r="H1186" s="1501" t="str">
        <f t="shared" si="22"/>
        <v/>
      </c>
    </row>
    <row r="1187" spans="1:8" ht="15.6">
      <c r="A1187" s="1586"/>
      <c r="B1187" s="2691" t="s">
        <v>2178</v>
      </c>
      <c r="C1187" s="1594" t="s">
        <v>2228</v>
      </c>
      <c r="D1187" s="1595" t="s">
        <v>2265</v>
      </c>
      <c r="E1187" s="1596" t="s">
        <v>691</v>
      </c>
      <c r="F1187" s="1604">
        <v>10</v>
      </c>
      <c r="G1187" s="1473"/>
      <c r="H1187" s="1501">
        <f t="shared" si="22"/>
        <v>0</v>
      </c>
    </row>
    <row r="1188" spans="1:8" ht="12.6" customHeight="1">
      <c r="A1188" s="1586"/>
      <c r="B1188" s="2691"/>
      <c r="C1188" s="1599"/>
      <c r="D1188" s="1595"/>
      <c r="E1188" s="1596"/>
      <c r="F1188" s="1604"/>
      <c r="G1188" s="1473"/>
      <c r="H1188" s="1501" t="str">
        <f t="shared" si="22"/>
        <v/>
      </c>
    </row>
    <row r="1189" spans="1:8" ht="15.6">
      <c r="A1189" s="1586"/>
      <c r="B1189" s="1598" t="s">
        <v>2180</v>
      </c>
      <c r="C1189" s="1594" t="s">
        <v>2228</v>
      </c>
      <c r="D1189" s="1595" t="s">
        <v>2292</v>
      </c>
      <c r="E1189" s="1590" t="s">
        <v>691</v>
      </c>
      <c r="F1189" s="1601">
        <v>10</v>
      </c>
      <c r="G1189" s="1473"/>
      <c r="H1189" s="1501">
        <f t="shared" si="22"/>
        <v>0</v>
      </c>
    </row>
    <row r="1190" spans="1:8" ht="12.6" customHeight="1">
      <c r="A1190" s="1586"/>
      <c r="B1190" s="2780"/>
      <c r="C1190" s="2770"/>
      <c r="D1190" s="935"/>
      <c r="E1190" s="2683"/>
      <c r="F1190" s="2789"/>
      <c r="G1190" s="1473"/>
      <c r="H1190" s="1501" t="str">
        <f t="shared" si="22"/>
        <v/>
      </c>
    </row>
    <row r="1191" spans="1:8" ht="12.6" customHeight="1">
      <c r="A1191" s="2684">
        <f>$A$4</f>
        <v>19</v>
      </c>
      <c r="B1191" s="2684">
        <v>9.9</v>
      </c>
      <c r="C1191" s="1594"/>
      <c r="D1191" s="2723" t="s">
        <v>2362</v>
      </c>
      <c r="E1191" s="1596"/>
      <c r="F1191" s="2673"/>
      <c r="G1191" s="1473"/>
      <c r="H1191" s="1501" t="str">
        <f t="shared" si="22"/>
        <v/>
      </c>
    </row>
    <row r="1192" spans="1:8" ht="12.6" customHeight="1">
      <c r="A1192" s="1586"/>
      <c r="B1192" s="2684"/>
      <c r="C1192" s="1594"/>
      <c r="D1192" s="2723"/>
      <c r="E1192" s="1596"/>
      <c r="F1192" s="2673"/>
      <c r="G1192" s="1473"/>
      <c r="H1192" s="1501" t="str">
        <f t="shared" si="22"/>
        <v/>
      </c>
    </row>
    <row r="1193" spans="1:8" ht="26.4">
      <c r="A1193" s="1586"/>
      <c r="B1193" s="1593"/>
      <c r="C1193" s="1594" t="s">
        <v>2228</v>
      </c>
      <c r="D1193" s="1595" t="s">
        <v>2363</v>
      </c>
      <c r="E1193" s="1596"/>
      <c r="F1193" s="2673"/>
      <c r="G1193" s="1473"/>
      <c r="H1193" s="1501" t="str">
        <f t="shared" si="22"/>
        <v/>
      </c>
    </row>
    <row r="1194" spans="1:8" ht="12.6" customHeight="1">
      <c r="A1194" s="1586"/>
      <c r="B1194" s="1593"/>
      <c r="C1194" s="1594"/>
      <c r="D1194" s="1595"/>
      <c r="E1194" s="1596"/>
      <c r="F1194" s="1597"/>
      <c r="G1194" s="1473"/>
      <c r="H1194" s="1501" t="str">
        <f t="shared" si="22"/>
        <v/>
      </c>
    </row>
    <row r="1195" spans="1:8" ht="12.6" customHeight="1">
      <c r="A1195" s="1586"/>
      <c r="B1195" s="1593" t="s">
        <v>2162</v>
      </c>
      <c r="C1195" s="1594" t="s">
        <v>2228</v>
      </c>
      <c r="D1195" s="1595" t="s">
        <v>2364</v>
      </c>
      <c r="E1195" s="1596" t="s">
        <v>561</v>
      </c>
      <c r="F1195" s="1597">
        <v>20</v>
      </c>
      <c r="G1195" s="1473"/>
      <c r="H1195" s="1501">
        <f t="shared" si="22"/>
        <v>0</v>
      </c>
    </row>
    <row r="1196" spans="1:8" ht="12.6" customHeight="1">
      <c r="A1196" s="1586"/>
      <c r="B1196" s="1593"/>
      <c r="C1196" s="1594"/>
      <c r="D1196" s="1595"/>
      <c r="E1196" s="1596"/>
      <c r="F1196" s="1597"/>
      <c r="G1196" s="1473"/>
      <c r="H1196" s="1501" t="str">
        <f t="shared" si="22"/>
        <v/>
      </c>
    </row>
    <row r="1197" spans="1:8" ht="15.6">
      <c r="A1197" s="1586"/>
      <c r="B1197" s="1604" t="s">
        <v>2164</v>
      </c>
      <c r="C1197" s="1594" t="s">
        <v>2228</v>
      </c>
      <c r="D1197" s="1595" t="s">
        <v>2365</v>
      </c>
      <c r="E1197" s="1596" t="s">
        <v>691</v>
      </c>
      <c r="F1197" s="2724">
        <v>4</v>
      </c>
      <c r="G1197" s="1473"/>
      <c r="H1197" s="1501">
        <f t="shared" si="22"/>
        <v>0</v>
      </c>
    </row>
    <row r="1198" spans="1:8" ht="12.6" customHeight="1">
      <c r="A1198" s="1586"/>
      <c r="B1198" s="1604"/>
      <c r="C1198" s="1594"/>
      <c r="D1198" s="1595"/>
      <c r="E1198" s="1596"/>
      <c r="F1198" s="1597"/>
      <c r="G1198" s="1473"/>
      <c r="H1198" s="1501" t="str">
        <f t="shared" si="22"/>
        <v/>
      </c>
    </row>
    <row r="1199" spans="1:8" ht="12.6" customHeight="1">
      <c r="A1199" s="2684">
        <f>$A$4</f>
        <v>19</v>
      </c>
      <c r="B1199" s="2786">
        <v>9.1</v>
      </c>
      <c r="C1199" s="1588"/>
      <c r="D1199" s="2723" t="s">
        <v>2318</v>
      </c>
      <c r="E1199" s="2782"/>
      <c r="F1199" s="2782"/>
      <c r="G1199" s="1473"/>
      <c r="H1199" s="1501" t="str">
        <f t="shared" si="22"/>
        <v/>
      </c>
    </row>
    <row r="1200" spans="1:8" ht="12.6" customHeight="1">
      <c r="A1200" s="1586"/>
      <c r="B1200" s="2684"/>
      <c r="C1200" s="1588"/>
      <c r="D1200" s="920"/>
      <c r="E1200" s="2782"/>
      <c r="F1200" s="2782"/>
      <c r="G1200" s="1473"/>
      <c r="H1200" s="1501" t="str">
        <f t="shared" si="22"/>
        <v/>
      </c>
    </row>
    <row r="1201" spans="1:8" ht="12.6" customHeight="1">
      <c r="A1201" s="1586"/>
      <c r="B1201" s="1587" t="s">
        <v>2162</v>
      </c>
      <c r="C1201" s="1588" t="s">
        <v>2304</v>
      </c>
      <c r="D1201" s="1589" t="s">
        <v>2366</v>
      </c>
      <c r="E1201" s="1591" t="s">
        <v>976</v>
      </c>
      <c r="F1201" s="2785">
        <v>1</v>
      </c>
      <c r="G1201" s="1473"/>
      <c r="H1201" s="1501">
        <f t="shared" si="22"/>
        <v>0</v>
      </c>
    </row>
    <row r="1202" spans="1:8" ht="12.6" customHeight="1">
      <c r="A1202" s="1586"/>
      <c r="B1202" s="1587"/>
      <c r="C1202" s="2783"/>
      <c r="D1202" s="1589"/>
      <c r="E1202" s="1591"/>
      <c r="F1202" s="2785"/>
      <c r="G1202" s="1473"/>
      <c r="H1202" s="1501" t="str">
        <f t="shared" si="22"/>
        <v/>
      </c>
    </row>
    <row r="1203" spans="1:8">
      <c r="A1203" s="2684">
        <f>$A$4</f>
        <v>19</v>
      </c>
      <c r="B1203" s="2684">
        <v>9.11</v>
      </c>
      <c r="C1203" s="1588"/>
      <c r="D1203" s="2723" t="s">
        <v>2306</v>
      </c>
      <c r="E1203" s="2782"/>
      <c r="F1203" s="2782"/>
      <c r="G1203" s="1473"/>
      <c r="H1203" s="1501" t="str">
        <f t="shared" si="22"/>
        <v/>
      </c>
    </row>
    <row r="1204" spans="1:8">
      <c r="A1204" s="1586"/>
      <c r="B1204" s="2684"/>
      <c r="C1204" s="1588"/>
      <c r="D1204" s="920"/>
      <c r="E1204" s="2782"/>
      <c r="F1204" s="2782"/>
      <c r="G1204" s="1473"/>
      <c r="H1204" s="1501" t="str">
        <f t="shared" si="22"/>
        <v/>
      </c>
    </row>
    <row r="1205" spans="1:8" ht="26.4">
      <c r="A1205" s="1586"/>
      <c r="B1205" s="1587" t="s">
        <v>2162</v>
      </c>
      <c r="C1205" s="1588" t="s">
        <v>2307</v>
      </c>
      <c r="D1205" s="1589" t="s">
        <v>2308</v>
      </c>
      <c r="E1205" s="1591" t="s">
        <v>691</v>
      </c>
      <c r="F1205" s="2785">
        <v>4</v>
      </c>
      <c r="G1205" s="1473"/>
      <c r="H1205" s="1501">
        <f t="shared" si="22"/>
        <v>0</v>
      </c>
    </row>
    <row r="1206" spans="1:8" ht="12.6" customHeight="1">
      <c r="A1206" s="1586"/>
      <c r="B1206" s="1271"/>
      <c r="C1206" s="1155"/>
      <c r="D1206" s="2751"/>
      <c r="E1206" s="147"/>
      <c r="F1206" s="1577"/>
      <c r="G1206" s="1478"/>
      <c r="H1206" s="1501" t="str">
        <f t="shared" si="22"/>
        <v/>
      </c>
    </row>
    <row r="1207" spans="1:8" ht="12.6" customHeight="1">
      <c r="A1207" s="2684">
        <f>$A$4</f>
        <v>19</v>
      </c>
      <c r="B1207" s="2684">
        <v>9.1199999999999992</v>
      </c>
      <c r="C1207" s="2783"/>
      <c r="D1207" s="2723" t="s">
        <v>2367</v>
      </c>
      <c r="E1207" s="2726"/>
      <c r="F1207" s="1609"/>
      <c r="G1207" s="1473"/>
      <c r="H1207" s="1501" t="str">
        <f t="shared" si="22"/>
        <v/>
      </c>
    </row>
    <row r="1208" spans="1:8" ht="12.6" customHeight="1">
      <c r="A1208" s="1586"/>
      <c r="B1208" s="2684"/>
      <c r="C1208" s="2783"/>
      <c r="D1208" s="920"/>
      <c r="E1208" s="2726"/>
      <c r="F1208" s="1609"/>
      <c r="G1208" s="1473"/>
      <c r="H1208" s="1501" t="str">
        <f t="shared" si="22"/>
        <v/>
      </c>
    </row>
    <row r="1209" spans="1:8" ht="12.6" customHeight="1">
      <c r="A1209" s="1586"/>
      <c r="B1209" s="1587" t="s">
        <v>2162</v>
      </c>
      <c r="C1209" s="1588" t="s">
        <v>2368</v>
      </c>
      <c r="D1209" s="1589" t="s">
        <v>2369</v>
      </c>
      <c r="E1209" s="1590" t="s">
        <v>691</v>
      </c>
      <c r="F1209" s="1591">
        <v>1</v>
      </c>
      <c r="G1209" s="1473"/>
      <c r="H1209" s="1501">
        <f t="shared" si="22"/>
        <v>0</v>
      </c>
    </row>
    <row r="1210" spans="1:8" ht="12.6" customHeight="1">
      <c r="A1210" s="1586"/>
      <c r="B1210" s="1593"/>
      <c r="C1210" s="1603"/>
      <c r="D1210" s="1589"/>
      <c r="E1210" s="1590"/>
      <c r="F1210" s="1591"/>
      <c r="G1210" s="1473"/>
      <c r="H1210" s="1501" t="str">
        <f t="shared" si="22"/>
        <v/>
      </c>
    </row>
    <row r="1211" spans="1:8" ht="12.6" customHeight="1">
      <c r="A1211" s="2684">
        <f>$A$4</f>
        <v>19</v>
      </c>
      <c r="B1211" s="2684">
        <v>9.1300000000000008</v>
      </c>
      <c r="C1211" s="2783"/>
      <c r="D1211" s="2723" t="s">
        <v>2370</v>
      </c>
      <c r="E1211" s="2726"/>
      <c r="F1211" s="1609"/>
      <c r="G1211" s="1473"/>
      <c r="H1211" s="1501" t="str">
        <f t="shared" si="22"/>
        <v/>
      </c>
    </row>
    <row r="1212" spans="1:8" ht="12.6" customHeight="1">
      <c r="A1212" s="1586"/>
      <c r="B1212" s="1587"/>
      <c r="C1212" s="2783"/>
      <c r="D1212" s="900"/>
      <c r="E1212" s="2726"/>
      <c r="F1212" s="1609"/>
      <c r="G1212" s="1473"/>
      <c r="H1212" s="1501" t="str">
        <f t="shared" si="22"/>
        <v/>
      </c>
    </row>
    <row r="1213" spans="1:8" ht="26.4">
      <c r="A1213" s="1586"/>
      <c r="B1213" s="1587"/>
      <c r="C1213" s="1588" t="s">
        <v>2368</v>
      </c>
      <c r="D1213" s="1589" t="s">
        <v>2371</v>
      </c>
      <c r="E1213" s="1590"/>
      <c r="F1213" s="1591"/>
      <c r="G1213" s="1473"/>
      <c r="H1213" s="1501" t="str">
        <f t="shared" si="22"/>
        <v/>
      </c>
    </row>
    <row r="1214" spans="1:8" ht="12.6" customHeight="1">
      <c r="A1214" s="1586"/>
      <c r="B1214" s="1593"/>
      <c r="C1214" s="1603"/>
      <c r="D1214" s="903"/>
      <c r="E1214" s="1590"/>
      <c r="F1214" s="1591"/>
      <c r="G1214" s="1473"/>
      <c r="H1214" s="1501" t="str">
        <f t="shared" si="22"/>
        <v/>
      </c>
    </row>
    <row r="1215" spans="1:8" ht="12.6" customHeight="1">
      <c r="A1215" s="1586"/>
      <c r="B1215" s="1587" t="s">
        <v>2162</v>
      </c>
      <c r="C1215" s="1588" t="s">
        <v>2368</v>
      </c>
      <c r="D1215" s="1595" t="s">
        <v>2372</v>
      </c>
      <c r="E1215" s="1590" t="s">
        <v>691</v>
      </c>
      <c r="F1215" s="1609">
        <v>1</v>
      </c>
      <c r="G1215" s="1473"/>
      <c r="H1215" s="1501">
        <f t="shared" si="22"/>
        <v>0</v>
      </c>
    </row>
    <row r="1216" spans="1:8" ht="12.6" customHeight="1">
      <c r="A1216" s="1586"/>
      <c r="B1216" s="1587"/>
      <c r="C1216" s="2783"/>
      <c r="D1216" s="1595"/>
      <c r="E1216" s="1590"/>
      <c r="F1216" s="1609"/>
      <c r="G1216" s="1473"/>
      <c r="H1216" s="1501" t="str">
        <f t="shared" si="22"/>
        <v/>
      </c>
    </row>
    <row r="1217" spans="1:8" ht="12.6" customHeight="1">
      <c r="A1217" s="1586"/>
      <c r="B1217" s="1604" t="s">
        <v>2164</v>
      </c>
      <c r="C1217" s="1588" t="s">
        <v>2368</v>
      </c>
      <c r="D1217" s="1595" t="s">
        <v>2373</v>
      </c>
      <c r="E1217" s="1590" t="s">
        <v>691</v>
      </c>
      <c r="F1217" s="1609">
        <v>1</v>
      </c>
      <c r="G1217" s="1473"/>
      <c r="H1217" s="1501">
        <f t="shared" si="22"/>
        <v>0</v>
      </c>
    </row>
    <row r="1218" spans="1:8" ht="12.6" customHeight="1">
      <c r="A1218" s="1586"/>
      <c r="B1218" s="1587"/>
      <c r="C1218" s="2783"/>
      <c r="D1218" s="904"/>
      <c r="E1218" s="1590"/>
      <c r="F1218" s="1609"/>
      <c r="G1218" s="1473"/>
      <c r="H1218" s="1501" t="str">
        <f t="shared" si="22"/>
        <v/>
      </c>
    </row>
    <row r="1219" spans="1:8" ht="12.6" customHeight="1">
      <c r="A1219" s="1586"/>
      <c r="B1219" s="1587" t="s">
        <v>2166</v>
      </c>
      <c r="C1219" s="1588" t="s">
        <v>2368</v>
      </c>
      <c r="D1219" s="1589" t="s">
        <v>2374</v>
      </c>
      <c r="E1219" s="1590" t="s">
        <v>691</v>
      </c>
      <c r="F1219" s="1591">
        <v>1</v>
      </c>
      <c r="G1219" s="1473"/>
      <c r="H1219" s="1501">
        <f t="shared" si="22"/>
        <v>0</v>
      </c>
    </row>
    <row r="1220" spans="1:8" ht="12.6" customHeight="1">
      <c r="A1220" s="1586"/>
      <c r="B1220" s="1593"/>
      <c r="C1220" s="1603"/>
      <c r="D1220" s="1589"/>
      <c r="E1220" s="1590"/>
      <c r="F1220" s="1591"/>
      <c r="G1220" s="1473"/>
      <c r="H1220" s="1501" t="str">
        <f t="shared" si="22"/>
        <v/>
      </c>
    </row>
    <row r="1221" spans="1:8" ht="12.6" customHeight="1">
      <c r="A1221" s="1586"/>
      <c r="B1221" s="1593" t="s">
        <v>2168</v>
      </c>
      <c r="C1221" s="1588" t="s">
        <v>2368</v>
      </c>
      <c r="D1221" s="1589" t="s">
        <v>2375</v>
      </c>
      <c r="E1221" s="1590" t="s">
        <v>691</v>
      </c>
      <c r="F1221" s="1591">
        <v>1</v>
      </c>
      <c r="G1221" s="1473"/>
      <c r="H1221" s="1501">
        <f t="shared" si="22"/>
        <v>0</v>
      </c>
    </row>
    <row r="1222" spans="1:8" ht="12.6" customHeight="1">
      <c r="A1222" s="1586"/>
      <c r="B1222" s="2807"/>
      <c r="C1222" s="2738"/>
      <c r="D1222" s="1595"/>
      <c r="E1222" s="2672"/>
      <c r="F1222" s="2763"/>
      <c r="G1222" s="1473"/>
      <c r="H1222" s="1501" t="str">
        <f t="shared" si="22"/>
        <v/>
      </c>
    </row>
    <row r="1223" spans="1:8" ht="12.6" customHeight="1">
      <c r="A1223" s="2684">
        <f>$A$4</f>
        <v>19</v>
      </c>
      <c r="B1223" s="2684">
        <v>9.14</v>
      </c>
      <c r="C1223" s="2783"/>
      <c r="D1223" s="2723" t="s">
        <v>2376</v>
      </c>
      <c r="E1223" s="2726"/>
      <c r="F1223" s="1609"/>
      <c r="G1223" s="1473"/>
      <c r="H1223" s="1501" t="str">
        <f t="shared" si="22"/>
        <v/>
      </c>
    </row>
    <row r="1224" spans="1:8">
      <c r="A1224" s="1586"/>
      <c r="B1224" s="2684"/>
      <c r="C1224" s="2783"/>
      <c r="D1224" s="920"/>
      <c r="E1224" s="2726"/>
      <c r="F1224" s="1609"/>
      <c r="G1224" s="1473"/>
      <c r="H1224" s="1501" t="str">
        <f t="shared" si="22"/>
        <v/>
      </c>
    </row>
    <row r="1225" spans="1:8" ht="12.6" customHeight="1">
      <c r="A1225" s="1586"/>
      <c r="B1225" s="1587" t="s">
        <v>2162</v>
      </c>
      <c r="C1225" s="1588" t="s">
        <v>2377</v>
      </c>
      <c r="D1225" s="1589" t="s">
        <v>2378</v>
      </c>
      <c r="E1225" s="1590" t="s">
        <v>691</v>
      </c>
      <c r="F1225" s="1591">
        <v>1</v>
      </c>
      <c r="G1225" s="1473"/>
      <c r="H1225" s="1501">
        <f t="shared" si="22"/>
        <v>0</v>
      </c>
    </row>
    <row r="1226" spans="1:8" ht="12.6" customHeight="1">
      <c r="A1226" s="1586"/>
      <c r="B1226" s="2780"/>
      <c r="C1226" s="2770"/>
      <c r="D1226" s="935"/>
      <c r="E1226" s="2683"/>
      <c r="F1226" s="2789"/>
      <c r="G1226" s="1473"/>
      <c r="H1226" s="1501" t="str">
        <f t="shared" si="22"/>
        <v/>
      </c>
    </row>
    <row r="1227" spans="1:8" ht="12.6" customHeight="1">
      <c r="A1227" s="2684">
        <f>$A$4</f>
        <v>19</v>
      </c>
      <c r="B1227" s="2684">
        <v>9.15</v>
      </c>
      <c r="C1227" s="2783"/>
      <c r="D1227" s="2723" t="s">
        <v>2343</v>
      </c>
      <c r="E1227" s="2726"/>
      <c r="F1227" s="1609"/>
      <c r="G1227" s="1473"/>
      <c r="H1227" s="1501" t="str">
        <f t="shared" ref="H1227:H1232" si="23">IF(E1227="","",ROUND(F1227*G1227,2))</f>
        <v/>
      </c>
    </row>
    <row r="1228" spans="1:8">
      <c r="A1228" s="1586"/>
      <c r="B1228" s="2684"/>
      <c r="C1228" s="2783"/>
      <c r="D1228" s="2723"/>
      <c r="E1228" s="2726"/>
      <c r="F1228" s="1609"/>
      <c r="G1228" s="1473"/>
      <c r="H1228" s="1501" t="str">
        <f t="shared" si="23"/>
        <v/>
      </c>
    </row>
    <row r="1229" spans="1:8" ht="52.8">
      <c r="A1229" s="1586"/>
      <c r="B1229" s="1604"/>
      <c r="C1229" s="1594" t="s">
        <v>2172</v>
      </c>
      <c r="D1229" s="1595" t="s">
        <v>2379</v>
      </c>
      <c r="E1229" s="2672"/>
      <c r="F1229" s="2733"/>
      <c r="G1229" s="1473"/>
      <c r="H1229" s="1501" t="str">
        <f t="shared" si="23"/>
        <v/>
      </c>
    </row>
    <row r="1230" spans="1:8" ht="12.6" customHeight="1">
      <c r="A1230" s="1586"/>
      <c r="B1230" s="2807"/>
      <c r="C1230" s="2738"/>
      <c r="D1230" s="1595"/>
      <c r="E1230" s="2672"/>
      <c r="F1230" s="2763"/>
      <c r="G1230" s="1473"/>
      <c r="H1230" s="1501" t="str">
        <f t="shared" si="23"/>
        <v/>
      </c>
    </row>
    <row r="1231" spans="1:8">
      <c r="A1231" s="1586"/>
      <c r="B1231" s="2737" t="s">
        <v>2162</v>
      </c>
      <c r="C1231" s="1594" t="s">
        <v>2172</v>
      </c>
      <c r="D1231" s="1595" t="s">
        <v>2380</v>
      </c>
      <c r="E1231" s="2726" t="s">
        <v>691</v>
      </c>
      <c r="F1231" s="1604">
        <v>1</v>
      </c>
      <c r="G1231" s="1473"/>
      <c r="H1231" s="1501">
        <f t="shared" si="23"/>
        <v>0</v>
      </c>
    </row>
    <row r="1232" spans="1:8" ht="12.6" customHeight="1">
      <c r="A1232" s="1586"/>
      <c r="B1232" s="1587"/>
      <c r="C1232" s="1588"/>
      <c r="D1232" s="1589"/>
      <c r="E1232" s="1590"/>
      <c r="F1232" s="1591"/>
      <c r="G1232" s="1473"/>
      <c r="H1232" s="1501" t="str">
        <f t="shared" si="23"/>
        <v/>
      </c>
    </row>
    <row r="1233" spans="1:8" ht="12.6" customHeight="1">
      <c r="A1233" s="1586"/>
      <c r="B1233" s="1593"/>
      <c r="C1233" s="1603"/>
      <c r="D1233" s="1589"/>
      <c r="E1233" s="1590"/>
      <c r="F1233" s="1591"/>
      <c r="G1233" s="1473"/>
      <c r="H1233" s="2747"/>
    </row>
    <row r="1234" spans="1:8" ht="12.6" customHeight="1">
      <c r="A1234" s="1586"/>
      <c r="B1234" s="1271"/>
      <c r="C1234" s="1792"/>
      <c r="D1234" s="2647"/>
      <c r="E1234" s="882"/>
      <c r="F1234" s="1577"/>
      <c r="G1234" s="1476"/>
      <c r="H1234" s="902"/>
    </row>
    <row r="1235" spans="1:8" ht="12.6" customHeight="1">
      <c r="A1235" s="2333"/>
      <c r="B1235" s="822"/>
      <c r="C1235" s="1158"/>
      <c r="D1235" s="840"/>
      <c r="E1235" s="837"/>
      <c r="F1235" s="838"/>
      <c r="G1235" s="2748"/>
      <c r="H1235" s="2749"/>
    </row>
    <row r="1236" spans="1:8" ht="12.6" customHeight="1">
      <c r="A1236" s="2336"/>
      <c r="B1236" s="823"/>
      <c r="C1236" s="1159"/>
      <c r="D1236" s="774" t="s">
        <v>289</v>
      </c>
      <c r="E1236" s="426"/>
      <c r="F1236" s="24"/>
      <c r="G1236" s="1477"/>
      <c r="H1236" s="2750">
        <f>SUM(H1159:H1234)</f>
        <v>0</v>
      </c>
    </row>
    <row r="1237" spans="1:8" ht="12.6" customHeight="1">
      <c r="A1237" s="1586"/>
      <c r="B1237" s="1271"/>
      <c r="C1237" s="2797"/>
      <c r="D1237" s="2754" t="s">
        <v>290</v>
      </c>
      <c r="E1237" s="147"/>
      <c r="F1237" s="1577"/>
      <c r="G1237" s="1478"/>
      <c r="H1237" s="922">
        <f>H1236</f>
        <v>0</v>
      </c>
    </row>
    <row r="1238" spans="1:8" ht="12.6" customHeight="1">
      <c r="A1238" s="1586"/>
      <c r="B1238" s="1271"/>
      <c r="C1238" s="1792"/>
      <c r="D1238" s="2751"/>
      <c r="E1238" s="147"/>
      <c r="F1238" s="1577"/>
      <c r="G1238" s="1478"/>
      <c r="H1238" s="897"/>
    </row>
    <row r="1239" spans="1:8" ht="12.6" customHeight="1">
      <c r="A1239" s="2684">
        <f>$A$4</f>
        <v>19</v>
      </c>
      <c r="B1239" s="2684">
        <v>9.16</v>
      </c>
      <c r="C1239" s="2783"/>
      <c r="D1239" s="2776" t="s">
        <v>2236</v>
      </c>
      <c r="E1239" s="911"/>
      <c r="F1239" s="1609"/>
      <c r="G1239" s="1473"/>
      <c r="H1239" s="2747"/>
    </row>
    <row r="1240" spans="1:8" ht="12.6" customHeight="1">
      <c r="A1240" s="1586"/>
      <c r="B1240" s="1587"/>
      <c r="C1240" s="1588"/>
      <c r="D1240" s="2725"/>
      <c r="E1240" s="907"/>
      <c r="F1240" s="1591"/>
      <c r="G1240" s="1473"/>
      <c r="H1240" s="2747"/>
    </row>
    <row r="1241" spans="1:8" ht="12.6" customHeight="1">
      <c r="A1241" s="1586"/>
      <c r="B1241" s="1587" t="s">
        <v>2162</v>
      </c>
      <c r="C1241" s="1588" t="s">
        <v>2237</v>
      </c>
      <c r="D1241" s="936" t="s">
        <v>2310</v>
      </c>
      <c r="E1241" s="1590" t="s">
        <v>691</v>
      </c>
      <c r="F1241" s="1591">
        <v>1</v>
      </c>
      <c r="G1241" s="1473"/>
      <c r="H1241" s="1501">
        <f t="shared" ref="H1241:H1304" si="24">IF(E1241="","",ROUND(F1241*G1241,2))</f>
        <v>0</v>
      </c>
    </row>
    <row r="1242" spans="1:8" ht="12.6" customHeight="1">
      <c r="A1242" s="1586"/>
      <c r="B1242" s="1587"/>
      <c r="C1242" s="1588"/>
      <c r="D1242" s="936"/>
      <c r="E1242" s="1590"/>
      <c r="F1242" s="1591"/>
      <c r="G1242" s="1473"/>
      <c r="H1242" s="1501" t="str">
        <f t="shared" si="24"/>
        <v/>
      </c>
    </row>
    <row r="1243" spans="1:8" ht="12.6" customHeight="1">
      <c r="A1243" s="1586"/>
      <c r="B1243" s="1587" t="s">
        <v>2164</v>
      </c>
      <c r="C1243" s="1588" t="s">
        <v>2237</v>
      </c>
      <c r="D1243" s="1589" t="s">
        <v>2239</v>
      </c>
      <c r="E1243" s="1590" t="s">
        <v>691</v>
      </c>
      <c r="F1243" s="1591">
        <v>1</v>
      </c>
      <c r="G1243" s="1473"/>
      <c r="H1243" s="1501">
        <f t="shared" si="24"/>
        <v>0</v>
      </c>
    </row>
    <row r="1244" spans="1:8" ht="12.6" customHeight="1">
      <c r="A1244" s="1586"/>
      <c r="B1244" s="1587"/>
      <c r="C1244" s="1588"/>
      <c r="D1244" s="1589"/>
      <c r="E1244" s="1590"/>
      <c r="F1244" s="1591"/>
      <c r="G1244" s="1473"/>
      <c r="H1244" s="1501" t="str">
        <f t="shared" si="24"/>
        <v/>
      </c>
    </row>
    <row r="1245" spans="1:8" ht="12.6" customHeight="1">
      <c r="A1245" s="1586"/>
      <c r="B1245" s="1587" t="s">
        <v>2166</v>
      </c>
      <c r="C1245" s="1588" t="s">
        <v>2237</v>
      </c>
      <c r="D1245" s="1589" t="s">
        <v>2381</v>
      </c>
      <c r="E1245" s="1590" t="s">
        <v>691</v>
      </c>
      <c r="F1245" s="1591">
        <v>2</v>
      </c>
      <c r="G1245" s="1473"/>
      <c r="H1245" s="1501">
        <f t="shared" si="24"/>
        <v>0</v>
      </c>
    </row>
    <row r="1246" spans="1:8" ht="12.6" customHeight="1">
      <c r="A1246" s="1586"/>
      <c r="B1246" s="1593"/>
      <c r="C1246" s="1603"/>
      <c r="D1246" s="1589"/>
      <c r="E1246" s="1590"/>
      <c r="F1246" s="1591"/>
      <c r="G1246" s="1473"/>
      <c r="H1246" s="1501" t="str">
        <f t="shared" si="24"/>
        <v/>
      </c>
    </row>
    <row r="1247" spans="1:8" ht="12.6" customHeight="1">
      <c r="A1247" s="1586"/>
      <c r="B1247" s="1587" t="s">
        <v>2168</v>
      </c>
      <c r="C1247" s="1588" t="s">
        <v>2237</v>
      </c>
      <c r="D1247" s="1589" t="s">
        <v>2239</v>
      </c>
      <c r="E1247" s="1590" t="s">
        <v>691</v>
      </c>
      <c r="F1247" s="1591">
        <v>2</v>
      </c>
      <c r="G1247" s="1473"/>
      <c r="H1247" s="1501">
        <f t="shared" si="24"/>
        <v>0</v>
      </c>
    </row>
    <row r="1248" spans="1:8" ht="12.6" customHeight="1">
      <c r="A1248" s="1586"/>
      <c r="B1248" s="1587"/>
      <c r="C1248" s="1588"/>
      <c r="D1248" s="1589"/>
      <c r="E1248" s="1590"/>
      <c r="F1248" s="1591"/>
      <c r="G1248" s="1473"/>
      <c r="H1248" s="1501" t="str">
        <f t="shared" si="24"/>
        <v/>
      </c>
    </row>
    <row r="1249" spans="1:8">
      <c r="A1249" s="1586"/>
      <c r="B1249" s="1587" t="s">
        <v>2171</v>
      </c>
      <c r="C1249" s="1588" t="s">
        <v>2237</v>
      </c>
      <c r="D1249" s="1589" t="s">
        <v>2382</v>
      </c>
      <c r="E1249" s="1590" t="s">
        <v>691</v>
      </c>
      <c r="F1249" s="1591">
        <v>2</v>
      </c>
      <c r="G1249" s="1473"/>
      <c r="H1249" s="1501">
        <f t="shared" si="24"/>
        <v>0</v>
      </c>
    </row>
    <row r="1250" spans="1:8" ht="12.6" customHeight="1">
      <c r="A1250" s="1586"/>
      <c r="B1250" s="1593"/>
      <c r="C1250" s="1603"/>
      <c r="D1250" s="1589"/>
      <c r="E1250" s="1590"/>
      <c r="F1250" s="1591"/>
      <c r="G1250" s="1473"/>
      <c r="H1250" s="1501" t="str">
        <f t="shared" si="24"/>
        <v/>
      </c>
    </row>
    <row r="1251" spans="1:8" ht="12.6" customHeight="1">
      <c r="A1251" s="1586"/>
      <c r="B1251" s="1587" t="s">
        <v>2174</v>
      </c>
      <c r="C1251" s="1588" t="s">
        <v>2237</v>
      </c>
      <c r="D1251" s="1589" t="s">
        <v>2239</v>
      </c>
      <c r="E1251" s="1590" t="s">
        <v>691</v>
      </c>
      <c r="F1251" s="1591">
        <v>2</v>
      </c>
      <c r="G1251" s="1473"/>
      <c r="H1251" s="1501">
        <f t="shared" si="24"/>
        <v>0</v>
      </c>
    </row>
    <row r="1252" spans="1:8" ht="12.6" customHeight="1">
      <c r="A1252" s="1586"/>
      <c r="B1252" s="1587"/>
      <c r="C1252" s="1588"/>
      <c r="D1252" s="1589"/>
      <c r="E1252" s="1590"/>
      <c r="F1252" s="1591"/>
      <c r="G1252" s="1473"/>
      <c r="H1252" s="1501" t="str">
        <f t="shared" si="24"/>
        <v/>
      </c>
    </row>
    <row r="1253" spans="1:8" ht="12.6" customHeight="1">
      <c r="A1253" s="1586"/>
      <c r="B1253" s="1587" t="s">
        <v>2178</v>
      </c>
      <c r="C1253" s="1588" t="s">
        <v>2237</v>
      </c>
      <c r="D1253" s="1589" t="s">
        <v>2383</v>
      </c>
      <c r="E1253" s="1590" t="s">
        <v>691</v>
      </c>
      <c r="F1253" s="1591">
        <v>3</v>
      </c>
      <c r="G1253" s="1473"/>
      <c r="H1253" s="1501">
        <f t="shared" si="24"/>
        <v>0</v>
      </c>
    </row>
    <row r="1254" spans="1:8" ht="12.6" customHeight="1">
      <c r="A1254" s="1586"/>
      <c r="B1254" s="1593"/>
      <c r="C1254" s="1603"/>
      <c r="D1254" s="1589"/>
      <c r="E1254" s="1590"/>
      <c r="F1254" s="1591"/>
      <c r="G1254" s="1473"/>
      <c r="H1254" s="1501" t="str">
        <f t="shared" si="24"/>
        <v/>
      </c>
    </row>
    <row r="1255" spans="1:8" ht="12.6" customHeight="1">
      <c r="A1255" s="1586"/>
      <c r="B1255" s="1587" t="s">
        <v>2180</v>
      </c>
      <c r="C1255" s="1588" t="s">
        <v>2237</v>
      </c>
      <c r="D1255" s="1589" t="s">
        <v>2239</v>
      </c>
      <c r="E1255" s="1590" t="s">
        <v>691</v>
      </c>
      <c r="F1255" s="1591">
        <v>3</v>
      </c>
      <c r="G1255" s="1473"/>
      <c r="H1255" s="1501">
        <f t="shared" si="24"/>
        <v>0</v>
      </c>
    </row>
    <row r="1256" spans="1:8" ht="12.6" customHeight="1">
      <c r="A1256" s="1586"/>
      <c r="B1256" s="1587"/>
      <c r="C1256" s="1588"/>
      <c r="D1256" s="1589"/>
      <c r="E1256" s="1590"/>
      <c r="F1256" s="1591"/>
      <c r="G1256" s="1473"/>
      <c r="H1256" s="1501" t="str">
        <f t="shared" si="24"/>
        <v/>
      </c>
    </row>
    <row r="1257" spans="1:8" ht="12.6" customHeight="1">
      <c r="A1257" s="2684">
        <f>$A$4</f>
        <v>19</v>
      </c>
      <c r="B1257" s="2684">
        <v>9.17</v>
      </c>
      <c r="C1257" s="2783"/>
      <c r="D1257" s="2723" t="s">
        <v>2384</v>
      </c>
      <c r="E1257" s="1590"/>
      <c r="F1257" s="1591"/>
      <c r="G1257" s="1473"/>
      <c r="H1257" s="1501" t="str">
        <f t="shared" si="24"/>
        <v/>
      </c>
    </row>
    <row r="1258" spans="1:8" ht="12.6" customHeight="1">
      <c r="A1258" s="1586"/>
      <c r="B1258" s="2684"/>
      <c r="C1258" s="2783"/>
      <c r="D1258" s="2723"/>
      <c r="E1258" s="1590"/>
      <c r="F1258" s="1591"/>
      <c r="G1258" s="1473"/>
      <c r="H1258" s="1501" t="str">
        <f t="shared" si="24"/>
        <v/>
      </c>
    </row>
    <row r="1259" spans="1:8" ht="26.4">
      <c r="A1259" s="1586"/>
      <c r="B1259" s="1604"/>
      <c r="C1259" s="1588" t="s">
        <v>2377</v>
      </c>
      <c r="D1259" s="1595" t="s">
        <v>2385</v>
      </c>
      <c r="E1259" s="1590"/>
      <c r="F1259" s="1591"/>
      <c r="G1259" s="1473"/>
      <c r="H1259" s="1501" t="str">
        <f t="shared" si="24"/>
        <v/>
      </c>
    </row>
    <row r="1260" spans="1:8" ht="12.6" customHeight="1">
      <c r="A1260" s="1586"/>
      <c r="B1260" s="1604"/>
      <c r="C1260" s="1594"/>
      <c r="D1260" s="1595"/>
      <c r="E1260" s="1590"/>
      <c r="F1260" s="1591"/>
      <c r="G1260" s="1473"/>
      <c r="H1260" s="1501" t="str">
        <f t="shared" si="24"/>
        <v/>
      </c>
    </row>
    <row r="1261" spans="1:8" ht="12.6" customHeight="1">
      <c r="A1261" s="1586"/>
      <c r="B1261" s="1587" t="s">
        <v>2162</v>
      </c>
      <c r="C1261" s="1588" t="s">
        <v>2377</v>
      </c>
      <c r="D1261" s="1589" t="s">
        <v>2386</v>
      </c>
      <c r="E1261" s="1590" t="s">
        <v>691</v>
      </c>
      <c r="F1261" s="1591">
        <v>1</v>
      </c>
      <c r="G1261" s="1473"/>
      <c r="H1261" s="1501">
        <f t="shared" si="24"/>
        <v>0</v>
      </c>
    </row>
    <row r="1262" spans="1:8" ht="12.6" customHeight="1">
      <c r="A1262" s="1586"/>
      <c r="B1262" s="1271"/>
      <c r="C1262" s="1155"/>
      <c r="D1262" s="2751"/>
      <c r="E1262" s="147"/>
      <c r="F1262" s="1577"/>
      <c r="G1262" s="1478"/>
      <c r="H1262" s="1501" t="str">
        <f t="shared" si="24"/>
        <v/>
      </c>
    </row>
    <row r="1263" spans="1:8" ht="12.6" customHeight="1">
      <c r="A1263" s="2684">
        <f>$A$4</f>
        <v>19</v>
      </c>
      <c r="B1263" s="2684">
        <v>9.18</v>
      </c>
      <c r="C1263" s="1594"/>
      <c r="D1263" s="2723" t="s">
        <v>2387</v>
      </c>
      <c r="E1263" s="1590"/>
      <c r="F1263" s="1591"/>
      <c r="G1263" s="1473"/>
      <c r="H1263" s="1501" t="str">
        <f t="shared" si="24"/>
        <v/>
      </c>
    </row>
    <row r="1264" spans="1:8" ht="12.6" customHeight="1">
      <c r="A1264" s="1586"/>
      <c r="B1264" s="2684"/>
      <c r="C1264" s="1594"/>
      <c r="D1264" s="2723"/>
      <c r="E1264" s="1590"/>
      <c r="F1264" s="1591"/>
      <c r="G1264" s="1473"/>
      <c r="H1264" s="1501" t="str">
        <f t="shared" si="24"/>
        <v/>
      </c>
    </row>
    <row r="1265" spans="1:8" ht="26.4">
      <c r="A1265" s="1586"/>
      <c r="B1265" s="1604" t="s">
        <v>2162</v>
      </c>
      <c r="C1265" s="1594" t="s">
        <v>2388</v>
      </c>
      <c r="D1265" s="1595" t="s">
        <v>2389</v>
      </c>
      <c r="E1265" s="1590" t="s">
        <v>691</v>
      </c>
      <c r="F1265" s="1591">
        <v>1</v>
      </c>
      <c r="G1265" s="1473"/>
      <c r="H1265" s="1501">
        <f t="shared" si="24"/>
        <v>0</v>
      </c>
    </row>
    <row r="1266" spans="1:8" ht="12.6" customHeight="1">
      <c r="A1266" s="1586"/>
      <c r="B1266" s="1587"/>
      <c r="C1266" s="1588"/>
      <c r="D1266" s="1595"/>
      <c r="E1266" s="1590"/>
      <c r="F1266" s="1591"/>
      <c r="G1266" s="1473"/>
      <c r="H1266" s="1501" t="str">
        <f t="shared" si="24"/>
        <v/>
      </c>
    </row>
    <row r="1267" spans="1:8" ht="39.6">
      <c r="A1267" s="1586"/>
      <c r="B1267" s="1587" t="s">
        <v>2164</v>
      </c>
      <c r="C1267" s="1594" t="s">
        <v>2388</v>
      </c>
      <c r="D1267" s="1595" t="s">
        <v>2390</v>
      </c>
      <c r="E1267" s="1590" t="s">
        <v>691</v>
      </c>
      <c r="F1267" s="1591">
        <v>1</v>
      </c>
      <c r="G1267" s="1473"/>
      <c r="H1267" s="1501">
        <f t="shared" si="24"/>
        <v>0</v>
      </c>
    </row>
    <row r="1268" spans="1:8">
      <c r="A1268" s="1586"/>
      <c r="B1268" s="1587"/>
      <c r="C1268" s="1588"/>
      <c r="D1268" s="1595"/>
      <c r="E1268" s="1590"/>
      <c r="F1268" s="1591"/>
      <c r="G1268" s="1473"/>
      <c r="H1268" s="1501" t="str">
        <f t="shared" si="24"/>
        <v/>
      </c>
    </row>
    <row r="1269" spans="1:8" ht="12.6" customHeight="1">
      <c r="A1269" s="2684">
        <f>$A$4</f>
        <v>19</v>
      </c>
      <c r="B1269" s="2684">
        <v>9.19</v>
      </c>
      <c r="C1269" s="1594"/>
      <c r="D1269" s="2723" t="s">
        <v>2391</v>
      </c>
      <c r="E1269" s="1596"/>
      <c r="F1269" s="2724"/>
      <c r="G1269" s="1473"/>
      <c r="H1269" s="1501" t="str">
        <f t="shared" si="24"/>
        <v/>
      </c>
    </row>
    <row r="1270" spans="1:8">
      <c r="A1270" s="1586"/>
      <c r="B1270" s="2684"/>
      <c r="C1270" s="1594"/>
      <c r="D1270" s="2723"/>
      <c r="E1270" s="1596"/>
      <c r="F1270" s="2724"/>
      <c r="G1270" s="1473"/>
      <c r="H1270" s="1501" t="str">
        <f t="shared" si="24"/>
        <v/>
      </c>
    </row>
    <row r="1271" spans="1:8" ht="26.4">
      <c r="A1271" s="1586"/>
      <c r="B1271" s="1593"/>
      <c r="C1271" s="1588" t="s">
        <v>2368</v>
      </c>
      <c r="D1271" s="1595" t="s">
        <v>2392</v>
      </c>
      <c r="E1271" s="1596"/>
      <c r="F1271" s="2724"/>
      <c r="G1271" s="1473"/>
      <c r="H1271" s="1501" t="str">
        <f t="shared" si="24"/>
        <v/>
      </c>
    </row>
    <row r="1272" spans="1:8">
      <c r="A1272" s="1586"/>
      <c r="B1272" s="1593"/>
      <c r="C1272" s="1594"/>
      <c r="D1272" s="1595"/>
      <c r="E1272" s="1596"/>
      <c r="F1272" s="1604"/>
      <c r="G1272" s="1473"/>
      <c r="H1272" s="1501" t="str">
        <f t="shared" si="24"/>
        <v/>
      </c>
    </row>
    <row r="1273" spans="1:8" ht="12.6" customHeight="1">
      <c r="A1273" s="1586"/>
      <c r="B1273" s="1593" t="s">
        <v>2162</v>
      </c>
      <c r="C1273" s="1588" t="s">
        <v>2368</v>
      </c>
      <c r="D1273" s="1595" t="s">
        <v>2393</v>
      </c>
      <c r="E1273" s="1596" t="s">
        <v>561</v>
      </c>
      <c r="F1273" s="1601">
        <v>10</v>
      </c>
      <c r="G1273" s="1473"/>
      <c r="H1273" s="1501">
        <f t="shared" si="24"/>
        <v>0</v>
      </c>
    </row>
    <row r="1274" spans="1:8" ht="12.6" customHeight="1">
      <c r="A1274" s="1586"/>
      <c r="B1274" s="1593"/>
      <c r="C1274" s="1594"/>
      <c r="D1274" s="1595"/>
      <c r="E1274" s="1596"/>
      <c r="F1274" s="2673"/>
      <c r="G1274" s="1473"/>
      <c r="H1274" s="1501" t="str">
        <f t="shared" si="24"/>
        <v/>
      </c>
    </row>
    <row r="1275" spans="1:8" ht="12.6" customHeight="1">
      <c r="A1275" s="2684">
        <f>$A$4</f>
        <v>19</v>
      </c>
      <c r="B1275" s="2786">
        <v>9.1999999999999993</v>
      </c>
      <c r="C1275" s="1594"/>
      <c r="D1275" s="2723" t="s">
        <v>2394</v>
      </c>
      <c r="E1275" s="1596"/>
      <c r="F1275" s="2782"/>
      <c r="G1275" s="1473"/>
      <c r="H1275" s="1501" t="str">
        <f t="shared" si="24"/>
        <v/>
      </c>
    </row>
    <row r="1276" spans="1:8">
      <c r="A1276" s="1586"/>
      <c r="B1276" s="1593"/>
      <c r="C1276" s="1594"/>
      <c r="D1276" s="1595"/>
      <c r="E1276" s="1596"/>
      <c r="F1276" s="2782"/>
      <c r="G1276" s="1473"/>
      <c r="H1276" s="1501" t="str">
        <f t="shared" si="24"/>
        <v/>
      </c>
    </row>
    <row r="1277" spans="1:8" ht="12.6" customHeight="1">
      <c r="A1277" s="1586"/>
      <c r="B1277" s="1593" t="s">
        <v>2162</v>
      </c>
      <c r="C1277" s="1588" t="s">
        <v>2368</v>
      </c>
      <c r="D1277" s="1595" t="s">
        <v>2395</v>
      </c>
      <c r="E1277" s="1596" t="s">
        <v>691</v>
      </c>
      <c r="F1277" s="2785">
        <v>4</v>
      </c>
      <c r="G1277" s="1473"/>
      <c r="H1277" s="1501">
        <f t="shared" si="24"/>
        <v>0</v>
      </c>
    </row>
    <row r="1278" spans="1:8">
      <c r="A1278" s="1586"/>
      <c r="B1278" s="1593"/>
      <c r="C1278" s="1594"/>
      <c r="D1278" s="1595"/>
      <c r="E1278" s="1596"/>
      <c r="F1278" s="2785"/>
      <c r="G1278" s="1473"/>
      <c r="H1278" s="1501" t="str">
        <f t="shared" si="24"/>
        <v/>
      </c>
    </row>
    <row r="1279" spans="1:8">
      <c r="A1279" s="1586"/>
      <c r="B1279" s="1593" t="s">
        <v>2164</v>
      </c>
      <c r="C1279" s="1588" t="s">
        <v>2368</v>
      </c>
      <c r="D1279" s="1595" t="s">
        <v>2396</v>
      </c>
      <c r="E1279" s="1596" t="s">
        <v>691</v>
      </c>
      <c r="F1279" s="2785">
        <v>4</v>
      </c>
      <c r="G1279" s="1473"/>
      <c r="H1279" s="1501">
        <f t="shared" si="24"/>
        <v>0</v>
      </c>
    </row>
    <row r="1280" spans="1:8">
      <c r="A1280" s="1586"/>
      <c r="B1280" s="1593"/>
      <c r="C1280" s="1594"/>
      <c r="D1280" s="1595"/>
      <c r="E1280" s="1596"/>
      <c r="F1280" s="2785"/>
      <c r="G1280" s="1473"/>
      <c r="H1280" s="1501" t="str">
        <f t="shared" si="24"/>
        <v/>
      </c>
    </row>
    <row r="1281" spans="1:8">
      <c r="A1281" s="2684">
        <f>$A$4</f>
        <v>19</v>
      </c>
      <c r="B1281" s="2684">
        <v>9.2100000000000009</v>
      </c>
      <c r="C1281" s="2783"/>
      <c r="D1281" s="2723" t="s">
        <v>2397</v>
      </c>
      <c r="E1281" s="2726"/>
      <c r="F1281" s="1609"/>
      <c r="G1281" s="1473"/>
      <c r="H1281" s="1501" t="str">
        <f t="shared" si="24"/>
        <v/>
      </c>
    </row>
    <row r="1282" spans="1:8" ht="12.6" customHeight="1">
      <c r="A1282" s="1586"/>
      <c r="B1282" s="2684"/>
      <c r="C1282" s="2783"/>
      <c r="D1282" s="2722"/>
      <c r="E1282" s="2726"/>
      <c r="F1282" s="1609"/>
      <c r="G1282" s="1473"/>
      <c r="H1282" s="1501" t="str">
        <f t="shared" si="24"/>
        <v/>
      </c>
    </row>
    <row r="1283" spans="1:8" ht="26.4">
      <c r="A1283" s="1586"/>
      <c r="B1283" s="1587" t="s">
        <v>2162</v>
      </c>
      <c r="C1283" s="1588" t="s">
        <v>2368</v>
      </c>
      <c r="D1283" s="1595" t="s">
        <v>2398</v>
      </c>
      <c r="E1283" s="1590" t="s">
        <v>691</v>
      </c>
      <c r="F1283" s="2724">
        <v>1</v>
      </c>
      <c r="G1283" s="1473"/>
      <c r="H1283" s="1501">
        <f t="shared" si="24"/>
        <v>0</v>
      </c>
    </row>
    <row r="1284" spans="1:8" ht="12.6" customHeight="1">
      <c r="A1284" s="1586"/>
      <c r="B1284" s="1587"/>
      <c r="C1284" s="2783"/>
      <c r="D1284" s="1595"/>
      <c r="E1284" s="1591"/>
      <c r="F1284" s="1591"/>
      <c r="G1284" s="1473"/>
      <c r="H1284" s="1501" t="str">
        <f t="shared" si="24"/>
        <v/>
      </c>
    </row>
    <row r="1285" spans="1:8">
      <c r="A1285" s="2684">
        <f>$A$4</f>
        <v>19</v>
      </c>
      <c r="B1285" s="2684">
        <v>9.2200000000000006</v>
      </c>
      <c r="C1285" s="1594"/>
      <c r="D1285" s="2723" t="s">
        <v>2399</v>
      </c>
      <c r="E1285" s="2672"/>
      <c r="F1285" s="1591"/>
      <c r="G1285" s="1473"/>
      <c r="H1285" s="1501" t="str">
        <f t="shared" si="24"/>
        <v/>
      </c>
    </row>
    <row r="1286" spans="1:8" ht="12.6" customHeight="1">
      <c r="A1286" s="1586"/>
      <c r="B1286" s="2684"/>
      <c r="C1286" s="1594"/>
      <c r="D1286" s="2723"/>
      <c r="E1286" s="2672"/>
      <c r="F1286" s="1591"/>
      <c r="G1286" s="1473"/>
      <c r="H1286" s="1501" t="str">
        <f t="shared" si="24"/>
        <v/>
      </c>
    </row>
    <row r="1287" spans="1:8" ht="26.4">
      <c r="A1287" s="1586"/>
      <c r="B1287" s="1604" t="s">
        <v>2162</v>
      </c>
      <c r="C1287" s="1588" t="s">
        <v>2368</v>
      </c>
      <c r="D1287" s="1595" t="s">
        <v>2400</v>
      </c>
      <c r="E1287" s="1596" t="s">
        <v>691</v>
      </c>
      <c r="F1287" s="1591">
        <v>1</v>
      </c>
      <c r="G1287" s="1473"/>
      <c r="H1287" s="1501">
        <f t="shared" si="24"/>
        <v>0</v>
      </c>
    </row>
    <row r="1288" spans="1:8">
      <c r="A1288" s="1586"/>
      <c r="B1288" s="2807"/>
      <c r="C1288" s="2738"/>
      <c r="D1288" s="1595"/>
      <c r="E1288" s="2672"/>
      <c r="F1288" s="1607"/>
      <c r="G1288" s="1473"/>
      <c r="H1288" s="1501" t="str">
        <f t="shared" si="24"/>
        <v/>
      </c>
    </row>
    <row r="1289" spans="1:8" ht="12.6" customHeight="1">
      <c r="A1289" s="2684">
        <f>$A$4</f>
        <v>19</v>
      </c>
      <c r="B1289" s="2684">
        <v>9.23</v>
      </c>
      <c r="C1289" s="1588"/>
      <c r="D1289" s="2723" t="s">
        <v>2401</v>
      </c>
      <c r="E1289" s="2726"/>
      <c r="F1289" s="1607"/>
      <c r="G1289" s="1473"/>
      <c r="H1289" s="1501" t="str">
        <f t="shared" si="24"/>
        <v/>
      </c>
    </row>
    <row r="1290" spans="1:8" ht="12.6" customHeight="1">
      <c r="A1290" s="1586"/>
      <c r="B1290" s="2684"/>
      <c r="C1290" s="1588"/>
      <c r="D1290" s="2723"/>
      <c r="E1290" s="2726"/>
      <c r="F1290" s="1607"/>
      <c r="G1290" s="1473"/>
      <c r="H1290" s="1501" t="str">
        <f t="shared" si="24"/>
        <v/>
      </c>
    </row>
    <row r="1291" spans="1:8" ht="12.6" customHeight="1">
      <c r="A1291" s="1586"/>
      <c r="B1291" s="1587"/>
      <c r="C1291" s="1588" t="s">
        <v>2368</v>
      </c>
      <c r="D1291" s="1595" t="s">
        <v>2402</v>
      </c>
      <c r="E1291" s="2726"/>
      <c r="F1291" s="1607"/>
      <c r="G1291" s="1473"/>
      <c r="H1291" s="1501" t="str">
        <f t="shared" si="24"/>
        <v/>
      </c>
    </row>
    <row r="1292" spans="1:8" ht="12.6" customHeight="1">
      <c r="A1292" s="1586"/>
      <c r="B1292" s="1593"/>
      <c r="C1292" s="1603"/>
      <c r="D1292" s="1595"/>
      <c r="E1292" s="2726"/>
      <c r="F1292" s="1609"/>
      <c r="G1292" s="1473"/>
      <c r="H1292" s="1501" t="str">
        <f t="shared" si="24"/>
        <v/>
      </c>
    </row>
    <row r="1293" spans="1:8" ht="15.6">
      <c r="A1293" s="1586"/>
      <c r="B1293" s="1587" t="s">
        <v>2162</v>
      </c>
      <c r="C1293" s="1588" t="s">
        <v>2368</v>
      </c>
      <c r="D1293" s="1595" t="s">
        <v>2403</v>
      </c>
      <c r="E1293" s="1590" t="s">
        <v>561</v>
      </c>
      <c r="F1293" s="1609">
        <v>10</v>
      </c>
      <c r="G1293" s="1473"/>
      <c r="H1293" s="1501">
        <f t="shared" si="24"/>
        <v>0</v>
      </c>
    </row>
    <row r="1294" spans="1:8" ht="12.6" customHeight="1">
      <c r="A1294" s="1586"/>
      <c r="B1294" s="1587"/>
      <c r="C1294" s="1588"/>
      <c r="D1294" s="1595"/>
      <c r="E1294" s="1590"/>
      <c r="F1294" s="1609"/>
      <c r="G1294" s="1473"/>
      <c r="H1294" s="1501" t="str">
        <f t="shared" si="24"/>
        <v/>
      </c>
    </row>
    <row r="1295" spans="1:8" ht="15.6">
      <c r="A1295" s="1586"/>
      <c r="B1295" s="2703" t="s">
        <v>2164</v>
      </c>
      <c r="C1295" s="1588" t="s">
        <v>2368</v>
      </c>
      <c r="D1295" s="1595" t="s">
        <v>2404</v>
      </c>
      <c r="E1295" s="1590" t="s">
        <v>561</v>
      </c>
      <c r="F1295" s="1609">
        <v>10</v>
      </c>
      <c r="G1295" s="1473"/>
      <c r="H1295" s="1501">
        <f t="shared" si="24"/>
        <v>0</v>
      </c>
    </row>
    <row r="1296" spans="1:8" ht="12.6" customHeight="1">
      <c r="A1296" s="1586"/>
      <c r="B1296" s="1587"/>
      <c r="C1296" s="1588"/>
      <c r="D1296" s="1589"/>
      <c r="E1296" s="1590"/>
      <c r="F1296" s="1591"/>
      <c r="G1296" s="1473"/>
      <c r="H1296" s="1501" t="str">
        <f t="shared" si="24"/>
        <v/>
      </c>
    </row>
    <row r="1297" spans="1:8" ht="12.6" customHeight="1">
      <c r="A1297" s="2684">
        <f>$A$4</f>
        <v>19</v>
      </c>
      <c r="B1297" s="2684">
        <v>9.24</v>
      </c>
      <c r="C1297" s="2808"/>
      <c r="D1297" s="2723" t="s">
        <v>2405</v>
      </c>
      <c r="E1297" s="1590"/>
      <c r="F1297" s="1607"/>
      <c r="G1297" s="1473"/>
      <c r="H1297" s="1501" t="str">
        <f t="shared" si="24"/>
        <v/>
      </c>
    </row>
    <row r="1298" spans="1:8" ht="12.6" customHeight="1">
      <c r="A1298" s="1586"/>
      <c r="B1298" s="2684"/>
      <c r="C1298" s="2808"/>
      <c r="D1298" s="2723"/>
      <c r="E1298" s="1590"/>
      <c r="F1298" s="1607"/>
      <c r="G1298" s="1473"/>
      <c r="H1298" s="1501" t="str">
        <f t="shared" si="24"/>
        <v/>
      </c>
    </row>
    <row r="1299" spans="1:8" ht="12.6" customHeight="1">
      <c r="A1299" s="1586"/>
      <c r="B1299" s="2809"/>
      <c r="C1299" s="1588" t="s">
        <v>2368</v>
      </c>
      <c r="D1299" s="1595" t="s">
        <v>2406</v>
      </c>
      <c r="E1299" s="2795"/>
      <c r="F1299" s="1607"/>
      <c r="G1299" s="1473"/>
      <c r="H1299" s="1501" t="str">
        <f t="shared" si="24"/>
        <v/>
      </c>
    </row>
    <row r="1300" spans="1:8" ht="12.6" customHeight="1">
      <c r="A1300" s="1586"/>
      <c r="B1300" s="2809"/>
      <c r="C1300" s="2808"/>
      <c r="D1300" s="1595"/>
      <c r="E1300" s="2795"/>
      <c r="F1300" s="1607"/>
      <c r="G1300" s="1473"/>
      <c r="H1300" s="1501" t="str">
        <f t="shared" si="24"/>
        <v/>
      </c>
    </row>
    <row r="1301" spans="1:8" ht="15.6">
      <c r="A1301" s="1586"/>
      <c r="B1301" s="2703" t="s">
        <v>2162</v>
      </c>
      <c r="C1301" s="1588" t="s">
        <v>2368</v>
      </c>
      <c r="D1301" s="1595" t="s">
        <v>2404</v>
      </c>
      <c r="E1301" s="2726" t="s">
        <v>561</v>
      </c>
      <c r="F1301" s="1609">
        <v>20</v>
      </c>
      <c r="G1301" s="1473"/>
      <c r="H1301" s="1501">
        <f t="shared" si="24"/>
        <v>0</v>
      </c>
    </row>
    <row r="1302" spans="1:8" ht="12.6" customHeight="1">
      <c r="A1302" s="1586"/>
      <c r="B1302" s="1587"/>
      <c r="C1302" s="1588"/>
      <c r="D1302" s="1589"/>
      <c r="E1302" s="1590"/>
      <c r="F1302" s="1591"/>
      <c r="G1302" s="1473"/>
      <c r="H1302" s="1501" t="str">
        <f t="shared" si="24"/>
        <v/>
      </c>
    </row>
    <row r="1303" spans="1:8" ht="12.6" customHeight="1">
      <c r="A1303" s="2684">
        <f>$A$4</f>
        <v>19</v>
      </c>
      <c r="B1303" s="2810">
        <v>10</v>
      </c>
      <c r="C1303" s="1599"/>
      <c r="D1303" s="937" t="s">
        <v>2090</v>
      </c>
      <c r="E1303" s="1596"/>
      <c r="F1303" s="2719"/>
      <c r="G1303" s="1472"/>
      <c r="H1303" s="1501" t="str">
        <f t="shared" si="24"/>
        <v/>
      </c>
    </row>
    <row r="1304" spans="1:8" ht="12.6" customHeight="1">
      <c r="A1304" s="1586"/>
      <c r="B1304" s="2691"/>
      <c r="C1304" s="1599"/>
      <c r="D1304" s="2722"/>
      <c r="E1304" s="1596"/>
      <c r="F1304" s="2719"/>
      <c r="G1304" s="1472"/>
      <c r="H1304" s="1501" t="str">
        <f t="shared" si="24"/>
        <v/>
      </c>
    </row>
    <row r="1305" spans="1:8" ht="12.6" customHeight="1">
      <c r="A1305" s="2684">
        <f>$A$4</f>
        <v>19</v>
      </c>
      <c r="B1305" s="2684">
        <v>10.1</v>
      </c>
      <c r="C1305" s="1603"/>
      <c r="D1305" s="2723" t="s">
        <v>2211</v>
      </c>
      <c r="E1305" s="1596"/>
      <c r="F1305" s="2724"/>
      <c r="G1305" s="1472"/>
      <c r="H1305" s="1501" t="str">
        <f t="shared" ref="H1305:H1309" si="25">IF(E1305="","",ROUND(F1305*G1305,2))</f>
        <v/>
      </c>
    </row>
    <row r="1306" spans="1:8" ht="12.6" customHeight="1">
      <c r="A1306" s="1586"/>
      <c r="B1306" s="2684"/>
      <c r="C1306" s="1603"/>
      <c r="D1306" s="2723"/>
      <c r="E1306" s="1596"/>
      <c r="F1306" s="2724"/>
      <c r="G1306" s="1472"/>
      <c r="H1306" s="1501" t="str">
        <f t="shared" si="25"/>
        <v/>
      </c>
    </row>
    <row r="1307" spans="1:8" ht="26.4">
      <c r="A1307" s="1586"/>
      <c r="B1307" s="1602"/>
      <c r="C1307" s="1603"/>
      <c r="D1307" s="1595" t="s">
        <v>2407</v>
      </c>
      <c r="E1307" s="1596"/>
      <c r="F1307" s="2724"/>
      <c r="G1307" s="1472"/>
      <c r="H1307" s="1501" t="str">
        <f t="shared" si="25"/>
        <v/>
      </c>
    </row>
    <row r="1308" spans="1:8" ht="12.6" customHeight="1">
      <c r="A1308" s="1586"/>
      <c r="B1308" s="1602"/>
      <c r="C1308" s="2811"/>
      <c r="D1308" s="904"/>
      <c r="E1308" s="1596"/>
      <c r="F1308" s="2730"/>
      <c r="G1308" s="1472"/>
      <c r="H1308" s="1501" t="str">
        <f t="shared" si="25"/>
        <v/>
      </c>
    </row>
    <row r="1309" spans="1:8" ht="15.6">
      <c r="A1309" s="1586"/>
      <c r="B1309" s="1602" t="s">
        <v>2162</v>
      </c>
      <c r="C1309" s="1603" t="s">
        <v>2175</v>
      </c>
      <c r="D1309" s="1589" t="s">
        <v>2408</v>
      </c>
      <c r="E1309" s="1596" t="s">
        <v>561</v>
      </c>
      <c r="F1309" s="1597">
        <v>1200</v>
      </c>
      <c r="G1309" s="1473"/>
      <c r="H1309" s="1501">
        <f t="shared" si="25"/>
        <v>0</v>
      </c>
    </row>
    <row r="1310" spans="1:8" ht="12.6" customHeight="1">
      <c r="A1310" s="1586"/>
      <c r="B1310" s="1602"/>
      <c r="C1310" s="1603"/>
      <c r="D1310" s="1589"/>
      <c r="E1310" s="1596"/>
      <c r="F1310" s="1597"/>
      <c r="G1310" s="1473"/>
      <c r="H1310" s="2747"/>
    </row>
    <row r="1311" spans="1:8" ht="12.6" customHeight="1">
      <c r="A1311" s="1586"/>
      <c r="B1311" s="1602"/>
      <c r="C1311" s="1603"/>
      <c r="D1311" s="1589"/>
      <c r="E1311" s="1596"/>
      <c r="F1311" s="1597"/>
      <c r="G1311" s="1472"/>
      <c r="H1311" s="2747"/>
    </row>
    <row r="1312" spans="1:8">
      <c r="A1312" s="2333"/>
      <c r="B1312" s="822"/>
      <c r="C1312" s="1158"/>
      <c r="D1312" s="840"/>
      <c r="E1312" s="837"/>
      <c r="F1312" s="838"/>
      <c r="G1312" s="2748"/>
      <c r="H1312" s="2749"/>
    </row>
    <row r="1313" spans="1:8">
      <c r="A1313" s="2336"/>
      <c r="B1313" s="823"/>
      <c r="C1313" s="1159"/>
      <c r="D1313" s="774" t="s">
        <v>289</v>
      </c>
      <c r="E1313" s="426"/>
      <c r="F1313" s="24"/>
      <c r="G1313" s="1477"/>
      <c r="H1313" s="2750">
        <f>SUM(H1237:H1311)</f>
        <v>0</v>
      </c>
    </row>
    <row r="1314" spans="1:8" ht="12.6" customHeight="1">
      <c r="A1314" s="1586"/>
      <c r="B1314" s="1271"/>
      <c r="C1314" s="1155"/>
      <c r="D1314" s="2751" t="s">
        <v>290</v>
      </c>
      <c r="E1314" s="147"/>
      <c r="F1314" s="1577"/>
      <c r="G1314" s="1478"/>
      <c r="H1314" s="922">
        <f>H1313</f>
        <v>0</v>
      </c>
    </row>
    <row r="1315" spans="1:8" ht="12.6" customHeight="1">
      <c r="A1315" s="1586"/>
      <c r="B1315" s="1271"/>
      <c r="C1315" s="1155"/>
      <c r="D1315" s="2751"/>
      <c r="E1315" s="147"/>
      <c r="F1315" s="1577"/>
      <c r="G1315" s="1478"/>
      <c r="H1315" s="897"/>
    </row>
    <row r="1316" spans="1:8" ht="15.6">
      <c r="A1316" s="1586"/>
      <c r="B1316" s="1602" t="s">
        <v>2164</v>
      </c>
      <c r="C1316" s="1603" t="s">
        <v>2175</v>
      </c>
      <c r="D1316" s="1589" t="s">
        <v>2409</v>
      </c>
      <c r="E1316" s="1596" t="s">
        <v>561</v>
      </c>
      <c r="F1316" s="1597">
        <v>1200</v>
      </c>
      <c r="G1316" s="1472"/>
      <c r="H1316" s="1501">
        <f t="shared" ref="H1316:H1377" si="26">IF(E1316="","",ROUND(F1316*G1316,2))</f>
        <v>0</v>
      </c>
    </row>
    <row r="1317" spans="1:8">
      <c r="A1317" s="1586"/>
      <c r="B1317" s="1602"/>
      <c r="C1317" s="1603"/>
      <c r="D1317" s="1589"/>
      <c r="E1317" s="1596"/>
      <c r="F1317" s="1597"/>
      <c r="G1317" s="1472"/>
      <c r="H1317" s="1501" t="str">
        <f t="shared" si="26"/>
        <v/>
      </c>
    </row>
    <row r="1318" spans="1:8" ht="15.6">
      <c r="A1318" s="1586"/>
      <c r="B1318" s="1602" t="s">
        <v>2166</v>
      </c>
      <c r="C1318" s="1603" t="s">
        <v>2175</v>
      </c>
      <c r="D1318" s="1589" t="s">
        <v>2410</v>
      </c>
      <c r="E1318" s="1596" t="s">
        <v>561</v>
      </c>
      <c r="F1318" s="1604">
        <v>2400</v>
      </c>
      <c r="G1318" s="1473"/>
      <c r="H1318" s="1501">
        <f t="shared" si="26"/>
        <v>0</v>
      </c>
    </row>
    <row r="1319" spans="1:8" ht="12.6" customHeight="1">
      <c r="A1319" s="1586"/>
      <c r="B1319" s="1271"/>
      <c r="C1319" s="1155"/>
      <c r="D1319" s="2751"/>
      <c r="E1319" s="147"/>
      <c r="F1319" s="1577"/>
      <c r="G1319" s="1478"/>
      <c r="H1319" s="1501" t="str">
        <f t="shared" si="26"/>
        <v/>
      </c>
    </row>
    <row r="1320" spans="1:8" ht="12.6" customHeight="1">
      <c r="A1320" s="2684">
        <f>$A$4</f>
        <v>19</v>
      </c>
      <c r="B1320" s="2684">
        <v>10.199999999999999</v>
      </c>
      <c r="C1320" s="2811"/>
      <c r="D1320" s="2723" t="s">
        <v>2216</v>
      </c>
      <c r="E1320" s="1596"/>
      <c r="F1320" s="1604"/>
      <c r="G1320" s="1473"/>
      <c r="H1320" s="1501" t="str">
        <f t="shared" si="26"/>
        <v/>
      </c>
    </row>
    <row r="1321" spans="1:8" ht="12.6" customHeight="1">
      <c r="A1321" s="1586"/>
      <c r="B1321" s="1602"/>
      <c r="C1321" s="2811"/>
      <c r="D1321" s="2723"/>
      <c r="E1321" s="1596"/>
      <c r="F1321" s="1604"/>
      <c r="G1321" s="1473"/>
      <c r="H1321" s="1501" t="str">
        <f t="shared" si="26"/>
        <v/>
      </c>
    </row>
    <row r="1322" spans="1:8" ht="26.4">
      <c r="A1322" s="1586"/>
      <c r="B1322" s="1602"/>
      <c r="C1322" s="1603" t="s">
        <v>2175</v>
      </c>
      <c r="D1322" s="1595" t="s">
        <v>2197</v>
      </c>
      <c r="E1322" s="1596"/>
      <c r="F1322" s="1604"/>
      <c r="G1322" s="1472"/>
      <c r="H1322" s="1501" t="str">
        <f t="shared" si="26"/>
        <v/>
      </c>
    </row>
    <row r="1323" spans="1:8" ht="12.6" customHeight="1">
      <c r="A1323" s="1586"/>
      <c r="B1323" s="1602"/>
      <c r="C1323" s="1603"/>
      <c r="D1323" s="904"/>
      <c r="E1323" s="1596"/>
      <c r="F1323" s="1597"/>
      <c r="G1323" s="1472"/>
      <c r="H1323" s="1501" t="str">
        <f t="shared" si="26"/>
        <v/>
      </c>
    </row>
    <row r="1324" spans="1:8" ht="15.6">
      <c r="A1324" s="1586"/>
      <c r="B1324" s="1602" t="s">
        <v>2162</v>
      </c>
      <c r="C1324" s="1603" t="s">
        <v>2175</v>
      </c>
      <c r="D1324" s="1589" t="s">
        <v>2408</v>
      </c>
      <c r="E1324" s="2728" t="s">
        <v>691</v>
      </c>
      <c r="F1324" s="2729">
        <v>32</v>
      </c>
      <c r="G1324" s="1473"/>
      <c r="H1324" s="1501">
        <f t="shared" si="26"/>
        <v>0</v>
      </c>
    </row>
    <row r="1325" spans="1:8" ht="12.6" customHeight="1">
      <c r="A1325" s="1586"/>
      <c r="B1325" s="1602"/>
      <c r="C1325" s="1603"/>
      <c r="D1325" s="1589"/>
      <c r="E1325" s="2728"/>
      <c r="F1325" s="2729"/>
      <c r="G1325" s="1473"/>
      <c r="H1325" s="1501" t="str">
        <f t="shared" si="26"/>
        <v/>
      </c>
    </row>
    <row r="1326" spans="1:8" ht="15.6">
      <c r="A1326" s="1586"/>
      <c r="B1326" s="1602" t="s">
        <v>2164</v>
      </c>
      <c r="C1326" s="1603" t="s">
        <v>2175</v>
      </c>
      <c r="D1326" s="1589" t="s">
        <v>2409</v>
      </c>
      <c r="E1326" s="1596" t="s">
        <v>691</v>
      </c>
      <c r="F1326" s="2730">
        <v>32</v>
      </c>
      <c r="G1326" s="1472"/>
      <c r="H1326" s="1501">
        <f t="shared" si="26"/>
        <v>0</v>
      </c>
    </row>
    <row r="1327" spans="1:8" ht="12.6" customHeight="1">
      <c r="A1327" s="1586"/>
      <c r="B1327" s="1602"/>
      <c r="C1327" s="1603"/>
      <c r="D1327" s="1589"/>
      <c r="E1327" s="1596"/>
      <c r="F1327" s="2730"/>
      <c r="G1327" s="1472"/>
      <c r="H1327" s="1501" t="str">
        <f t="shared" si="26"/>
        <v/>
      </c>
    </row>
    <row r="1328" spans="1:8" ht="15.6">
      <c r="A1328" s="1586"/>
      <c r="B1328" s="1602" t="s">
        <v>2166</v>
      </c>
      <c r="C1328" s="1603" t="s">
        <v>2175</v>
      </c>
      <c r="D1328" s="1589" t="s">
        <v>2410</v>
      </c>
      <c r="E1328" s="1596" t="s">
        <v>691</v>
      </c>
      <c r="F1328" s="1604">
        <v>32</v>
      </c>
      <c r="G1328" s="1473"/>
      <c r="H1328" s="1501">
        <f t="shared" si="26"/>
        <v>0</v>
      </c>
    </row>
    <row r="1329" spans="1:11" ht="12.6" customHeight="1">
      <c r="A1329" s="1586"/>
      <c r="B1329" s="2691"/>
      <c r="C1329" s="1599"/>
      <c r="D1329" s="1589"/>
      <c r="E1329" s="1596"/>
      <c r="F1329" s="1604"/>
      <c r="G1329" s="1473"/>
      <c r="H1329" s="1501" t="str">
        <f t="shared" si="26"/>
        <v/>
      </c>
    </row>
    <row r="1330" spans="1:11" ht="12.6" customHeight="1">
      <c r="A1330" s="2684">
        <f>$A$4</f>
        <v>19</v>
      </c>
      <c r="B1330" s="2684">
        <v>10.3</v>
      </c>
      <c r="C1330" s="1603"/>
      <c r="D1330" s="2723" t="s">
        <v>2220</v>
      </c>
      <c r="E1330" s="1596"/>
      <c r="F1330" s="1597"/>
      <c r="G1330" s="1473"/>
      <c r="H1330" s="1501" t="str">
        <f t="shared" si="26"/>
        <v/>
      </c>
    </row>
    <row r="1331" spans="1:11" ht="12.6" customHeight="1">
      <c r="A1331" s="1586"/>
      <c r="B1331" s="2684"/>
      <c r="C1331" s="1603"/>
      <c r="D1331" s="2722"/>
      <c r="E1331" s="1596"/>
      <c r="F1331" s="1597"/>
      <c r="G1331" s="1473"/>
      <c r="H1331" s="1501" t="str">
        <f t="shared" si="26"/>
        <v/>
      </c>
    </row>
    <row r="1332" spans="1:11" ht="66">
      <c r="A1332" s="1586"/>
      <c r="B1332" s="1602"/>
      <c r="C1332" s="1588" t="s">
        <v>2411</v>
      </c>
      <c r="D1332" s="1595" t="s">
        <v>2412</v>
      </c>
      <c r="E1332" s="1596"/>
      <c r="F1332" s="1604"/>
      <c r="G1332" s="1474"/>
      <c r="H1332" s="1501" t="str">
        <f t="shared" si="26"/>
        <v/>
      </c>
    </row>
    <row r="1333" spans="1:11" ht="12.6" customHeight="1">
      <c r="A1333" s="1586"/>
      <c r="B1333" s="1602"/>
      <c r="C1333" s="1603"/>
      <c r="D1333" s="1589"/>
      <c r="E1333" s="1596"/>
      <c r="F1333" s="1604"/>
      <c r="G1333" s="1473"/>
      <c r="H1333" s="1501" t="str">
        <f t="shared" si="26"/>
        <v/>
      </c>
    </row>
    <row r="1334" spans="1:11" ht="26.4">
      <c r="A1334" s="1586"/>
      <c r="B1334" s="1593" t="s">
        <v>2162</v>
      </c>
      <c r="C1334" s="1588" t="s">
        <v>2411</v>
      </c>
      <c r="D1334" s="1589" t="s">
        <v>2413</v>
      </c>
      <c r="E1334" s="1596" t="s">
        <v>976</v>
      </c>
      <c r="F1334" s="1597">
        <v>1</v>
      </c>
      <c r="G1334" s="1472"/>
      <c r="H1334" s="1501">
        <f t="shared" si="26"/>
        <v>0</v>
      </c>
    </row>
    <row r="1335" spans="1:11" ht="12.6" customHeight="1">
      <c r="A1335" s="1586"/>
      <c r="B1335" s="1593"/>
      <c r="C1335" s="1603"/>
      <c r="D1335" s="904"/>
      <c r="E1335" s="1596"/>
      <c r="F1335" s="1597"/>
      <c r="G1335" s="1473"/>
      <c r="H1335" s="1501" t="str">
        <f t="shared" si="26"/>
        <v/>
      </c>
    </row>
    <row r="1336" spans="1:11" ht="26.4">
      <c r="A1336" s="1586"/>
      <c r="B1336" s="1593" t="s">
        <v>2164</v>
      </c>
      <c r="C1336" s="1588" t="s">
        <v>2411</v>
      </c>
      <c r="D1336" s="1589" t="s">
        <v>2414</v>
      </c>
      <c r="E1336" s="1596" t="s">
        <v>976</v>
      </c>
      <c r="F1336" s="2724">
        <v>1</v>
      </c>
      <c r="G1336" s="1473"/>
      <c r="H1336" s="1501">
        <f t="shared" si="26"/>
        <v>0</v>
      </c>
    </row>
    <row r="1337" spans="1:11" ht="12.6" customHeight="1">
      <c r="A1337" s="1586"/>
      <c r="B1337" s="2684"/>
      <c r="C1337" s="1603"/>
      <c r="D1337" s="904"/>
      <c r="E1337" s="1596"/>
      <c r="F1337" s="2724"/>
      <c r="G1337" s="1472"/>
      <c r="H1337" s="1501" t="str">
        <f t="shared" si="26"/>
        <v/>
      </c>
    </row>
    <row r="1338" spans="1:11" ht="26.4">
      <c r="A1338" s="1586"/>
      <c r="B1338" s="1604" t="s">
        <v>2166</v>
      </c>
      <c r="C1338" s="1588" t="s">
        <v>2411</v>
      </c>
      <c r="D1338" s="1589" t="s">
        <v>2415</v>
      </c>
      <c r="E1338" s="1596" t="s">
        <v>976</v>
      </c>
      <c r="F1338" s="1597">
        <v>1</v>
      </c>
      <c r="G1338" s="1472"/>
      <c r="H1338" s="1501">
        <f t="shared" si="26"/>
        <v>0</v>
      </c>
      <c r="K1338" s="776"/>
    </row>
    <row r="1339" spans="1:11" ht="12.6" customHeight="1">
      <c r="A1339" s="1586"/>
      <c r="B1339" s="2691"/>
      <c r="C1339" s="1603"/>
      <c r="D1339" s="904"/>
      <c r="E1339" s="1596"/>
      <c r="F1339" s="1597"/>
      <c r="G1339" s="1473"/>
      <c r="H1339" s="1501" t="str">
        <f t="shared" si="26"/>
        <v/>
      </c>
      <c r="K1339" s="776"/>
    </row>
    <row r="1340" spans="1:11" ht="26.4">
      <c r="A1340" s="1586"/>
      <c r="B1340" s="1604" t="s">
        <v>2168</v>
      </c>
      <c r="C1340" s="1588" t="s">
        <v>2411</v>
      </c>
      <c r="D1340" s="1589" t="s">
        <v>2416</v>
      </c>
      <c r="E1340" s="1596" t="s">
        <v>976</v>
      </c>
      <c r="F1340" s="1597">
        <v>1</v>
      </c>
      <c r="G1340" s="1472"/>
      <c r="H1340" s="1501">
        <f t="shared" si="26"/>
        <v>0</v>
      </c>
      <c r="K1340" s="776"/>
    </row>
    <row r="1341" spans="1:11" ht="12.6" customHeight="1">
      <c r="A1341" s="1586"/>
      <c r="B1341" s="2812"/>
      <c r="C1341" s="1599"/>
      <c r="D1341" s="1595"/>
      <c r="E1341" s="1590"/>
      <c r="F1341" s="1601"/>
      <c r="G1341" s="1473"/>
      <c r="H1341" s="1501" t="str">
        <f t="shared" si="26"/>
        <v/>
      </c>
    </row>
    <row r="1342" spans="1:11" ht="12.6" customHeight="1">
      <c r="A1342" s="2684">
        <f>$A$4</f>
        <v>19</v>
      </c>
      <c r="B1342" s="2684">
        <v>10.4</v>
      </c>
      <c r="C1342" s="1599"/>
      <c r="D1342" s="2723" t="s">
        <v>2227</v>
      </c>
      <c r="E1342" s="1596"/>
      <c r="F1342" s="2724"/>
      <c r="G1342" s="1472"/>
      <c r="H1342" s="1501" t="str">
        <f t="shared" si="26"/>
        <v/>
      </c>
    </row>
    <row r="1343" spans="1:11" ht="12.6" customHeight="1">
      <c r="A1343" s="1586"/>
      <c r="B1343" s="2684"/>
      <c r="C1343" s="1599"/>
      <c r="D1343" s="2723"/>
      <c r="E1343" s="1596"/>
      <c r="F1343" s="2724"/>
      <c r="G1343" s="1472"/>
      <c r="H1343" s="1501" t="str">
        <f t="shared" si="26"/>
        <v/>
      </c>
    </row>
    <row r="1344" spans="1:11" ht="26.4">
      <c r="A1344" s="1586"/>
      <c r="B1344" s="2812"/>
      <c r="C1344" s="2770" t="s">
        <v>2228</v>
      </c>
      <c r="D1344" s="1595" t="s">
        <v>2290</v>
      </c>
      <c r="E1344" s="1590"/>
      <c r="F1344" s="1601"/>
      <c r="G1344" s="1473"/>
      <c r="H1344" s="1501" t="str">
        <f t="shared" si="26"/>
        <v/>
      </c>
    </row>
    <row r="1345" spans="1:8" ht="12.6" customHeight="1">
      <c r="A1345" s="1586"/>
      <c r="B1345" s="2769"/>
      <c r="C1345" s="2770"/>
      <c r="D1345" s="1595"/>
      <c r="E1345" s="1590"/>
      <c r="F1345" s="1601"/>
      <c r="G1345" s="1473"/>
      <c r="H1345" s="1501" t="str">
        <f t="shared" si="26"/>
        <v/>
      </c>
    </row>
    <row r="1346" spans="1:8">
      <c r="A1346" s="1586"/>
      <c r="B1346" s="2769" t="s">
        <v>2162</v>
      </c>
      <c r="C1346" s="2770" t="s">
        <v>2228</v>
      </c>
      <c r="D1346" s="1595" t="s">
        <v>2231</v>
      </c>
      <c r="E1346" s="1590" t="s">
        <v>561</v>
      </c>
      <c r="F1346" s="1601">
        <v>720</v>
      </c>
      <c r="G1346" s="1472"/>
      <c r="H1346" s="1501">
        <f t="shared" si="26"/>
        <v>0</v>
      </c>
    </row>
    <row r="1347" spans="1:8" ht="12.6" customHeight="1">
      <c r="A1347" s="1586"/>
      <c r="B1347" s="2769"/>
      <c r="C1347" s="2770"/>
      <c r="D1347" s="1595"/>
      <c r="E1347" s="1590"/>
      <c r="F1347" s="1601"/>
      <c r="G1347" s="1472"/>
      <c r="H1347" s="1501" t="str">
        <f t="shared" si="26"/>
        <v/>
      </c>
    </row>
    <row r="1348" spans="1:8" ht="15.6">
      <c r="A1348" s="1586"/>
      <c r="B1348" s="2769" t="s">
        <v>2164</v>
      </c>
      <c r="C1348" s="2770" t="s">
        <v>2228</v>
      </c>
      <c r="D1348" s="1595" t="s">
        <v>2233</v>
      </c>
      <c r="E1348" s="1590" t="s">
        <v>561</v>
      </c>
      <c r="F1348" s="1601">
        <v>32</v>
      </c>
      <c r="G1348" s="1473"/>
      <c r="H1348" s="1501">
        <f t="shared" si="26"/>
        <v>0</v>
      </c>
    </row>
    <row r="1349" spans="1:8" ht="12.6" customHeight="1">
      <c r="A1349" s="1586"/>
      <c r="B1349" s="2813"/>
      <c r="C1349" s="2741"/>
      <c r="D1349" s="1595"/>
      <c r="E1349" s="2726"/>
      <c r="F1349" s="2814"/>
      <c r="G1349" s="1474"/>
      <c r="H1349" s="1501" t="str">
        <f t="shared" si="26"/>
        <v/>
      </c>
    </row>
    <row r="1350" spans="1:8">
      <c r="A1350" s="2684">
        <f>$A$4</f>
        <v>19</v>
      </c>
      <c r="B1350" s="2684">
        <v>10.5</v>
      </c>
      <c r="C1350" s="2741"/>
      <c r="D1350" s="2723" t="s">
        <v>2236</v>
      </c>
      <c r="E1350" s="2726"/>
      <c r="F1350" s="2726"/>
      <c r="G1350" s="1475"/>
      <c r="H1350" s="1501" t="str">
        <f t="shared" si="26"/>
        <v/>
      </c>
    </row>
    <row r="1351" spans="1:8" ht="12.6" customHeight="1">
      <c r="A1351" s="1586"/>
      <c r="B1351" s="2769"/>
      <c r="C1351" s="2770"/>
      <c r="D1351" s="2745"/>
      <c r="E1351" s="1590"/>
      <c r="F1351" s="1601"/>
      <c r="G1351" s="1473"/>
      <c r="H1351" s="1501" t="str">
        <f t="shared" si="26"/>
        <v/>
      </c>
    </row>
    <row r="1352" spans="1:8" ht="12.6" customHeight="1">
      <c r="A1352" s="1586"/>
      <c r="B1352" s="2769" t="s">
        <v>2162</v>
      </c>
      <c r="C1352" s="2770" t="s">
        <v>2237</v>
      </c>
      <c r="D1352" s="1589" t="s">
        <v>2322</v>
      </c>
      <c r="E1352" s="1590" t="s">
        <v>691</v>
      </c>
      <c r="F1352" s="1601">
        <v>16</v>
      </c>
      <c r="G1352" s="1473"/>
      <c r="H1352" s="1501">
        <f t="shared" si="26"/>
        <v>0</v>
      </c>
    </row>
    <row r="1353" spans="1:8" ht="12.6" customHeight="1">
      <c r="A1353" s="1586"/>
      <c r="B1353" s="2815"/>
      <c r="C1353" s="2741"/>
      <c r="D1353" s="1589"/>
      <c r="E1353" s="2726"/>
      <c r="F1353" s="2726"/>
      <c r="G1353" s="1475"/>
      <c r="H1353" s="1501" t="str">
        <f t="shared" si="26"/>
        <v/>
      </c>
    </row>
    <row r="1354" spans="1:8">
      <c r="A1354" s="1586"/>
      <c r="B1354" s="2769" t="s">
        <v>2164</v>
      </c>
      <c r="C1354" s="2770" t="s">
        <v>2237</v>
      </c>
      <c r="D1354" s="1589" t="s">
        <v>2239</v>
      </c>
      <c r="E1354" s="1590" t="s">
        <v>691</v>
      </c>
      <c r="F1354" s="1601">
        <v>16</v>
      </c>
      <c r="G1354" s="1473"/>
      <c r="H1354" s="1501">
        <f t="shared" si="26"/>
        <v>0</v>
      </c>
    </row>
    <row r="1355" spans="1:8" ht="12.6" customHeight="1">
      <c r="A1355" s="1586"/>
      <c r="B1355" s="1602"/>
      <c r="C1355" s="1603"/>
      <c r="D1355" s="2707"/>
      <c r="E1355" s="1590"/>
      <c r="F1355" s="2793"/>
      <c r="G1355" s="1472"/>
      <c r="H1355" s="1501" t="str">
        <f t="shared" si="26"/>
        <v/>
      </c>
    </row>
    <row r="1356" spans="1:8">
      <c r="A1356" s="2684">
        <f>$A$4</f>
        <v>19</v>
      </c>
      <c r="B1356" s="2684">
        <v>10.6</v>
      </c>
      <c r="C1356" s="1606"/>
      <c r="D1356" s="2800" t="s">
        <v>2417</v>
      </c>
      <c r="E1356" s="1605"/>
      <c r="F1356" s="2742"/>
      <c r="G1356" s="1475"/>
      <c r="H1356" s="1501" t="str">
        <f t="shared" si="26"/>
        <v/>
      </c>
    </row>
    <row r="1357" spans="1:8" ht="12.6" customHeight="1">
      <c r="A1357" s="1586"/>
      <c r="B1357" s="2816"/>
      <c r="C1357" s="1606"/>
      <c r="D1357" s="2817"/>
      <c r="E1357" s="1605"/>
      <c r="F1357" s="2742"/>
      <c r="G1357" s="1475"/>
      <c r="H1357" s="1501" t="str">
        <f t="shared" si="26"/>
        <v/>
      </c>
    </row>
    <row r="1358" spans="1:8" ht="39.6">
      <c r="A1358" s="1586"/>
      <c r="B1358" s="1605" t="s">
        <v>2162</v>
      </c>
      <c r="C1358" s="1606" t="s">
        <v>2304</v>
      </c>
      <c r="D1358" s="2799" t="s">
        <v>2418</v>
      </c>
      <c r="E1358" s="2744" t="s">
        <v>691</v>
      </c>
      <c r="F1358" s="1609">
        <v>16</v>
      </c>
      <c r="G1358" s="1475"/>
      <c r="H1358" s="1501">
        <f t="shared" si="26"/>
        <v>0</v>
      </c>
    </row>
    <row r="1359" spans="1:8" ht="12.6" customHeight="1">
      <c r="A1359" s="1586"/>
      <c r="B1359" s="1271"/>
      <c r="C1359" s="1155"/>
      <c r="D1359" s="2751"/>
      <c r="E1359" s="147"/>
      <c r="F1359" s="1577"/>
      <c r="G1359" s="1478"/>
      <c r="H1359" s="1501" t="str">
        <f t="shared" si="26"/>
        <v/>
      </c>
    </row>
    <row r="1360" spans="1:8">
      <c r="A1360" s="2684">
        <f>$A$4</f>
        <v>19</v>
      </c>
      <c r="B1360" s="2684">
        <v>11</v>
      </c>
      <c r="C1360" s="1599"/>
      <c r="D1360" s="937" t="s">
        <v>2095</v>
      </c>
      <c r="E1360" s="2672"/>
      <c r="F1360" s="2759"/>
      <c r="G1360" s="1472"/>
      <c r="H1360" s="1501" t="str">
        <f t="shared" si="26"/>
        <v/>
      </c>
    </row>
    <row r="1361" spans="1:8" ht="12.6" customHeight="1">
      <c r="A1361" s="1586"/>
      <c r="B1361" s="2778"/>
      <c r="C1361" s="1599"/>
      <c r="D1361" s="2722"/>
      <c r="E1361" s="2672"/>
      <c r="F1361" s="2759"/>
      <c r="G1361" s="1472"/>
      <c r="H1361" s="1501" t="str">
        <f t="shared" si="26"/>
        <v/>
      </c>
    </row>
    <row r="1362" spans="1:8">
      <c r="A1362" s="2684">
        <f>$A$4</f>
        <v>19</v>
      </c>
      <c r="B1362" s="2684">
        <v>11.1</v>
      </c>
      <c r="C1362" s="1603"/>
      <c r="D1362" s="2723" t="s">
        <v>2211</v>
      </c>
      <c r="E1362" s="1596"/>
      <c r="F1362" s="2724"/>
      <c r="G1362" s="1472"/>
      <c r="H1362" s="1501" t="str">
        <f t="shared" si="26"/>
        <v/>
      </c>
    </row>
    <row r="1363" spans="1:8" ht="12.6" customHeight="1">
      <c r="A1363" s="1586"/>
      <c r="B1363" s="2684"/>
      <c r="C1363" s="1603"/>
      <c r="D1363" s="2723"/>
      <c r="E1363" s="1596"/>
      <c r="F1363" s="2724"/>
      <c r="G1363" s="1472"/>
      <c r="H1363" s="1501" t="str">
        <f t="shared" si="26"/>
        <v/>
      </c>
    </row>
    <row r="1364" spans="1:8" ht="39.6">
      <c r="A1364" s="1586"/>
      <c r="B1364" s="1602"/>
      <c r="C1364" s="1603" t="s">
        <v>2175</v>
      </c>
      <c r="D1364" s="1595" t="s">
        <v>2419</v>
      </c>
      <c r="E1364" s="1596"/>
      <c r="F1364" s="2724"/>
      <c r="G1364" s="1472"/>
      <c r="H1364" s="1501" t="str">
        <f t="shared" si="26"/>
        <v/>
      </c>
    </row>
    <row r="1365" spans="1:8">
      <c r="A1365" s="1586"/>
      <c r="B1365" s="1602"/>
      <c r="C1365" s="1603"/>
      <c r="D1365" s="904"/>
      <c r="E1365" s="1596"/>
      <c r="F1365" s="1597"/>
      <c r="G1365" s="1473"/>
      <c r="H1365" s="1501" t="str">
        <f t="shared" si="26"/>
        <v/>
      </c>
    </row>
    <row r="1366" spans="1:8" ht="15.6">
      <c r="A1366" s="1586"/>
      <c r="B1366" s="1602" t="s">
        <v>2162</v>
      </c>
      <c r="C1366" s="1603" t="s">
        <v>2175</v>
      </c>
      <c r="D1366" s="1589" t="s">
        <v>2420</v>
      </c>
      <c r="E1366" s="1596" t="s">
        <v>561</v>
      </c>
      <c r="F1366" s="1597">
        <v>1620</v>
      </c>
      <c r="G1366" s="1472"/>
      <c r="H1366" s="1501">
        <f t="shared" si="26"/>
        <v>0</v>
      </c>
    </row>
    <row r="1367" spans="1:8" ht="12.6" customHeight="1">
      <c r="A1367" s="1586"/>
      <c r="B1367" s="1602"/>
      <c r="C1367" s="1603"/>
      <c r="D1367" s="1589"/>
      <c r="E1367" s="1596"/>
      <c r="F1367" s="1597"/>
      <c r="G1367" s="1472"/>
      <c r="H1367" s="1501" t="str">
        <f t="shared" si="26"/>
        <v/>
      </c>
    </row>
    <row r="1368" spans="1:8" ht="15.6">
      <c r="A1368" s="1586"/>
      <c r="B1368" s="1602" t="s">
        <v>2164</v>
      </c>
      <c r="C1368" s="1603" t="s">
        <v>2175</v>
      </c>
      <c r="D1368" s="1589" t="s">
        <v>2421</v>
      </c>
      <c r="E1368" s="1596" t="s">
        <v>561</v>
      </c>
      <c r="F1368" s="1597">
        <v>1620</v>
      </c>
      <c r="G1368" s="1473"/>
      <c r="H1368" s="1501">
        <f t="shared" si="26"/>
        <v>0</v>
      </c>
    </row>
    <row r="1369" spans="1:8" ht="12.6" customHeight="1">
      <c r="A1369" s="1586"/>
      <c r="B1369" s="1602"/>
      <c r="C1369" s="1603"/>
      <c r="D1369" s="1589"/>
      <c r="E1369" s="1596"/>
      <c r="F1369" s="1604"/>
      <c r="G1369" s="1473"/>
      <c r="H1369" s="1501" t="str">
        <f t="shared" si="26"/>
        <v/>
      </c>
    </row>
    <row r="1370" spans="1:8" ht="12.6" customHeight="1">
      <c r="A1370" s="2684">
        <f>$A$4</f>
        <v>19</v>
      </c>
      <c r="B1370" s="2684" t="s">
        <v>2108</v>
      </c>
      <c r="C1370" s="2811"/>
      <c r="D1370" s="2723" t="s">
        <v>2216</v>
      </c>
      <c r="E1370" s="1596"/>
      <c r="F1370" s="1604"/>
      <c r="G1370" s="1472"/>
      <c r="H1370" s="1501" t="str">
        <f t="shared" si="26"/>
        <v/>
      </c>
    </row>
    <row r="1371" spans="1:8" ht="12.6" customHeight="1">
      <c r="A1371" s="1586"/>
      <c r="B1371" s="2684"/>
      <c r="C1371" s="2811"/>
      <c r="D1371" s="2722"/>
      <c r="E1371" s="1596"/>
      <c r="F1371" s="1604"/>
      <c r="G1371" s="1472"/>
      <c r="H1371" s="1501" t="str">
        <f t="shared" si="26"/>
        <v/>
      </c>
    </row>
    <row r="1372" spans="1:8" ht="26.4">
      <c r="A1372" s="1586"/>
      <c r="B1372" s="1602"/>
      <c r="C1372" s="2811"/>
      <c r="D1372" s="1595" t="s">
        <v>2197</v>
      </c>
      <c r="E1372" s="1596"/>
      <c r="F1372" s="1604"/>
      <c r="G1372" s="1473"/>
      <c r="H1372" s="1501" t="str">
        <f t="shared" si="26"/>
        <v/>
      </c>
    </row>
    <row r="1373" spans="1:8" ht="12.6" customHeight="1">
      <c r="A1373" s="1586"/>
      <c r="B1373" s="1602"/>
      <c r="C1373" s="1603"/>
      <c r="D1373" s="904"/>
      <c r="E1373" s="1596"/>
      <c r="F1373" s="1597"/>
      <c r="G1373" s="1473"/>
      <c r="H1373" s="1501" t="str">
        <f t="shared" si="26"/>
        <v/>
      </c>
    </row>
    <row r="1374" spans="1:8" ht="15.6">
      <c r="A1374" s="1586"/>
      <c r="B1374" s="1602" t="s">
        <v>2162</v>
      </c>
      <c r="C1374" s="1603" t="s">
        <v>2175</v>
      </c>
      <c r="D1374" s="1589" t="s">
        <v>2420</v>
      </c>
      <c r="E1374" s="2728" t="s">
        <v>691</v>
      </c>
      <c r="F1374" s="2729">
        <v>48</v>
      </c>
      <c r="G1374" s="1472"/>
      <c r="H1374" s="1501">
        <f t="shared" si="26"/>
        <v>0</v>
      </c>
    </row>
    <row r="1375" spans="1:8" ht="12.6" customHeight="1">
      <c r="A1375" s="1586"/>
      <c r="B1375" s="1602"/>
      <c r="C1375" s="1603"/>
      <c r="D1375" s="1589"/>
      <c r="E1375" s="2728"/>
      <c r="F1375" s="2729"/>
      <c r="G1375" s="1472"/>
      <c r="H1375" s="1501" t="str">
        <f t="shared" si="26"/>
        <v/>
      </c>
    </row>
    <row r="1376" spans="1:8" ht="15.6">
      <c r="A1376" s="1586"/>
      <c r="B1376" s="1602" t="s">
        <v>2164</v>
      </c>
      <c r="C1376" s="1603" t="s">
        <v>2175</v>
      </c>
      <c r="D1376" s="1589" t="s">
        <v>2421</v>
      </c>
      <c r="E1376" s="1596" t="s">
        <v>691</v>
      </c>
      <c r="F1376" s="2730">
        <v>48</v>
      </c>
      <c r="G1376" s="1473"/>
      <c r="H1376" s="1501">
        <f t="shared" si="26"/>
        <v>0</v>
      </c>
    </row>
    <row r="1377" spans="1:11" ht="12.6" customHeight="1">
      <c r="A1377" s="1586"/>
      <c r="B1377" s="1602"/>
      <c r="C1377" s="1603"/>
      <c r="D1377" s="1589"/>
      <c r="E1377" s="1596"/>
      <c r="F1377" s="1604"/>
      <c r="G1377" s="1473"/>
      <c r="H1377" s="1501" t="str">
        <f t="shared" si="26"/>
        <v/>
      </c>
    </row>
    <row r="1378" spans="1:11" ht="12.6" customHeight="1">
      <c r="A1378" s="1586"/>
      <c r="B1378" s="1602"/>
      <c r="C1378" s="1603"/>
      <c r="D1378" s="1589"/>
      <c r="E1378" s="916"/>
      <c r="F1378" s="1604"/>
      <c r="G1378" s="1473"/>
      <c r="H1378" s="901"/>
    </row>
    <row r="1379" spans="1:11" ht="12.6" customHeight="1">
      <c r="A1379" s="1586"/>
      <c r="B1379" s="1271"/>
      <c r="C1379" s="1792"/>
      <c r="D1379" s="2647"/>
      <c r="E1379" s="882"/>
      <c r="F1379" s="1577"/>
      <c r="G1379" s="1476"/>
      <c r="H1379" s="902"/>
      <c r="K1379" s="776"/>
    </row>
    <row r="1380" spans="1:11">
      <c r="A1380" s="2333"/>
      <c r="B1380" s="822"/>
      <c r="C1380" s="1158"/>
      <c r="D1380" s="840"/>
      <c r="E1380" s="837"/>
      <c r="F1380" s="838"/>
      <c r="G1380" s="2748"/>
      <c r="H1380" s="2749"/>
    </row>
    <row r="1381" spans="1:11">
      <c r="A1381" s="2336"/>
      <c r="B1381" s="823"/>
      <c r="C1381" s="1159"/>
      <c r="D1381" s="774" t="s">
        <v>289</v>
      </c>
      <c r="E1381" s="426"/>
      <c r="F1381" s="24"/>
      <c r="G1381" s="1477"/>
      <c r="H1381" s="2750">
        <f>SUM(H1314:H1379)</f>
        <v>0</v>
      </c>
    </row>
    <row r="1382" spans="1:11">
      <c r="A1382" s="1586"/>
      <c r="B1382" s="1271"/>
      <c r="C1382" s="2797"/>
      <c r="D1382" s="2754" t="s">
        <v>290</v>
      </c>
      <c r="E1382" s="147"/>
      <c r="F1382" s="1577"/>
      <c r="G1382" s="1478"/>
      <c r="H1382" s="922">
        <f>H1381</f>
        <v>0</v>
      </c>
    </row>
    <row r="1383" spans="1:11">
      <c r="A1383" s="1586"/>
      <c r="B1383" s="1271"/>
      <c r="C1383" s="1792"/>
      <c r="D1383" s="2751"/>
      <c r="E1383" s="147"/>
      <c r="F1383" s="1577"/>
      <c r="G1383" s="1478"/>
      <c r="H1383" s="897"/>
    </row>
    <row r="1384" spans="1:11">
      <c r="A1384" s="2684">
        <f>$A$4</f>
        <v>19</v>
      </c>
      <c r="B1384" s="2684">
        <v>11.3</v>
      </c>
      <c r="C1384" s="1603"/>
      <c r="D1384" s="2776" t="s">
        <v>2220</v>
      </c>
      <c r="E1384" s="925"/>
      <c r="F1384" s="2673"/>
      <c r="G1384" s="1473"/>
      <c r="H1384" s="2747"/>
    </row>
    <row r="1385" spans="1:11" ht="12.6" customHeight="1">
      <c r="A1385" s="1586"/>
      <c r="B1385" s="2684"/>
      <c r="C1385" s="1603"/>
      <c r="D1385" s="2787"/>
      <c r="E1385" s="925"/>
      <c r="F1385" s="2673"/>
      <c r="G1385" s="1473"/>
      <c r="H1385" s="2747"/>
    </row>
    <row r="1386" spans="1:11" ht="16.2">
      <c r="A1386" s="1586"/>
      <c r="B1386" s="1602" t="s">
        <v>2162</v>
      </c>
      <c r="C1386" s="1603" t="s">
        <v>2221</v>
      </c>
      <c r="D1386" s="1600" t="s">
        <v>2222</v>
      </c>
      <c r="E1386" s="934" t="s">
        <v>631</v>
      </c>
      <c r="F1386" s="1597">
        <v>200</v>
      </c>
      <c r="G1386" s="1474"/>
      <c r="H1386" s="1501">
        <f t="shared" ref="H1386:H1449" si="27">IF(E1386="","",ROUND(F1386*G1386,2))</f>
        <v>0</v>
      </c>
    </row>
    <row r="1387" spans="1:11" ht="12.6" customHeight="1">
      <c r="A1387" s="1586"/>
      <c r="B1387" s="1602"/>
      <c r="C1387" s="1603"/>
      <c r="D1387" s="1595"/>
      <c r="E1387" s="2762"/>
      <c r="F1387" s="1597"/>
      <c r="G1387" s="1474"/>
      <c r="H1387" s="1501" t="str">
        <f t="shared" si="27"/>
        <v/>
      </c>
    </row>
    <row r="1388" spans="1:11" ht="16.2">
      <c r="A1388" s="1586"/>
      <c r="B1388" s="1602" t="s">
        <v>2164</v>
      </c>
      <c r="C1388" s="1603" t="s">
        <v>2221</v>
      </c>
      <c r="D1388" s="1595" t="s">
        <v>2223</v>
      </c>
      <c r="E1388" s="2762" t="s">
        <v>631</v>
      </c>
      <c r="F1388" s="1604">
        <v>200</v>
      </c>
      <c r="G1388" s="1479"/>
      <c r="H1388" s="1501">
        <f t="shared" si="27"/>
        <v>0</v>
      </c>
    </row>
    <row r="1389" spans="1:11" ht="12.6" customHeight="1">
      <c r="A1389" s="1586"/>
      <c r="B1389" s="1602"/>
      <c r="C1389" s="1603"/>
      <c r="D1389" s="1595"/>
      <c r="E1389" s="2762"/>
      <c r="F1389" s="1604"/>
      <c r="G1389" s="1479"/>
      <c r="H1389" s="1501" t="str">
        <f t="shared" si="27"/>
        <v/>
      </c>
    </row>
    <row r="1390" spans="1:11" ht="12.6" customHeight="1">
      <c r="A1390" s="2684">
        <f>$A$4</f>
        <v>19</v>
      </c>
      <c r="B1390" s="2684">
        <v>11.4</v>
      </c>
      <c r="C1390" s="1599"/>
      <c r="D1390" s="924" t="s">
        <v>2224</v>
      </c>
      <c r="E1390" s="925"/>
      <c r="F1390" s="2673"/>
      <c r="G1390" s="1472"/>
      <c r="H1390" s="1501" t="str">
        <f t="shared" si="27"/>
        <v/>
      </c>
    </row>
    <row r="1391" spans="1:11" ht="12.6" customHeight="1">
      <c r="A1391" s="1586"/>
      <c r="B1391" s="2691"/>
      <c r="C1391" s="1599"/>
      <c r="D1391" s="2818"/>
      <c r="E1391" s="925"/>
      <c r="F1391" s="2673"/>
      <c r="G1391" s="1472"/>
      <c r="H1391" s="1501" t="str">
        <f t="shared" si="27"/>
        <v/>
      </c>
    </row>
    <row r="1392" spans="1:11" ht="12.6" customHeight="1">
      <c r="A1392" s="1586"/>
      <c r="B1392" s="1602" t="s">
        <v>2162</v>
      </c>
      <c r="C1392" s="1603" t="s">
        <v>2225</v>
      </c>
      <c r="D1392" s="1595" t="s">
        <v>2422</v>
      </c>
      <c r="E1392" s="1596" t="s">
        <v>691</v>
      </c>
      <c r="F1392" s="1604">
        <v>24</v>
      </c>
      <c r="G1392" s="1474"/>
      <c r="H1392" s="1501">
        <f t="shared" si="27"/>
        <v>0</v>
      </c>
    </row>
    <row r="1393" spans="1:8" ht="12.6" customHeight="1">
      <c r="A1393" s="1586"/>
      <c r="B1393" s="1602"/>
      <c r="C1393" s="1603"/>
      <c r="D1393" s="1595"/>
      <c r="E1393" s="2672"/>
      <c r="F1393" s="2673"/>
      <c r="G1393" s="1473"/>
      <c r="H1393" s="1501" t="str">
        <f t="shared" si="27"/>
        <v/>
      </c>
    </row>
    <row r="1394" spans="1:8" ht="12.6" customHeight="1">
      <c r="A1394" s="2684">
        <f>$A$4</f>
        <v>19</v>
      </c>
      <c r="B1394" s="2684">
        <v>11.5</v>
      </c>
      <c r="C1394" s="1599"/>
      <c r="D1394" s="2723" t="s">
        <v>2227</v>
      </c>
      <c r="E1394" s="1596"/>
      <c r="F1394" s="2673"/>
      <c r="G1394" s="1472"/>
      <c r="H1394" s="1501" t="str">
        <f t="shared" si="27"/>
        <v/>
      </c>
    </row>
    <row r="1395" spans="1:8" ht="12.6" customHeight="1">
      <c r="A1395" s="1586"/>
      <c r="B1395" s="2691"/>
      <c r="C1395" s="1599"/>
      <c r="D1395" s="2723"/>
      <c r="E1395" s="1596"/>
      <c r="F1395" s="2673"/>
      <c r="G1395" s="1472"/>
      <c r="H1395" s="1501" t="str">
        <f t="shared" si="27"/>
        <v/>
      </c>
    </row>
    <row r="1396" spans="1:8" ht="26.4">
      <c r="A1396" s="1586"/>
      <c r="B1396" s="2812"/>
      <c r="C1396" s="2770" t="s">
        <v>2228</v>
      </c>
      <c r="D1396" s="1595" t="s">
        <v>2290</v>
      </c>
      <c r="E1396" s="1590"/>
      <c r="F1396" s="2673"/>
      <c r="G1396" s="1474"/>
      <c r="H1396" s="1501" t="str">
        <f t="shared" si="27"/>
        <v/>
      </c>
    </row>
    <row r="1397" spans="1:8" ht="12.6" customHeight="1">
      <c r="A1397" s="1586"/>
      <c r="B1397" s="2769"/>
      <c r="C1397" s="2770"/>
      <c r="D1397" s="1595"/>
      <c r="E1397" s="1590"/>
      <c r="F1397" s="2763"/>
      <c r="G1397" s="1473"/>
      <c r="H1397" s="1501" t="str">
        <f t="shared" si="27"/>
        <v/>
      </c>
    </row>
    <row r="1398" spans="1:8">
      <c r="A1398" s="1586"/>
      <c r="B1398" s="2769" t="s">
        <v>2162</v>
      </c>
      <c r="C1398" s="2770" t="s">
        <v>2228</v>
      </c>
      <c r="D1398" s="1595" t="s">
        <v>2231</v>
      </c>
      <c r="E1398" s="1590" t="s">
        <v>561</v>
      </c>
      <c r="F1398" s="1597">
        <v>120</v>
      </c>
      <c r="G1398" s="1472"/>
      <c r="H1398" s="1501">
        <f t="shared" si="27"/>
        <v>0</v>
      </c>
    </row>
    <row r="1399" spans="1:8" ht="12.6" customHeight="1">
      <c r="A1399" s="1586"/>
      <c r="B1399" s="2769"/>
      <c r="C1399" s="2770"/>
      <c r="D1399" s="1595"/>
      <c r="E1399" s="1590"/>
      <c r="F1399" s="1597"/>
      <c r="G1399" s="1472"/>
      <c r="H1399" s="1501" t="str">
        <f t="shared" si="27"/>
        <v/>
      </c>
    </row>
    <row r="1400" spans="1:8" ht="15.6">
      <c r="A1400" s="1586"/>
      <c r="B1400" s="2769" t="s">
        <v>2164</v>
      </c>
      <c r="C1400" s="2770" t="s">
        <v>2228</v>
      </c>
      <c r="D1400" s="1595" t="s">
        <v>2233</v>
      </c>
      <c r="E1400" s="1590" t="s">
        <v>561</v>
      </c>
      <c r="F1400" s="1597">
        <v>12</v>
      </c>
      <c r="G1400" s="1472"/>
      <c r="H1400" s="1501">
        <f t="shared" si="27"/>
        <v>0</v>
      </c>
    </row>
    <row r="1401" spans="1:8" ht="12.6" customHeight="1">
      <c r="A1401" s="1586"/>
      <c r="B1401" s="2819"/>
      <c r="C1401" s="1599"/>
      <c r="D1401" s="1595"/>
      <c r="E1401" s="2672"/>
      <c r="F1401" s="2733"/>
      <c r="G1401" s="1472"/>
      <c r="H1401" s="1501" t="str">
        <f t="shared" si="27"/>
        <v/>
      </c>
    </row>
    <row r="1402" spans="1:8" ht="12.6" customHeight="1">
      <c r="A1402" s="2684">
        <f>$A$4</f>
        <v>19</v>
      </c>
      <c r="B1402" s="2684">
        <v>11.6</v>
      </c>
      <c r="C1402" s="1599"/>
      <c r="D1402" s="2723" t="s">
        <v>2306</v>
      </c>
      <c r="E1402" s="2672"/>
      <c r="F1402" s="2733"/>
      <c r="G1402" s="1474"/>
      <c r="H1402" s="1501" t="str">
        <f t="shared" si="27"/>
        <v/>
      </c>
    </row>
    <row r="1403" spans="1:8" ht="12.6" customHeight="1">
      <c r="A1403" s="1586"/>
      <c r="B1403" s="2691"/>
      <c r="C1403" s="1599"/>
      <c r="D1403" s="900"/>
      <c r="E1403" s="2672"/>
      <c r="F1403" s="2733"/>
      <c r="G1403" s="1474"/>
      <c r="H1403" s="1501" t="str">
        <f t="shared" si="27"/>
        <v/>
      </c>
    </row>
    <row r="1404" spans="1:8" ht="26.4">
      <c r="A1404" s="1586"/>
      <c r="B1404" s="2691" t="s">
        <v>2162</v>
      </c>
      <c r="C1404" s="1599" t="s">
        <v>2307</v>
      </c>
      <c r="D1404" s="1589" t="s">
        <v>2423</v>
      </c>
      <c r="E1404" s="1596" t="s">
        <v>691</v>
      </c>
      <c r="F1404" s="2724">
        <v>12</v>
      </c>
      <c r="G1404" s="1473"/>
      <c r="H1404" s="1501">
        <f t="shared" si="27"/>
        <v>0</v>
      </c>
    </row>
    <row r="1405" spans="1:8" ht="12.6" customHeight="1">
      <c r="A1405" s="1586"/>
      <c r="B1405" s="2778"/>
      <c r="C1405" s="1599"/>
      <c r="D1405" s="1589"/>
      <c r="E1405" s="2672"/>
      <c r="F1405" s="2733"/>
      <c r="G1405" s="1472"/>
      <c r="H1405" s="1501" t="str">
        <f t="shared" si="27"/>
        <v/>
      </c>
    </row>
    <row r="1406" spans="1:8" ht="12.6" customHeight="1">
      <c r="A1406" s="2684">
        <f>$A$4</f>
        <v>19</v>
      </c>
      <c r="B1406" s="2684">
        <v>11.7</v>
      </c>
      <c r="C1406" s="1606"/>
      <c r="D1406" s="2723" t="s">
        <v>2424</v>
      </c>
      <c r="E1406" s="1605"/>
      <c r="F1406" s="2742"/>
      <c r="G1406" s="1473"/>
      <c r="H1406" s="1501" t="str">
        <f t="shared" si="27"/>
        <v/>
      </c>
    </row>
    <row r="1407" spans="1:8" ht="12.6" customHeight="1">
      <c r="A1407" s="1586"/>
      <c r="B1407" s="2816"/>
      <c r="C1407" s="1606"/>
      <c r="D1407" s="2820"/>
      <c r="E1407" s="1605"/>
      <c r="F1407" s="2742"/>
      <c r="G1407" s="1472"/>
      <c r="H1407" s="1501" t="str">
        <f t="shared" si="27"/>
        <v/>
      </c>
    </row>
    <row r="1408" spans="1:8" ht="39.6">
      <c r="A1408" s="1586"/>
      <c r="B1408" s="2816" t="s">
        <v>2162</v>
      </c>
      <c r="C1408" s="1606" t="s">
        <v>2304</v>
      </c>
      <c r="D1408" s="2799" t="s">
        <v>2425</v>
      </c>
      <c r="E1408" s="2744" t="s">
        <v>691</v>
      </c>
      <c r="F1408" s="1609">
        <v>16</v>
      </c>
      <c r="G1408" s="1473"/>
      <c r="H1408" s="1501">
        <f t="shared" si="27"/>
        <v>0</v>
      </c>
    </row>
    <row r="1409" spans="1:8" ht="12.6" customHeight="1">
      <c r="A1409" s="1586"/>
      <c r="B1409" s="1271"/>
      <c r="C1409" s="1155"/>
      <c r="D1409" s="2751"/>
      <c r="E1409" s="147"/>
      <c r="F1409" s="1577"/>
      <c r="G1409" s="1478"/>
      <c r="H1409" s="1501" t="str">
        <f t="shared" si="27"/>
        <v/>
      </c>
    </row>
    <row r="1410" spans="1:8" ht="12.6" customHeight="1">
      <c r="A1410" s="2684">
        <f>$A$4</f>
        <v>19</v>
      </c>
      <c r="B1410" s="2684">
        <v>12</v>
      </c>
      <c r="C1410" s="1599"/>
      <c r="D1410" s="937" t="s">
        <v>1483</v>
      </c>
      <c r="E1410" s="2672"/>
      <c r="F1410" s="2759"/>
      <c r="G1410" s="1472"/>
      <c r="H1410" s="1501" t="str">
        <f t="shared" si="27"/>
        <v/>
      </c>
    </row>
    <row r="1411" spans="1:8" ht="12.6" customHeight="1">
      <c r="A1411" s="1586"/>
      <c r="B1411" s="2778"/>
      <c r="C1411" s="1599"/>
      <c r="D1411" s="2722"/>
      <c r="E1411" s="2672"/>
      <c r="F1411" s="2759"/>
      <c r="G1411" s="1472"/>
      <c r="H1411" s="1501" t="str">
        <f t="shared" si="27"/>
        <v/>
      </c>
    </row>
    <row r="1412" spans="1:8" ht="12.6" customHeight="1">
      <c r="A1412" s="2684">
        <f>$A$4</f>
        <v>19</v>
      </c>
      <c r="B1412" s="2684">
        <v>12.1</v>
      </c>
      <c r="C1412" s="1594"/>
      <c r="D1412" s="937" t="s">
        <v>2211</v>
      </c>
      <c r="E1412" s="2732"/>
      <c r="F1412" s="2733"/>
      <c r="G1412" s="1472"/>
      <c r="H1412" s="1501" t="str">
        <f t="shared" si="27"/>
        <v/>
      </c>
    </row>
    <row r="1413" spans="1:8" ht="12.6" customHeight="1">
      <c r="A1413" s="1586"/>
      <c r="B1413" s="2684"/>
      <c r="C1413" s="1594"/>
      <c r="D1413" s="937"/>
      <c r="E1413" s="2732"/>
      <c r="F1413" s="2733"/>
      <c r="G1413" s="1472"/>
      <c r="H1413" s="1501" t="str">
        <f t="shared" si="27"/>
        <v/>
      </c>
    </row>
    <row r="1414" spans="1:8" ht="39.6">
      <c r="A1414" s="1586"/>
      <c r="B1414" s="1593"/>
      <c r="C1414" s="1594" t="s">
        <v>2175</v>
      </c>
      <c r="D1414" s="1595" t="s">
        <v>2212</v>
      </c>
      <c r="E1414" s="2732"/>
      <c r="F1414" s="2733"/>
      <c r="G1414" s="1472"/>
      <c r="H1414" s="1501" t="str">
        <f t="shared" si="27"/>
        <v/>
      </c>
    </row>
    <row r="1415" spans="1:8" ht="12.6" customHeight="1">
      <c r="A1415" s="1586"/>
      <c r="B1415" s="1593"/>
      <c r="C1415" s="1594"/>
      <c r="D1415" s="1589"/>
      <c r="E1415" s="2734"/>
      <c r="F1415" s="1597"/>
      <c r="G1415" s="1473"/>
      <c r="H1415" s="1501" t="str">
        <f t="shared" si="27"/>
        <v/>
      </c>
    </row>
    <row r="1416" spans="1:8" ht="15.6">
      <c r="A1416" s="1586"/>
      <c r="B1416" s="1593" t="s">
        <v>2162</v>
      </c>
      <c r="C1416" s="1594" t="s">
        <v>2175</v>
      </c>
      <c r="D1416" s="1589" t="s">
        <v>2426</v>
      </c>
      <c r="E1416" s="2734" t="s">
        <v>561</v>
      </c>
      <c r="F1416" s="1597">
        <v>100</v>
      </c>
      <c r="G1416" s="1472"/>
      <c r="H1416" s="1501">
        <f t="shared" si="27"/>
        <v>0</v>
      </c>
    </row>
    <row r="1417" spans="1:8" ht="12.6" customHeight="1">
      <c r="A1417" s="1586"/>
      <c r="B1417" s="1593"/>
      <c r="C1417" s="1594"/>
      <c r="D1417" s="1589"/>
      <c r="E1417" s="2734"/>
      <c r="F1417" s="1597"/>
      <c r="G1417" s="1473"/>
      <c r="H1417" s="1501" t="str">
        <f t="shared" si="27"/>
        <v/>
      </c>
    </row>
    <row r="1418" spans="1:8" ht="15.6">
      <c r="A1418" s="1586"/>
      <c r="B1418" s="1593" t="s">
        <v>2164</v>
      </c>
      <c r="C1418" s="1594" t="s">
        <v>2175</v>
      </c>
      <c r="D1418" s="1589" t="s">
        <v>2427</v>
      </c>
      <c r="E1418" s="2734" t="s">
        <v>561</v>
      </c>
      <c r="F1418" s="1597">
        <v>100</v>
      </c>
      <c r="G1418" s="1472"/>
      <c r="H1418" s="1501">
        <f t="shared" si="27"/>
        <v>0</v>
      </c>
    </row>
    <row r="1419" spans="1:8" ht="12.6" customHeight="1">
      <c r="A1419" s="1586"/>
      <c r="B1419" s="1593"/>
      <c r="C1419" s="1594"/>
      <c r="D1419" s="1589"/>
      <c r="E1419" s="2734"/>
      <c r="F1419" s="1597"/>
      <c r="G1419" s="1473"/>
      <c r="H1419" s="1501" t="str">
        <f t="shared" si="27"/>
        <v/>
      </c>
    </row>
    <row r="1420" spans="1:8" ht="15.6">
      <c r="A1420" s="1586"/>
      <c r="B1420" s="1593" t="s">
        <v>2166</v>
      </c>
      <c r="C1420" s="1594" t="s">
        <v>2175</v>
      </c>
      <c r="D1420" s="1589" t="s">
        <v>2428</v>
      </c>
      <c r="E1420" s="2734" t="s">
        <v>561</v>
      </c>
      <c r="F1420" s="1597">
        <v>100</v>
      </c>
      <c r="G1420" s="1473"/>
      <c r="H1420" s="1501">
        <f t="shared" si="27"/>
        <v>0</v>
      </c>
    </row>
    <row r="1421" spans="1:8" ht="12.6" customHeight="1">
      <c r="A1421" s="1586"/>
      <c r="B1421" s="1593"/>
      <c r="C1421" s="1594"/>
      <c r="D1421" s="1589"/>
      <c r="E1421" s="2734"/>
      <c r="F1421" s="1597"/>
      <c r="G1421" s="1473"/>
      <c r="H1421" s="1501" t="str">
        <f t="shared" si="27"/>
        <v/>
      </c>
    </row>
    <row r="1422" spans="1:8" ht="15.6">
      <c r="A1422" s="1586"/>
      <c r="B1422" s="1593" t="s">
        <v>2168</v>
      </c>
      <c r="C1422" s="1594" t="s">
        <v>2175</v>
      </c>
      <c r="D1422" s="1589" t="s">
        <v>2429</v>
      </c>
      <c r="E1422" s="2734" t="s">
        <v>561</v>
      </c>
      <c r="F1422" s="1597">
        <v>100</v>
      </c>
      <c r="G1422" s="1472"/>
      <c r="H1422" s="1501">
        <f t="shared" si="27"/>
        <v>0</v>
      </c>
    </row>
    <row r="1423" spans="1:8" ht="12.6" customHeight="1">
      <c r="A1423" s="1586"/>
      <c r="B1423" s="1593"/>
      <c r="C1423" s="1594"/>
      <c r="D1423" s="1589"/>
      <c r="E1423" s="2734"/>
      <c r="F1423" s="1597"/>
      <c r="G1423" s="1473"/>
      <c r="H1423" s="1501" t="str">
        <f t="shared" si="27"/>
        <v/>
      </c>
    </row>
    <row r="1424" spans="1:8" ht="12.6" customHeight="1">
      <c r="A1424" s="2684">
        <f>$A$4</f>
        <v>19</v>
      </c>
      <c r="B1424" s="2684">
        <v>12.2</v>
      </c>
      <c r="C1424" s="1594"/>
      <c r="D1424" s="937" t="s">
        <v>2216</v>
      </c>
      <c r="E1424" s="2672"/>
      <c r="F1424" s="1597"/>
      <c r="G1424" s="1472"/>
      <c r="H1424" s="1501" t="str">
        <f t="shared" si="27"/>
        <v/>
      </c>
    </row>
    <row r="1425" spans="1:8" ht="12.6" customHeight="1">
      <c r="A1425" s="1586"/>
      <c r="B1425" s="2684"/>
      <c r="C1425" s="1594"/>
      <c r="D1425" s="937"/>
      <c r="E1425" s="2672"/>
      <c r="F1425" s="1597"/>
      <c r="G1425" s="1472"/>
      <c r="H1425" s="1501" t="str">
        <f t="shared" si="27"/>
        <v/>
      </c>
    </row>
    <row r="1426" spans="1:8" ht="26.4">
      <c r="A1426" s="1586"/>
      <c r="B1426" s="1593"/>
      <c r="C1426" s="1594" t="s">
        <v>2175</v>
      </c>
      <c r="D1426" s="1595" t="s">
        <v>2197</v>
      </c>
      <c r="E1426" s="2672"/>
      <c r="F1426" s="1597"/>
      <c r="G1426" s="1473"/>
      <c r="H1426" s="1501" t="str">
        <f t="shared" si="27"/>
        <v/>
      </c>
    </row>
    <row r="1427" spans="1:8" ht="12.6" customHeight="1">
      <c r="A1427" s="1586"/>
      <c r="B1427" s="1593"/>
      <c r="C1427" s="1594"/>
      <c r="D1427" s="904"/>
      <c r="E1427" s="2672"/>
      <c r="F1427" s="1604"/>
      <c r="G1427" s="1473"/>
      <c r="H1427" s="1501" t="str">
        <f t="shared" si="27"/>
        <v/>
      </c>
    </row>
    <row r="1428" spans="1:8" ht="15.6">
      <c r="A1428" s="1586"/>
      <c r="B1428" s="1593" t="s">
        <v>2162</v>
      </c>
      <c r="C1428" s="1594" t="s">
        <v>2175</v>
      </c>
      <c r="D1428" s="1589" t="s">
        <v>2426</v>
      </c>
      <c r="E1428" s="1596" t="s">
        <v>691</v>
      </c>
      <c r="F1428" s="1604">
        <v>2</v>
      </c>
      <c r="G1428" s="1472"/>
      <c r="H1428" s="1501">
        <f t="shared" si="27"/>
        <v>0</v>
      </c>
    </row>
    <row r="1429" spans="1:8" ht="12.6" customHeight="1">
      <c r="A1429" s="1586"/>
      <c r="B1429" s="1593"/>
      <c r="C1429" s="1594"/>
      <c r="D1429" s="1589"/>
      <c r="E1429" s="1596"/>
      <c r="F1429" s="1604"/>
      <c r="G1429" s="1473"/>
      <c r="H1429" s="1501" t="str">
        <f t="shared" si="27"/>
        <v/>
      </c>
    </row>
    <row r="1430" spans="1:8" ht="15.6">
      <c r="A1430" s="1586"/>
      <c r="B1430" s="1593" t="s">
        <v>2164</v>
      </c>
      <c r="C1430" s="1594" t="s">
        <v>2175</v>
      </c>
      <c r="D1430" s="1589" t="s">
        <v>2427</v>
      </c>
      <c r="E1430" s="1596"/>
      <c r="F1430" s="1604"/>
      <c r="G1430" s="1473"/>
      <c r="H1430" s="1501" t="str">
        <f t="shared" si="27"/>
        <v/>
      </c>
    </row>
    <row r="1431" spans="1:8" ht="12.6" customHeight="1">
      <c r="A1431" s="1586"/>
      <c r="B1431" s="1593"/>
      <c r="C1431" s="1594"/>
      <c r="D1431" s="1589"/>
      <c r="E1431" s="1596"/>
      <c r="F1431" s="1597"/>
      <c r="G1431" s="1473"/>
      <c r="H1431" s="1501" t="str">
        <f t="shared" si="27"/>
        <v/>
      </c>
    </row>
    <row r="1432" spans="1:8" ht="15.6">
      <c r="A1432" s="1586"/>
      <c r="B1432" s="1593" t="s">
        <v>2166</v>
      </c>
      <c r="C1432" s="1594" t="s">
        <v>2175</v>
      </c>
      <c r="D1432" s="1589" t="s">
        <v>2428</v>
      </c>
      <c r="E1432" s="1596" t="s">
        <v>691</v>
      </c>
      <c r="F1432" s="2821">
        <v>4</v>
      </c>
      <c r="G1432" s="1474"/>
      <c r="H1432" s="1501">
        <f t="shared" si="27"/>
        <v>0</v>
      </c>
    </row>
    <row r="1433" spans="1:8" ht="12.6" customHeight="1">
      <c r="A1433" s="1586"/>
      <c r="B1433" s="1593"/>
      <c r="C1433" s="1594"/>
      <c r="D1433" s="1589"/>
      <c r="E1433" s="1596"/>
      <c r="F1433" s="2821"/>
      <c r="G1433" s="1474"/>
      <c r="H1433" s="1501" t="str">
        <f t="shared" si="27"/>
        <v/>
      </c>
    </row>
    <row r="1434" spans="1:8" ht="15.6">
      <c r="A1434" s="1586"/>
      <c r="B1434" s="1593" t="s">
        <v>2168</v>
      </c>
      <c r="C1434" s="1594" t="s">
        <v>2175</v>
      </c>
      <c r="D1434" s="1589" t="s">
        <v>2429</v>
      </c>
      <c r="E1434" s="1596" t="s">
        <v>691</v>
      </c>
      <c r="F1434" s="2822">
        <v>4</v>
      </c>
      <c r="G1434" s="1479"/>
      <c r="H1434" s="1501">
        <f t="shared" si="27"/>
        <v>0</v>
      </c>
    </row>
    <row r="1435" spans="1:8" ht="12.6" customHeight="1">
      <c r="A1435" s="1586"/>
      <c r="B1435" s="1593"/>
      <c r="C1435" s="1594"/>
      <c r="D1435" s="1589"/>
      <c r="E1435" s="1596"/>
      <c r="F1435" s="2822"/>
      <c r="G1435" s="1479"/>
      <c r="H1435" s="1501" t="str">
        <f t="shared" si="27"/>
        <v/>
      </c>
    </row>
    <row r="1436" spans="1:8" ht="12.6" customHeight="1">
      <c r="A1436" s="2684">
        <f>$A$4</f>
        <v>19</v>
      </c>
      <c r="B1436" s="2684">
        <v>12.3</v>
      </c>
      <c r="C1436" s="1603"/>
      <c r="D1436" s="2823" t="s">
        <v>2234</v>
      </c>
      <c r="E1436" s="905"/>
      <c r="F1436" s="2730"/>
      <c r="G1436" s="1472"/>
      <c r="H1436" s="1501" t="str">
        <f t="shared" si="27"/>
        <v/>
      </c>
    </row>
    <row r="1437" spans="1:8" ht="12.6" customHeight="1">
      <c r="A1437" s="1586"/>
      <c r="B1437" s="2684"/>
      <c r="C1437" s="1603"/>
      <c r="D1437" s="937"/>
      <c r="E1437" s="2734"/>
      <c r="F1437" s="2730"/>
      <c r="G1437" s="1472"/>
      <c r="H1437" s="1501" t="str">
        <f t="shared" si="27"/>
        <v/>
      </c>
    </row>
    <row r="1438" spans="1:8" ht="39.6">
      <c r="A1438" s="1586"/>
      <c r="B1438" s="2697"/>
      <c r="C1438" s="1606"/>
      <c r="D1438" s="1589" t="s">
        <v>2235</v>
      </c>
      <c r="E1438" s="2734"/>
      <c r="F1438" s="2730"/>
      <c r="G1438" s="1474"/>
      <c r="H1438" s="1501" t="str">
        <f t="shared" si="27"/>
        <v/>
      </c>
    </row>
    <row r="1439" spans="1:8" ht="12.6" customHeight="1">
      <c r="A1439" s="1586"/>
      <c r="B1439" s="1605"/>
      <c r="C1439" s="1606"/>
      <c r="D1439" s="1589"/>
      <c r="E1439" s="2734"/>
      <c r="F1439" s="1604"/>
      <c r="G1439" s="1472"/>
      <c r="H1439" s="1501" t="str">
        <f t="shared" si="27"/>
        <v/>
      </c>
    </row>
    <row r="1440" spans="1:8" ht="15.6">
      <c r="A1440" s="1586"/>
      <c r="B1440" s="1593" t="s">
        <v>2162</v>
      </c>
      <c r="C1440" s="1594" t="s">
        <v>2175</v>
      </c>
      <c r="D1440" s="1589" t="s">
        <v>2286</v>
      </c>
      <c r="E1440" s="2734" t="s">
        <v>691</v>
      </c>
      <c r="F1440" s="2691">
        <v>4</v>
      </c>
      <c r="G1440" s="1474"/>
      <c r="H1440" s="1501">
        <f t="shared" si="27"/>
        <v>0</v>
      </c>
    </row>
    <row r="1441" spans="1:8" ht="12.6" customHeight="1">
      <c r="A1441" s="1586"/>
      <c r="B1441" s="1593"/>
      <c r="C1441" s="2684"/>
      <c r="D1441" s="1589"/>
      <c r="E1441" s="2734"/>
      <c r="F1441" s="2730"/>
      <c r="G1441" s="1473"/>
      <c r="H1441" s="1501" t="str">
        <f t="shared" si="27"/>
        <v/>
      </c>
    </row>
    <row r="1442" spans="1:8" ht="12.6" customHeight="1">
      <c r="A1442" s="2684">
        <f>$A$4</f>
        <v>19</v>
      </c>
      <c r="B1442" s="2684">
        <v>12.4</v>
      </c>
      <c r="C1442" s="1594"/>
      <c r="D1442" s="937" t="s">
        <v>2220</v>
      </c>
      <c r="E1442" s="2732"/>
      <c r="F1442" s="2735"/>
      <c r="G1442" s="1473"/>
      <c r="H1442" s="1501" t="str">
        <f t="shared" si="27"/>
        <v/>
      </c>
    </row>
    <row r="1443" spans="1:8" ht="12.6" customHeight="1">
      <c r="A1443" s="1586"/>
      <c r="B1443" s="1593"/>
      <c r="C1443" s="1594"/>
      <c r="D1443" s="937"/>
      <c r="E1443" s="2732"/>
      <c r="F1443" s="2735"/>
      <c r="G1443" s="1473"/>
      <c r="H1443" s="1501" t="str">
        <f t="shared" si="27"/>
        <v/>
      </c>
    </row>
    <row r="1444" spans="1:8" ht="16.2">
      <c r="A1444" s="1586"/>
      <c r="B1444" s="1593" t="s">
        <v>2162</v>
      </c>
      <c r="C1444" s="1594" t="s">
        <v>2221</v>
      </c>
      <c r="D1444" s="1595" t="s">
        <v>2222</v>
      </c>
      <c r="E1444" s="2762" t="s">
        <v>631</v>
      </c>
      <c r="F1444" s="1604">
        <v>10</v>
      </c>
      <c r="G1444" s="1472"/>
      <c r="H1444" s="1501">
        <f t="shared" si="27"/>
        <v>0</v>
      </c>
    </row>
    <row r="1445" spans="1:8">
      <c r="A1445" s="1586"/>
      <c r="B1445" s="1593"/>
      <c r="C1445" s="1594"/>
      <c r="D1445" s="1595"/>
      <c r="E1445" s="2762"/>
      <c r="F1445" s="1604"/>
      <c r="G1445" s="1472"/>
      <c r="H1445" s="1501" t="str">
        <f t="shared" si="27"/>
        <v/>
      </c>
    </row>
    <row r="1446" spans="1:8" ht="16.2">
      <c r="A1446" s="1586"/>
      <c r="B1446" s="1604" t="s">
        <v>2164</v>
      </c>
      <c r="C1446" s="1594" t="s">
        <v>2221</v>
      </c>
      <c r="D1446" s="1595" t="s">
        <v>2223</v>
      </c>
      <c r="E1446" s="2762" t="s">
        <v>631</v>
      </c>
      <c r="F1446" s="1604">
        <v>10</v>
      </c>
      <c r="G1446" s="1472"/>
      <c r="H1446" s="1501">
        <f t="shared" si="27"/>
        <v>0</v>
      </c>
    </row>
    <row r="1447" spans="1:8" ht="12.6" customHeight="1">
      <c r="A1447" s="1586"/>
      <c r="B1447" s="1593"/>
      <c r="C1447" s="1603"/>
      <c r="D1447" s="2745"/>
      <c r="E1447" s="2764"/>
      <c r="F1447" s="2765"/>
      <c r="G1447" s="1472"/>
      <c r="H1447" s="1501" t="str">
        <f t="shared" si="27"/>
        <v/>
      </c>
    </row>
    <row r="1448" spans="1:8" ht="12.6" customHeight="1">
      <c r="A1448" s="2684">
        <f>$A$4</f>
        <v>19</v>
      </c>
      <c r="B1448" s="2684">
        <v>12.5</v>
      </c>
      <c r="C1448" s="1594"/>
      <c r="D1448" s="937" t="s">
        <v>2224</v>
      </c>
      <c r="E1448" s="1596"/>
      <c r="F1448" s="2763"/>
      <c r="G1448" s="1474"/>
      <c r="H1448" s="1501" t="str">
        <f t="shared" si="27"/>
        <v/>
      </c>
    </row>
    <row r="1449" spans="1:8" ht="12.6" customHeight="1">
      <c r="A1449" s="1586"/>
      <c r="B1449" s="2684"/>
      <c r="C1449" s="1594"/>
      <c r="D1449" s="937"/>
      <c r="E1449" s="1596"/>
      <c r="F1449" s="2763"/>
      <c r="G1449" s="1474"/>
      <c r="H1449" s="1501" t="str">
        <f t="shared" si="27"/>
        <v/>
      </c>
    </row>
    <row r="1450" spans="1:8" ht="12.6" customHeight="1">
      <c r="A1450" s="1586"/>
      <c r="B1450" s="1593" t="s">
        <v>2162</v>
      </c>
      <c r="C1450" s="1594" t="s">
        <v>2225</v>
      </c>
      <c r="D1450" s="1595" t="s">
        <v>2422</v>
      </c>
      <c r="E1450" s="1596" t="s">
        <v>691</v>
      </c>
      <c r="F1450" s="1604">
        <v>4</v>
      </c>
      <c r="G1450" s="1473"/>
      <c r="H1450" s="1501">
        <f t="shared" ref="H1450:H1451" si="28">IF(E1450="","",ROUND(F1450*G1450,2))</f>
        <v>0</v>
      </c>
    </row>
    <row r="1451" spans="1:8" ht="12.6" customHeight="1">
      <c r="A1451" s="1586"/>
      <c r="B1451" s="1605"/>
      <c r="C1451" s="1606"/>
      <c r="D1451" s="1589"/>
      <c r="E1451" s="2768"/>
      <c r="F1451" s="1607"/>
      <c r="G1451" s="1473"/>
      <c r="H1451" s="1501" t="str">
        <f t="shared" si="28"/>
        <v/>
      </c>
    </row>
    <row r="1452" spans="1:8" ht="12.6" customHeight="1">
      <c r="A1452" s="1586"/>
      <c r="B1452" s="1605"/>
      <c r="C1452" s="1606"/>
      <c r="D1452" s="1589"/>
      <c r="E1452" s="921"/>
      <c r="F1452" s="1607"/>
      <c r="G1452" s="1473"/>
      <c r="H1452" s="899"/>
    </row>
    <row r="1453" spans="1:8" s="10" customFormat="1" ht="13.2">
      <c r="A1453" s="1574"/>
      <c r="B1453" s="1271"/>
      <c r="C1453" s="1792"/>
      <c r="D1453" s="2647"/>
      <c r="E1453" s="882"/>
      <c r="F1453" s="1577"/>
      <c r="G1453" s="1476"/>
      <c r="H1453" s="902"/>
    </row>
    <row r="1454" spans="1:8" s="10" customFormat="1" ht="13.2">
      <c r="A1454" s="2333"/>
      <c r="B1454" s="822"/>
      <c r="C1454" s="1158"/>
      <c r="D1454" s="840"/>
      <c r="E1454" s="837"/>
      <c r="F1454" s="838"/>
      <c r="G1454" s="2748"/>
      <c r="H1454" s="2749"/>
    </row>
    <row r="1455" spans="1:8" s="10" customFormat="1" ht="13.2">
      <c r="A1455" s="2336"/>
      <c r="B1455" s="823"/>
      <c r="C1455" s="1159"/>
      <c r="D1455" s="774" t="s">
        <v>289</v>
      </c>
      <c r="E1455" s="426"/>
      <c r="F1455" s="24"/>
      <c r="G1455" s="1477"/>
      <c r="H1455" s="2750">
        <f>SUM(H1382:H1453)</f>
        <v>0</v>
      </c>
    </row>
    <row r="1456" spans="1:8" s="10" customFormat="1" ht="13.2">
      <c r="A1456" s="1574"/>
      <c r="B1456" s="1271"/>
      <c r="C1456" s="2797"/>
      <c r="D1456" s="2754" t="s">
        <v>290</v>
      </c>
      <c r="E1456" s="147"/>
      <c r="F1456" s="1577"/>
      <c r="G1456" s="1478"/>
      <c r="H1456" s="922">
        <f>H1455</f>
        <v>0</v>
      </c>
    </row>
    <row r="1457" spans="1:8" s="10" customFormat="1" ht="13.2">
      <c r="A1457" s="1574"/>
      <c r="B1457" s="1271"/>
      <c r="C1457" s="1792"/>
      <c r="D1457" s="2751"/>
      <c r="E1457" s="147"/>
      <c r="F1457" s="1577"/>
      <c r="G1457" s="1478"/>
      <c r="H1457" s="897"/>
    </row>
    <row r="1458" spans="1:8" ht="12.6" customHeight="1">
      <c r="A1458" s="2684">
        <f>$A$4</f>
        <v>19</v>
      </c>
      <c r="B1458" s="2684">
        <v>12.6</v>
      </c>
      <c r="C1458" s="1594"/>
      <c r="D1458" s="2823" t="s">
        <v>2227</v>
      </c>
      <c r="E1458" s="916"/>
      <c r="F1458" s="2673"/>
      <c r="G1458" s="1474"/>
      <c r="H1458" s="2747"/>
    </row>
    <row r="1459" spans="1:8" s="10" customFormat="1" ht="13.2">
      <c r="A1459" s="1574"/>
      <c r="B1459" s="1271"/>
      <c r="C1459" s="1792"/>
      <c r="D1459" s="2751"/>
      <c r="E1459" s="147"/>
      <c r="F1459" s="1577"/>
      <c r="G1459" s="1478"/>
      <c r="H1459" s="897"/>
    </row>
    <row r="1460" spans="1:8" ht="26.4">
      <c r="A1460" s="1586"/>
      <c r="B1460" s="1593"/>
      <c r="C1460" s="1594" t="s">
        <v>2228</v>
      </c>
      <c r="D1460" s="1600" t="s">
        <v>2290</v>
      </c>
      <c r="E1460" s="916"/>
      <c r="F1460" s="2673"/>
      <c r="G1460" s="1473"/>
      <c r="H1460" s="2720"/>
    </row>
    <row r="1461" spans="1:8" ht="12.6" customHeight="1">
      <c r="A1461" s="1586"/>
      <c r="B1461" s="1593"/>
      <c r="C1461" s="1594"/>
      <c r="D1461" s="1600"/>
      <c r="E1461" s="916"/>
      <c r="F1461" s="1597"/>
      <c r="G1461" s="1473"/>
      <c r="H1461" s="2720"/>
    </row>
    <row r="1462" spans="1:8" ht="12.6" customHeight="1">
      <c r="A1462" s="1586"/>
      <c r="B1462" s="1593" t="s">
        <v>2162</v>
      </c>
      <c r="C1462" s="1594" t="s">
        <v>2228</v>
      </c>
      <c r="D1462" s="1600" t="s">
        <v>2230</v>
      </c>
      <c r="E1462" s="916" t="s">
        <v>561</v>
      </c>
      <c r="F1462" s="1597">
        <v>20</v>
      </c>
      <c r="G1462" s="1472"/>
      <c r="H1462" s="1501">
        <f t="shared" ref="H1462:H1515" si="29">IF(E1462="","",ROUND(F1462*G1462,2))</f>
        <v>0</v>
      </c>
    </row>
    <row r="1463" spans="1:8" ht="12.6" customHeight="1">
      <c r="A1463" s="1586"/>
      <c r="B1463" s="1593"/>
      <c r="C1463" s="1594"/>
      <c r="D1463" s="1595"/>
      <c r="E1463" s="1596"/>
      <c r="F1463" s="1597"/>
      <c r="G1463" s="1472"/>
      <c r="H1463" s="1501" t="str">
        <f t="shared" si="29"/>
        <v/>
      </c>
    </row>
    <row r="1464" spans="1:8" ht="12.6" customHeight="1">
      <c r="A1464" s="1586"/>
      <c r="B1464" s="1604" t="s">
        <v>2164</v>
      </c>
      <c r="C1464" s="1594" t="s">
        <v>2228</v>
      </c>
      <c r="D1464" s="1595" t="s">
        <v>2231</v>
      </c>
      <c r="E1464" s="1596" t="s">
        <v>561</v>
      </c>
      <c r="F1464" s="2724">
        <v>20</v>
      </c>
      <c r="G1464" s="1473"/>
      <c r="H1464" s="1501">
        <f t="shared" si="29"/>
        <v>0</v>
      </c>
    </row>
    <row r="1465" spans="1:8" ht="12.6" customHeight="1">
      <c r="A1465" s="1586"/>
      <c r="B1465" s="1604"/>
      <c r="C1465" s="1594"/>
      <c r="D1465" s="1595"/>
      <c r="E1465" s="1596"/>
      <c r="F1465" s="2724"/>
      <c r="G1465" s="1473"/>
      <c r="H1465" s="1501" t="str">
        <f t="shared" si="29"/>
        <v/>
      </c>
    </row>
    <row r="1466" spans="1:8" ht="12.6" customHeight="1">
      <c r="A1466" s="1586"/>
      <c r="B1466" s="1604" t="s">
        <v>2166</v>
      </c>
      <c r="C1466" s="1594" t="s">
        <v>2228</v>
      </c>
      <c r="D1466" s="1595" t="s">
        <v>2263</v>
      </c>
      <c r="E1466" s="1596" t="s">
        <v>561</v>
      </c>
      <c r="F1466" s="2724">
        <v>20</v>
      </c>
      <c r="G1466" s="1475"/>
      <c r="H1466" s="1501">
        <f t="shared" si="29"/>
        <v>0</v>
      </c>
    </row>
    <row r="1467" spans="1:8" ht="12.6" customHeight="1">
      <c r="A1467" s="1586"/>
      <c r="B1467" s="1604"/>
      <c r="C1467" s="1594"/>
      <c r="D1467" s="1595"/>
      <c r="E1467" s="1596"/>
      <c r="F1467" s="2724"/>
      <c r="G1467" s="1475"/>
      <c r="H1467" s="1501" t="str">
        <f t="shared" si="29"/>
        <v/>
      </c>
    </row>
    <row r="1468" spans="1:8" ht="15.6">
      <c r="A1468" s="1586"/>
      <c r="B1468" s="1604" t="s">
        <v>2168</v>
      </c>
      <c r="C1468" s="1594" t="s">
        <v>2228</v>
      </c>
      <c r="D1468" s="1595" t="s">
        <v>2232</v>
      </c>
      <c r="E1468" s="2762" t="s">
        <v>691</v>
      </c>
      <c r="F1468" s="1604">
        <v>2</v>
      </c>
      <c r="G1468" s="1473"/>
      <c r="H1468" s="1501">
        <f t="shared" si="29"/>
        <v>0</v>
      </c>
    </row>
    <row r="1469" spans="1:8" ht="12.6" customHeight="1">
      <c r="A1469" s="1586"/>
      <c r="B1469" s="1604"/>
      <c r="C1469" s="1594"/>
      <c r="D1469" s="1595"/>
      <c r="E1469" s="2762"/>
      <c r="F1469" s="1604"/>
      <c r="G1469" s="1473"/>
      <c r="H1469" s="1501" t="str">
        <f t="shared" si="29"/>
        <v/>
      </c>
    </row>
    <row r="1470" spans="1:8" ht="15.6">
      <c r="A1470" s="1586"/>
      <c r="B1470" s="1604" t="s">
        <v>2171</v>
      </c>
      <c r="C1470" s="1594" t="s">
        <v>2228</v>
      </c>
      <c r="D1470" s="1595" t="s">
        <v>2233</v>
      </c>
      <c r="E1470" s="1596" t="s">
        <v>691</v>
      </c>
      <c r="F1470" s="1604">
        <v>2</v>
      </c>
      <c r="G1470" s="1475"/>
      <c r="H1470" s="1501">
        <f t="shared" si="29"/>
        <v>0</v>
      </c>
    </row>
    <row r="1471" spans="1:8" ht="12.6" customHeight="1">
      <c r="A1471" s="1586"/>
      <c r="B1471" s="1604"/>
      <c r="C1471" s="1594"/>
      <c r="D1471" s="1595"/>
      <c r="E1471" s="1596"/>
      <c r="F1471" s="1604"/>
      <c r="G1471" s="1475"/>
      <c r="H1471" s="1501" t="str">
        <f t="shared" si="29"/>
        <v/>
      </c>
    </row>
    <row r="1472" spans="1:8" ht="15.6">
      <c r="A1472" s="1586"/>
      <c r="B1472" s="1593" t="s">
        <v>2174</v>
      </c>
      <c r="C1472" s="1594" t="s">
        <v>2228</v>
      </c>
      <c r="D1472" s="1595" t="s">
        <v>2265</v>
      </c>
      <c r="E1472" s="1596" t="s">
        <v>691</v>
      </c>
      <c r="F1472" s="1597">
        <v>2</v>
      </c>
      <c r="G1472" s="1473"/>
      <c r="H1472" s="1501">
        <f t="shared" si="29"/>
        <v>0</v>
      </c>
    </row>
    <row r="1473" spans="1:8" ht="12.6" customHeight="1">
      <c r="A1473" s="1586"/>
      <c r="B1473" s="2756"/>
      <c r="C1473" s="1588"/>
      <c r="D1473" s="2824"/>
      <c r="E1473" s="2782"/>
      <c r="F1473" s="2784"/>
      <c r="G1473" s="1475"/>
      <c r="H1473" s="1501" t="str">
        <f t="shared" si="29"/>
        <v/>
      </c>
    </row>
    <row r="1474" spans="1:8" ht="12.6" customHeight="1">
      <c r="A1474" s="2684">
        <f>$A$4</f>
        <v>19</v>
      </c>
      <c r="B1474" s="2684">
        <v>12.7</v>
      </c>
      <c r="C1474" s="1606"/>
      <c r="D1474" s="937" t="s">
        <v>2336</v>
      </c>
      <c r="E1474" s="2744"/>
      <c r="F1474" s="1609"/>
      <c r="G1474" s="1473"/>
      <c r="H1474" s="1501" t="str">
        <f t="shared" si="29"/>
        <v/>
      </c>
    </row>
    <row r="1475" spans="1:8" ht="12.6" customHeight="1">
      <c r="A1475" s="1586"/>
      <c r="B1475" s="2684"/>
      <c r="C1475" s="1606"/>
      <c r="D1475" s="937"/>
      <c r="E1475" s="2744"/>
      <c r="F1475" s="1609"/>
      <c r="G1475" s="1473"/>
      <c r="H1475" s="1501" t="str">
        <f t="shared" si="29"/>
        <v/>
      </c>
    </row>
    <row r="1476" spans="1:8" ht="66">
      <c r="A1476" s="1586"/>
      <c r="B1476" s="1605" t="s">
        <v>2162</v>
      </c>
      <c r="C1476" s="1606" t="s">
        <v>2304</v>
      </c>
      <c r="D1476" s="2799" t="s">
        <v>2430</v>
      </c>
      <c r="E1476" s="2744" t="s">
        <v>691</v>
      </c>
      <c r="F1476" s="1609">
        <v>2</v>
      </c>
      <c r="G1476" s="1475"/>
      <c r="H1476" s="1501">
        <f t="shared" si="29"/>
        <v>0</v>
      </c>
    </row>
    <row r="1477" spans="1:8" ht="12.6" customHeight="1">
      <c r="A1477" s="1586"/>
      <c r="B1477" s="2780"/>
      <c r="C1477" s="2770"/>
      <c r="D1477" s="2825"/>
      <c r="E1477" s="2683"/>
      <c r="F1477" s="2789"/>
      <c r="G1477" s="1475"/>
      <c r="H1477" s="1501" t="str">
        <f t="shared" si="29"/>
        <v/>
      </c>
    </row>
    <row r="1478" spans="1:8" ht="66">
      <c r="A1478" s="1586"/>
      <c r="B1478" s="1605" t="s">
        <v>2164</v>
      </c>
      <c r="C1478" s="1606" t="s">
        <v>2304</v>
      </c>
      <c r="D1478" s="2799" t="s">
        <v>2431</v>
      </c>
      <c r="E1478" s="2744" t="s">
        <v>691</v>
      </c>
      <c r="F1478" s="1609">
        <v>2</v>
      </c>
      <c r="G1478" s="1475"/>
      <c r="H1478" s="1501">
        <f t="shared" si="29"/>
        <v>0</v>
      </c>
    </row>
    <row r="1479" spans="1:8" ht="12.6" customHeight="1">
      <c r="A1479" s="1586"/>
      <c r="B1479" s="2780"/>
      <c r="C1479" s="2770"/>
      <c r="D1479" s="2799"/>
      <c r="E1479" s="2683"/>
      <c r="F1479" s="2789"/>
      <c r="G1479" s="1475"/>
      <c r="H1479" s="1501" t="str">
        <f t="shared" si="29"/>
        <v/>
      </c>
    </row>
    <row r="1480" spans="1:8" ht="12.6" customHeight="1">
      <c r="A1480" s="2684">
        <f>$A$4</f>
        <v>19</v>
      </c>
      <c r="B1480" s="2684">
        <v>12.8</v>
      </c>
      <c r="C1480" s="2783"/>
      <c r="D1480" s="937" t="s">
        <v>2236</v>
      </c>
      <c r="E1480" s="2726"/>
      <c r="F1480" s="1609"/>
      <c r="G1480" s="1475"/>
      <c r="H1480" s="1501" t="str">
        <f t="shared" si="29"/>
        <v/>
      </c>
    </row>
    <row r="1481" spans="1:8" ht="12.6" customHeight="1">
      <c r="A1481" s="1586"/>
      <c r="B1481" s="1587"/>
      <c r="C1481" s="1588"/>
      <c r="D1481" s="937"/>
      <c r="E1481" s="1590"/>
      <c r="F1481" s="1591"/>
      <c r="G1481" s="1473"/>
      <c r="H1481" s="1501" t="str">
        <f t="shared" si="29"/>
        <v/>
      </c>
    </row>
    <row r="1482" spans="1:8" ht="12.6" customHeight="1">
      <c r="A1482" s="1586"/>
      <c r="B1482" s="1587" t="s">
        <v>2162</v>
      </c>
      <c r="C1482" s="1588" t="s">
        <v>2237</v>
      </c>
      <c r="D1482" s="1589" t="s">
        <v>2432</v>
      </c>
      <c r="E1482" s="1590" t="s">
        <v>691</v>
      </c>
      <c r="F1482" s="1591">
        <v>2</v>
      </c>
      <c r="G1482" s="1475"/>
      <c r="H1482" s="1501">
        <f t="shared" si="29"/>
        <v>0</v>
      </c>
    </row>
    <row r="1483" spans="1:8" ht="12.6" customHeight="1">
      <c r="A1483" s="1586"/>
      <c r="B1483" s="1593"/>
      <c r="C1483" s="1603"/>
      <c r="D1483" s="1589"/>
      <c r="E1483" s="2726"/>
      <c r="F1483" s="1597"/>
      <c r="G1483" s="1473"/>
      <c r="H1483" s="1501" t="str">
        <f t="shared" si="29"/>
        <v/>
      </c>
    </row>
    <row r="1484" spans="1:8" ht="12.6" customHeight="1">
      <c r="A1484" s="1586"/>
      <c r="B1484" s="1587" t="s">
        <v>2164</v>
      </c>
      <c r="C1484" s="1588" t="s">
        <v>2237</v>
      </c>
      <c r="D1484" s="1589" t="s">
        <v>2239</v>
      </c>
      <c r="E1484" s="1590" t="s">
        <v>691</v>
      </c>
      <c r="F1484" s="1591">
        <v>2</v>
      </c>
      <c r="G1484" s="1475"/>
      <c r="H1484" s="1501">
        <f t="shared" si="29"/>
        <v>0</v>
      </c>
    </row>
    <row r="1485" spans="1:8" ht="12.6" customHeight="1">
      <c r="A1485" s="1586"/>
      <c r="B1485" s="1587"/>
      <c r="C1485" s="1588"/>
      <c r="D1485" s="1589"/>
      <c r="E1485" s="1590"/>
      <c r="F1485" s="1591"/>
      <c r="G1485" s="1475"/>
      <c r="H1485" s="1501" t="str">
        <f t="shared" si="29"/>
        <v/>
      </c>
    </row>
    <row r="1486" spans="1:8" ht="12.6" customHeight="1">
      <c r="A1486" s="1586"/>
      <c r="B1486" s="1587" t="s">
        <v>2166</v>
      </c>
      <c r="C1486" s="1588" t="s">
        <v>2237</v>
      </c>
      <c r="D1486" s="1589" t="s">
        <v>2321</v>
      </c>
      <c r="E1486" s="1590" t="s">
        <v>691</v>
      </c>
      <c r="F1486" s="1591">
        <v>2</v>
      </c>
      <c r="G1486" s="1473"/>
      <c r="H1486" s="1501">
        <f t="shared" si="29"/>
        <v>0</v>
      </c>
    </row>
    <row r="1487" spans="1:8">
      <c r="A1487" s="1586"/>
      <c r="B1487" s="1271"/>
      <c r="C1487" s="1155"/>
      <c r="D1487" s="2751"/>
      <c r="E1487" s="147"/>
      <c r="F1487" s="1577"/>
      <c r="G1487" s="1478"/>
      <c r="H1487" s="1501" t="str">
        <f t="shared" si="29"/>
        <v/>
      </c>
    </row>
    <row r="1488" spans="1:8" ht="12.6" customHeight="1">
      <c r="A1488" s="1586"/>
      <c r="B1488" s="1587" t="s">
        <v>2168</v>
      </c>
      <c r="C1488" s="1588" t="s">
        <v>2237</v>
      </c>
      <c r="D1488" s="1589" t="s">
        <v>2239</v>
      </c>
      <c r="E1488" s="1590" t="s">
        <v>691</v>
      </c>
      <c r="F1488" s="1591">
        <v>2</v>
      </c>
      <c r="G1488" s="1473"/>
      <c r="H1488" s="1501">
        <f t="shared" si="29"/>
        <v>0</v>
      </c>
    </row>
    <row r="1489" spans="1:8">
      <c r="A1489" s="1586"/>
      <c r="B1489" s="2780"/>
      <c r="C1489" s="2770"/>
      <c r="D1489" s="2826"/>
      <c r="E1489" s="2683"/>
      <c r="F1489" s="2827"/>
      <c r="G1489" s="1475"/>
      <c r="H1489" s="1501" t="str">
        <f t="shared" si="29"/>
        <v/>
      </c>
    </row>
    <row r="1490" spans="1:8" ht="12.6" customHeight="1">
      <c r="A1490" s="2684">
        <f>$A$4</f>
        <v>19</v>
      </c>
      <c r="B1490" s="2684">
        <v>13</v>
      </c>
      <c r="C1490" s="1599"/>
      <c r="D1490" s="2723" t="s">
        <v>2433</v>
      </c>
      <c r="E1490" s="2672"/>
      <c r="F1490" s="2759"/>
      <c r="G1490" s="1472"/>
      <c r="H1490" s="1501" t="str">
        <f t="shared" si="29"/>
        <v/>
      </c>
    </row>
    <row r="1491" spans="1:8">
      <c r="A1491" s="1586"/>
      <c r="B1491" s="2778"/>
      <c r="C1491" s="1599"/>
      <c r="D1491" s="2722"/>
      <c r="E1491" s="2672"/>
      <c r="F1491" s="2759"/>
      <c r="G1491" s="1472"/>
      <c r="H1491" s="1501" t="str">
        <f t="shared" si="29"/>
        <v/>
      </c>
    </row>
    <row r="1492" spans="1:8" ht="12.6" customHeight="1">
      <c r="A1492" s="2684">
        <f>$A$4</f>
        <v>19</v>
      </c>
      <c r="B1492" s="2684">
        <v>13.1</v>
      </c>
      <c r="C1492" s="1594"/>
      <c r="D1492" s="2723" t="s">
        <v>2253</v>
      </c>
      <c r="E1492" s="2732"/>
      <c r="F1492" s="2733"/>
      <c r="G1492" s="1472"/>
      <c r="H1492" s="1501" t="str">
        <f t="shared" si="29"/>
        <v/>
      </c>
    </row>
    <row r="1493" spans="1:8">
      <c r="A1493" s="1586"/>
      <c r="B1493" s="1604"/>
      <c r="C1493" s="1594"/>
      <c r="D1493" s="2828"/>
      <c r="E1493" s="2732"/>
      <c r="F1493" s="2733"/>
      <c r="G1493" s="1472"/>
      <c r="H1493" s="1501" t="str">
        <f t="shared" si="29"/>
        <v/>
      </c>
    </row>
    <row r="1494" spans="1:8" ht="39.6">
      <c r="A1494" s="1586"/>
      <c r="B1494" s="1593" t="s">
        <v>2162</v>
      </c>
      <c r="C1494" s="1594" t="s">
        <v>2434</v>
      </c>
      <c r="D1494" s="2746" t="s">
        <v>2435</v>
      </c>
      <c r="E1494" s="1596" t="s">
        <v>976</v>
      </c>
      <c r="F1494" s="1597">
        <v>1</v>
      </c>
      <c r="G1494" s="1473"/>
      <c r="H1494" s="1501">
        <f t="shared" si="29"/>
        <v>0</v>
      </c>
    </row>
    <row r="1495" spans="1:8">
      <c r="A1495" s="1586"/>
      <c r="B1495" s="1593"/>
      <c r="C1495" s="2684"/>
      <c r="D1495" s="2828"/>
      <c r="E1495" s="2732"/>
      <c r="F1495" s="2730"/>
      <c r="G1495" s="1472"/>
      <c r="H1495" s="1501" t="str">
        <f t="shared" si="29"/>
        <v/>
      </c>
    </row>
    <row r="1496" spans="1:8" ht="12.6" customHeight="1">
      <c r="A1496" s="2684">
        <f>$A$4</f>
        <v>19</v>
      </c>
      <c r="B1496" s="2684">
        <v>13.2</v>
      </c>
      <c r="C1496" s="1594"/>
      <c r="D1496" s="2723" t="s">
        <v>2436</v>
      </c>
      <c r="E1496" s="2732"/>
      <c r="F1496" s="2733"/>
      <c r="G1496" s="1473"/>
      <c r="H1496" s="1501" t="str">
        <f t="shared" si="29"/>
        <v/>
      </c>
    </row>
    <row r="1497" spans="1:8" ht="12.6" customHeight="1">
      <c r="A1497" s="1586"/>
      <c r="B1497" s="1593"/>
      <c r="C1497" s="1594"/>
      <c r="D1497" s="2722"/>
      <c r="E1497" s="2732"/>
      <c r="F1497" s="2733"/>
      <c r="G1497" s="1473"/>
      <c r="H1497" s="1501" t="str">
        <f t="shared" si="29"/>
        <v/>
      </c>
    </row>
    <row r="1498" spans="1:8" ht="39.6">
      <c r="A1498" s="1586"/>
      <c r="B1498" s="1593" t="s">
        <v>2162</v>
      </c>
      <c r="C1498" s="2684" t="s">
        <v>2268</v>
      </c>
      <c r="D1498" s="1595" t="s">
        <v>2437</v>
      </c>
      <c r="E1498" s="1596" t="s">
        <v>976</v>
      </c>
      <c r="F1498" s="1597">
        <v>1</v>
      </c>
      <c r="G1498" s="1473"/>
      <c r="H1498" s="1501">
        <f t="shared" si="29"/>
        <v>0</v>
      </c>
    </row>
    <row r="1499" spans="1:8">
      <c r="A1499" s="1586"/>
      <c r="B1499" s="1593"/>
      <c r="C1499" s="2684"/>
      <c r="D1499" s="1595"/>
      <c r="E1499" s="1596"/>
      <c r="F1499" s="1597"/>
      <c r="G1499" s="1473"/>
      <c r="H1499" s="1501" t="str">
        <f t="shared" si="29"/>
        <v/>
      </c>
    </row>
    <row r="1500" spans="1:8" ht="39.6">
      <c r="A1500" s="1586"/>
      <c r="B1500" s="1593" t="s">
        <v>2164</v>
      </c>
      <c r="C1500" s="2684" t="s">
        <v>2268</v>
      </c>
      <c r="D1500" s="1595" t="s">
        <v>2438</v>
      </c>
      <c r="E1500" s="1596" t="s">
        <v>976</v>
      </c>
      <c r="F1500" s="1597">
        <v>1</v>
      </c>
      <c r="G1500" s="1473"/>
      <c r="H1500" s="1501">
        <f t="shared" si="29"/>
        <v>0</v>
      </c>
    </row>
    <row r="1501" spans="1:8">
      <c r="A1501" s="1586"/>
      <c r="B1501" s="1593"/>
      <c r="C1501" s="2684"/>
      <c r="D1501" s="1595"/>
      <c r="E1501" s="1596"/>
      <c r="F1501" s="1597"/>
      <c r="G1501" s="1473"/>
      <c r="H1501" s="1501" t="str">
        <f t="shared" si="29"/>
        <v/>
      </c>
    </row>
    <row r="1502" spans="1:8" ht="39.6">
      <c r="A1502" s="1586"/>
      <c r="B1502" s="1593" t="s">
        <v>2166</v>
      </c>
      <c r="C1502" s="2684" t="s">
        <v>2439</v>
      </c>
      <c r="D1502" s="1595" t="s">
        <v>2440</v>
      </c>
      <c r="E1502" s="1596" t="s">
        <v>976</v>
      </c>
      <c r="F1502" s="1597">
        <v>1</v>
      </c>
      <c r="G1502" s="1473"/>
      <c r="H1502" s="1501">
        <f t="shared" si="29"/>
        <v>0</v>
      </c>
    </row>
    <row r="1503" spans="1:8">
      <c r="A1503" s="1586"/>
      <c r="B1503" s="1593"/>
      <c r="C1503" s="2684"/>
      <c r="D1503" s="1595"/>
      <c r="E1503" s="1596"/>
      <c r="F1503" s="1597"/>
      <c r="G1503" s="1473"/>
      <c r="H1503" s="1501" t="str">
        <f t="shared" si="29"/>
        <v/>
      </c>
    </row>
    <row r="1504" spans="1:8">
      <c r="A1504" s="1586"/>
      <c r="B1504" s="1593"/>
      <c r="C1504" s="2684"/>
      <c r="D1504" s="2722" t="s">
        <v>2274</v>
      </c>
      <c r="E1504" s="1596"/>
      <c r="F1504" s="1597"/>
      <c r="G1504" s="1473"/>
      <c r="H1504" s="1501" t="str">
        <f t="shared" si="29"/>
        <v/>
      </c>
    </row>
    <row r="1505" spans="1:8">
      <c r="A1505" s="1586"/>
      <c r="B1505" s="1593"/>
      <c r="C1505" s="2684"/>
      <c r="D1505" s="2722"/>
      <c r="E1505" s="1596"/>
      <c r="F1505" s="1597"/>
      <c r="G1505" s="1473"/>
      <c r="H1505" s="1501" t="str">
        <f t="shared" si="29"/>
        <v/>
      </c>
    </row>
    <row r="1506" spans="1:8" ht="26.4">
      <c r="A1506" s="1586"/>
      <c r="B1506" s="1593"/>
      <c r="C1506" s="2684" t="s">
        <v>2304</v>
      </c>
      <c r="D1506" s="1595" t="s">
        <v>2441</v>
      </c>
      <c r="E1506" s="1596"/>
      <c r="F1506" s="1597"/>
      <c r="G1506" s="1473"/>
      <c r="H1506" s="1501" t="str">
        <f t="shared" si="29"/>
        <v/>
      </c>
    </row>
    <row r="1507" spans="1:8" ht="12.6" customHeight="1">
      <c r="A1507" s="1586"/>
      <c r="B1507" s="1593"/>
      <c r="C1507" s="2684"/>
      <c r="D1507" s="1595"/>
      <c r="E1507" s="2732"/>
      <c r="F1507" s="2730"/>
      <c r="G1507" s="1473"/>
      <c r="H1507" s="1501" t="str">
        <f t="shared" si="29"/>
        <v/>
      </c>
    </row>
    <row r="1508" spans="1:8" ht="12.6" customHeight="1">
      <c r="A1508" s="2684">
        <f>$A$4</f>
        <v>19</v>
      </c>
      <c r="B1508" s="2684">
        <v>13.3</v>
      </c>
      <c r="C1508" s="1594"/>
      <c r="D1508" s="2723" t="s">
        <v>2211</v>
      </c>
      <c r="E1508" s="2732"/>
      <c r="F1508" s="2733"/>
      <c r="G1508" s="1473"/>
      <c r="H1508" s="1501" t="str">
        <f t="shared" si="29"/>
        <v/>
      </c>
    </row>
    <row r="1509" spans="1:8" ht="12.6" customHeight="1">
      <c r="A1509" s="1586"/>
      <c r="B1509" s="2684"/>
      <c r="C1509" s="1594"/>
      <c r="D1509" s="2723"/>
      <c r="E1509" s="2732"/>
      <c r="F1509" s="2733"/>
      <c r="G1509" s="1473"/>
      <c r="H1509" s="1501" t="str">
        <f t="shared" si="29"/>
        <v/>
      </c>
    </row>
    <row r="1510" spans="1:8" ht="39.6">
      <c r="A1510" s="1586"/>
      <c r="B1510" s="1593"/>
      <c r="C1510" s="1594" t="s">
        <v>2175</v>
      </c>
      <c r="D1510" s="1595" t="s">
        <v>2212</v>
      </c>
      <c r="E1510" s="2732"/>
      <c r="F1510" s="2733"/>
      <c r="G1510" s="1473"/>
      <c r="H1510" s="1501" t="str">
        <f t="shared" si="29"/>
        <v/>
      </c>
    </row>
    <row r="1511" spans="1:8" ht="12.6" customHeight="1">
      <c r="A1511" s="1586"/>
      <c r="B1511" s="1593"/>
      <c r="C1511" s="1594"/>
      <c r="D1511" s="1589"/>
      <c r="E1511" s="2734"/>
      <c r="F1511" s="1597"/>
      <c r="G1511" s="1473"/>
      <c r="H1511" s="1501" t="str">
        <f t="shared" si="29"/>
        <v/>
      </c>
    </row>
    <row r="1512" spans="1:8" ht="15.6">
      <c r="A1512" s="1586"/>
      <c r="B1512" s="1593" t="s">
        <v>2162</v>
      </c>
      <c r="C1512" s="1594" t="s">
        <v>2175</v>
      </c>
      <c r="D1512" s="1589" t="s">
        <v>2282</v>
      </c>
      <c r="E1512" s="2734" t="s">
        <v>561</v>
      </c>
      <c r="F1512" s="1597">
        <v>339</v>
      </c>
      <c r="G1512" s="1473"/>
      <c r="H1512" s="1501">
        <f t="shared" si="29"/>
        <v>0</v>
      </c>
    </row>
    <row r="1513" spans="1:8">
      <c r="A1513" s="1586"/>
      <c r="B1513" s="1593"/>
      <c r="C1513" s="1594"/>
      <c r="D1513" s="1589"/>
      <c r="E1513" s="2734"/>
      <c r="F1513" s="1597"/>
      <c r="G1513" s="1473"/>
      <c r="H1513" s="1501" t="str">
        <f t="shared" si="29"/>
        <v/>
      </c>
    </row>
    <row r="1514" spans="1:8" ht="15.6">
      <c r="A1514" s="1586"/>
      <c r="B1514" s="1593" t="s">
        <v>2164</v>
      </c>
      <c r="C1514" s="1594" t="s">
        <v>2175</v>
      </c>
      <c r="D1514" s="1589" t="s">
        <v>2324</v>
      </c>
      <c r="E1514" s="2734" t="s">
        <v>561</v>
      </c>
      <c r="F1514" s="1597">
        <v>220</v>
      </c>
      <c r="G1514" s="1473"/>
      <c r="H1514" s="1501">
        <f t="shared" si="29"/>
        <v>0</v>
      </c>
    </row>
    <row r="1515" spans="1:8">
      <c r="A1515" s="1586"/>
      <c r="B1515" s="1593"/>
      <c r="C1515" s="1594"/>
      <c r="D1515" s="1589"/>
      <c r="E1515" s="2734"/>
      <c r="F1515" s="1597"/>
      <c r="G1515" s="1473"/>
      <c r="H1515" s="1501" t="str">
        <f t="shared" si="29"/>
        <v/>
      </c>
    </row>
    <row r="1516" spans="1:8">
      <c r="A1516" s="1586"/>
      <c r="B1516" s="1593"/>
      <c r="C1516" s="1594"/>
      <c r="D1516" s="1589"/>
      <c r="E1516" s="905"/>
      <c r="F1516" s="1597"/>
      <c r="G1516" s="1473"/>
      <c r="H1516" s="897"/>
    </row>
    <row r="1517" spans="1:8">
      <c r="A1517" s="1586"/>
      <c r="B1517" s="1593"/>
      <c r="C1517" s="1594"/>
      <c r="D1517" s="1589"/>
      <c r="E1517" s="905"/>
      <c r="F1517" s="1597"/>
      <c r="G1517" s="1473"/>
      <c r="H1517" s="901"/>
    </row>
    <row r="1518" spans="1:8" s="10" customFormat="1" ht="13.2">
      <c r="A1518" s="2333"/>
      <c r="B1518" s="822"/>
      <c r="C1518" s="1158"/>
      <c r="D1518" s="840"/>
      <c r="E1518" s="837"/>
      <c r="F1518" s="838"/>
      <c r="G1518" s="2748"/>
      <c r="H1518" s="2749"/>
    </row>
    <row r="1519" spans="1:8" s="10" customFormat="1" ht="13.35" customHeight="1">
      <c r="A1519" s="2336"/>
      <c r="B1519" s="823"/>
      <c r="C1519" s="1159"/>
      <c r="D1519" s="774" t="s">
        <v>289</v>
      </c>
      <c r="E1519" s="426"/>
      <c r="F1519" s="24"/>
      <c r="G1519" s="1477"/>
      <c r="H1519" s="2750">
        <f>SUM(H1456:H1517)</f>
        <v>0</v>
      </c>
    </row>
    <row r="1520" spans="1:8" s="10" customFormat="1" ht="13.2">
      <c r="A1520" s="1574"/>
      <c r="B1520" s="1271"/>
      <c r="C1520" s="1155"/>
      <c r="D1520" s="2751" t="s">
        <v>290</v>
      </c>
      <c r="E1520" s="147"/>
      <c r="F1520" s="1577"/>
      <c r="G1520" s="1478"/>
      <c r="H1520" s="922">
        <f>H1519</f>
        <v>0</v>
      </c>
    </row>
    <row r="1521" spans="1:8" s="10" customFormat="1" ht="13.2">
      <c r="A1521" s="1574"/>
      <c r="B1521" s="1271"/>
      <c r="C1521" s="1155"/>
      <c r="D1521" s="2751"/>
      <c r="E1521" s="147"/>
      <c r="F1521" s="1577"/>
      <c r="G1521" s="1478"/>
      <c r="H1521" s="897"/>
    </row>
    <row r="1522" spans="1:8" ht="15.6">
      <c r="A1522" s="1586"/>
      <c r="B1522" s="1593" t="s">
        <v>2166</v>
      </c>
      <c r="C1522" s="1594" t="s">
        <v>2175</v>
      </c>
      <c r="D1522" s="1589" t="s">
        <v>2284</v>
      </c>
      <c r="E1522" s="2734" t="s">
        <v>561</v>
      </c>
      <c r="F1522" s="1597">
        <v>8</v>
      </c>
      <c r="G1522" s="1473"/>
      <c r="H1522" s="1501">
        <f t="shared" ref="H1522:H1585" si="30">IF(E1522="","",ROUND(F1522*G1522,2))</f>
        <v>0</v>
      </c>
    </row>
    <row r="1523" spans="1:8" s="10" customFormat="1" ht="13.2">
      <c r="A1523" s="1574"/>
      <c r="B1523" s="1271"/>
      <c r="C1523" s="1155"/>
      <c r="D1523" s="2751"/>
      <c r="E1523" s="147"/>
      <c r="F1523" s="1577"/>
      <c r="G1523" s="1478"/>
      <c r="H1523" s="1501" t="str">
        <f t="shared" si="30"/>
        <v/>
      </c>
    </row>
    <row r="1524" spans="1:8" ht="15.6">
      <c r="A1524" s="1586"/>
      <c r="B1524" s="1593" t="s">
        <v>2168</v>
      </c>
      <c r="C1524" s="1594" t="s">
        <v>2175</v>
      </c>
      <c r="D1524" s="1589" t="s">
        <v>2317</v>
      </c>
      <c r="E1524" s="2734" t="s">
        <v>561</v>
      </c>
      <c r="F1524" s="1597">
        <v>202</v>
      </c>
      <c r="G1524" s="1473"/>
      <c r="H1524" s="1501">
        <f t="shared" si="30"/>
        <v>0</v>
      </c>
    </row>
    <row r="1525" spans="1:8">
      <c r="A1525" s="1586"/>
      <c r="B1525" s="1593"/>
      <c r="C1525" s="1594"/>
      <c r="D1525" s="1589"/>
      <c r="E1525" s="905"/>
      <c r="F1525" s="1597"/>
      <c r="G1525" s="1473"/>
      <c r="H1525" s="1501" t="str">
        <f t="shared" si="30"/>
        <v/>
      </c>
    </row>
    <row r="1526" spans="1:8" ht="15.6">
      <c r="A1526" s="1586"/>
      <c r="B1526" s="1593" t="s">
        <v>2171</v>
      </c>
      <c r="C1526" s="1594" t="s">
        <v>2175</v>
      </c>
      <c r="D1526" s="1589" t="s">
        <v>2442</v>
      </c>
      <c r="E1526" s="2734" t="s">
        <v>561</v>
      </c>
      <c r="F1526" s="1597">
        <v>200</v>
      </c>
      <c r="G1526" s="1473"/>
      <c r="H1526" s="1501">
        <f t="shared" si="30"/>
        <v>0</v>
      </c>
    </row>
    <row r="1527" spans="1:8">
      <c r="A1527" s="1586"/>
      <c r="B1527" s="1593"/>
      <c r="C1527" s="1594"/>
      <c r="D1527" s="1589"/>
      <c r="E1527" s="2734"/>
      <c r="F1527" s="1597"/>
      <c r="G1527" s="1473"/>
      <c r="H1527" s="1501" t="str">
        <f t="shared" si="30"/>
        <v/>
      </c>
    </row>
    <row r="1528" spans="1:8" ht="15.6">
      <c r="A1528" s="1586"/>
      <c r="B1528" s="1593" t="s">
        <v>2174</v>
      </c>
      <c r="C1528" s="1594" t="s">
        <v>2175</v>
      </c>
      <c r="D1528" s="1589" t="s">
        <v>2443</v>
      </c>
      <c r="E1528" s="2734" t="s">
        <v>561</v>
      </c>
      <c r="F1528" s="1597">
        <v>10</v>
      </c>
      <c r="G1528" s="1473"/>
      <c r="H1528" s="1501">
        <f t="shared" si="30"/>
        <v>0</v>
      </c>
    </row>
    <row r="1529" spans="1:8">
      <c r="A1529" s="1586"/>
      <c r="B1529" s="1593"/>
      <c r="C1529" s="1594"/>
      <c r="D1529" s="2722"/>
      <c r="E1529" s="2734"/>
      <c r="F1529" s="1597"/>
      <c r="G1529" s="1473"/>
      <c r="H1529" s="1501" t="str">
        <f t="shared" si="30"/>
        <v/>
      </c>
    </row>
    <row r="1530" spans="1:8" ht="12.6" customHeight="1">
      <c r="A1530" s="2684">
        <f>$A$4</f>
        <v>19</v>
      </c>
      <c r="B1530" s="2684">
        <v>13.4</v>
      </c>
      <c r="C1530" s="1594"/>
      <c r="D1530" s="2723" t="s">
        <v>2216</v>
      </c>
      <c r="E1530" s="2734"/>
      <c r="F1530" s="1597"/>
      <c r="G1530" s="1473"/>
      <c r="H1530" s="1501" t="str">
        <f t="shared" si="30"/>
        <v/>
      </c>
    </row>
    <row r="1531" spans="1:8">
      <c r="A1531" s="1586"/>
      <c r="B1531" s="2684"/>
      <c r="C1531" s="1594"/>
      <c r="D1531" s="2723"/>
      <c r="E1531" s="2734"/>
      <c r="F1531" s="1597"/>
      <c r="G1531" s="1473"/>
      <c r="H1531" s="1501" t="str">
        <f t="shared" si="30"/>
        <v/>
      </c>
    </row>
    <row r="1532" spans="1:8" ht="26.4">
      <c r="A1532" s="1586"/>
      <c r="B1532" s="1593"/>
      <c r="C1532" s="1594" t="s">
        <v>2175</v>
      </c>
      <c r="D1532" s="1595" t="s">
        <v>2197</v>
      </c>
      <c r="E1532" s="2734"/>
      <c r="F1532" s="1597"/>
      <c r="G1532" s="1473"/>
      <c r="H1532" s="1501" t="str">
        <f t="shared" si="30"/>
        <v/>
      </c>
    </row>
    <row r="1533" spans="1:8" ht="12.6" customHeight="1">
      <c r="A1533" s="1586"/>
      <c r="B1533" s="1593"/>
      <c r="C1533" s="1594"/>
      <c r="D1533" s="904"/>
      <c r="E1533" s="2734"/>
      <c r="F1533" s="1604"/>
      <c r="G1533" s="1473"/>
      <c r="H1533" s="1501" t="str">
        <f t="shared" si="30"/>
        <v/>
      </c>
    </row>
    <row r="1534" spans="1:8" ht="15.6">
      <c r="A1534" s="1586"/>
      <c r="B1534" s="1593" t="s">
        <v>2162</v>
      </c>
      <c r="C1534" s="1594" t="s">
        <v>2175</v>
      </c>
      <c r="D1534" s="1589" t="s">
        <v>2282</v>
      </c>
      <c r="E1534" s="2734" t="s">
        <v>691</v>
      </c>
      <c r="F1534" s="1604">
        <v>30</v>
      </c>
      <c r="G1534" s="1473"/>
      <c r="H1534" s="1501">
        <f t="shared" si="30"/>
        <v>0</v>
      </c>
    </row>
    <row r="1535" spans="1:8">
      <c r="A1535" s="1586"/>
      <c r="B1535" s="1593"/>
      <c r="C1535" s="1594"/>
      <c r="D1535" s="1589"/>
      <c r="E1535" s="2734"/>
      <c r="F1535" s="1604"/>
      <c r="G1535" s="1473"/>
      <c r="H1535" s="1501" t="str">
        <f t="shared" si="30"/>
        <v/>
      </c>
    </row>
    <row r="1536" spans="1:8" ht="15.6">
      <c r="A1536" s="1586"/>
      <c r="B1536" s="1593" t="s">
        <v>2164</v>
      </c>
      <c r="C1536" s="1594" t="s">
        <v>2175</v>
      </c>
      <c r="D1536" s="1589" t="s">
        <v>2324</v>
      </c>
      <c r="E1536" s="2734" t="s">
        <v>691</v>
      </c>
      <c r="F1536" s="1604">
        <v>4</v>
      </c>
      <c r="G1536" s="1473"/>
      <c r="H1536" s="1501">
        <f t="shared" si="30"/>
        <v>0</v>
      </c>
    </row>
    <row r="1537" spans="1:8">
      <c r="A1537" s="1586"/>
      <c r="B1537" s="1593"/>
      <c r="C1537" s="1594"/>
      <c r="D1537" s="1589"/>
      <c r="E1537" s="2734"/>
      <c r="F1537" s="1604"/>
      <c r="G1537" s="1473"/>
      <c r="H1537" s="1501" t="str">
        <f t="shared" si="30"/>
        <v/>
      </c>
    </row>
    <row r="1538" spans="1:8" ht="15.6">
      <c r="A1538" s="1586"/>
      <c r="B1538" s="1593" t="s">
        <v>2166</v>
      </c>
      <c r="C1538" s="1594" t="s">
        <v>2175</v>
      </c>
      <c r="D1538" s="1589" t="s">
        <v>2284</v>
      </c>
      <c r="E1538" s="2734" t="s">
        <v>691</v>
      </c>
      <c r="F1538" s="1604">
        <v>4</v>
      </c>
      <c r="G1538" s="1473"/>
      <c r="H1538" s="1501">
        <f t="shared" si="30"/>
        <v>0</v>
      </c>
    </row>
    <row r="1539" spans="1:8">
      <c r="A1539" s="1586"/>
      <c r="B1539" s="1593"/>
      <c r="C1539" s="1594"/>
      <c r="D1539" s="1589"/>
      <c r="E1539" s="2734"/>
      <c r="F1539" s="1604"/>
      <c r="G1539" s="1473"/>
      <c r="H1539" s="1501" t="str">
        <f t="shared" si="30"/>
        <v/>
      </c>
    </row>
    <row r="1540" spans="1:8" ht="15.6">
      <c r="A1540" s="1586"/>
      <c r="B1540" s="1593" t="s">
        <v>2168</v>
      </c>
      <c r="C1540" s="1594" t="s">
        <v>2175</v>
      </c>
      <c r="D1540" s="1589" t="s">
        <v>2317</v>
      </c>
      <c r="E1540" s="2734" t="s">
        <v>691</v>
      </c>
      <c r="F1540" s="1597">
        <v>40</v>
      </c>
      <c r="G1540" s="1473"/>
      <c r="H1540" s="1501">
        <f t="shared" si="30"/>
        <v>0</v>
      </c>
    </row>
    <row r="1541" spans="1:8">
      <c r="A1541" s="1586"/>
      <c r="B1541" s="1593"/>
      <c r="C1541" s="1594"/>
      <c r="D1541" s="1589"/>
      <c r="E1541" s="2734"/>
      <c r="F1541" s="1597"/>
      <c r="G1541" s="1473"/>
      <c r="H1541" s="1501" t="str">
        <f t="shared" si="30"/>
        <v/>
      </c>
    </row>
    <row r="1542" spans="1:8" ht="15.6">
      <c r="A1542" s="1586"/>
      <c r="B1542" s="1593" t="s">
        <v>2171</v>
      </c>
      <c r="C1542" s="1594" t="s">
        <v>2175</v>
      </c>
      <c r="D1542" s="1589" t="s">
        <v>2442</v>
      </c>
      <c r="E1542" s="2734" t="s">
        <v>691</v>
      </c>
      <c r="F1542" s="1597">
        <v>16</v>
      </c>
      <c r="G1542" s="1473"/>
      <c r="H1542" s="1501">
        <f t="shared" si="30"/>
        <v>0</v>
      </c>
    </row>
    <row r="1543" spans="1:8">
      <c r="A1543" s="1586"/>
      <c r="B1543" s="1593"/>
      <c r="C1543" s="1594"/>
      <c r="D1543" s="1589"/>
      <c r="E1543" s="2734"/>
      <c r="F1543" s="1597"/>
      <c r="G1543" s="1473"/>
      <c r="H1543" s="1501" t="str">
        <f t="shared" si="30"/>
        <v/>
      </c>
    </row>
    <row r="1544" spans="1:8" ht="15.6">
      <c r="A1544" s="1586"/>
      <c r="B1544" s="1593" t="s">
        <v>2174</v>
      </c>
      <c r="C1544" s="1594" t="s">
        <v>2175</v>
      </c>
      <c r="D1544" s="1589" t="s">
        <v>2443</v>
      </c>
      <c r="E1544" s="2734" t="s">
        <v>691</v>
      </c>
      <c r="F1544" s="1604">
        <v>2</v>
      </c>
      <c r="G1544" s="1473"/>
      <c r="H1544" s="1501">
        <f t="shared" si="30"/>
        <v>0</v>
      </c>
    </row>
    <row r="1545" spans="1:8">
      <c r="A1545" s="1586"/>
      <c r="B1545" s="1593"/>
      <c r="C1545" s="1603"/>
      <c r="D1545" s="2745"/>
      <c r="E1545" s="2764"/>
      <c r="F1545" s="2765"/>
      <c r="G1545" s="1473"/>
      <c r="H1545" s="1501" t="str">
        <f t="shared" si="30"/>
        <v/>
      </c>
    </row>
    <row r="1546" spans="1:8" ht="12.6" customHeight="1">
      <c r="A1546" s="2684">
        <f>$A$4</f>
        <v>19</v>
      </c>
      <c r="B1546" s="2684">
        <v>13.5</v>
      </c>
      <c r="C1546" s="1603"/>
      <c r="D1546" s="2723" t="s">
        <v>2234</v>
      </c>
      <c r="E1546" s="2764"/>
      <c r="F1546" s="2765"/>
      <c r="G1546" s="1473"/>
      <c r="H1546" s="1501" t="str">
        <f t="shared" si="30"/>
        <v/>
      </c>
    </row>
    <row r="1547" spans="1:8">
      <c r="A1547" s="1586"/>
      <c r="B1547" s="1593"/>
      <c r="C1547" s="1603"/>
      <c r="D1547" s="920"/>
      <c r="E1547" s="2764"/>
      <c r="F1547" s="2765"/>
      <c r="G1547" s="1473"/>
      <c r="H1547" s="1501" t="str">
        <f t="shared" si="30"/>
        <v/>
      </c>
    </row>
    <row r="1548" spans="1:8" ht="39.6">
      <c r="A1548" s="1586"/>
      <c r="B1548" s="2697"/>
      <c r="C1548" s="1594" t="s">
        <v>2175</v>
      </c>
      <c r="D1548" s="1589" t="s">
        <v>2235</v>
      </c>
      <c r="E1548" s="2766"/>
      <c r="F1548" s="2767"/>
      <c r="G1548" s="1473"/>
      <c r="H1548" s="1501" t="str">
        <f t="shared" si="30"/>
        <v/>
      </c>
    </row>
    <row r="1549" spans="1:8" ht="12.6" customHeight="1">
      <c r="A1549" s="1586"/>
      <c r="B1549" s="1605"/>
      <c r="C1549" s="1606"/>
      <c r="D1549" s="1589"/>
      <c r="E1549" s="2768"/>
      <c r="F1549" s="1607"/>
      <c r="G1549" s="1473"/>
      <c r="H1549" s="1501" t="str">
        <f t="shared" si="30"/>
        <v/>
      </c>
    </row>
    <row r="1550" spans="1:8" ht="15.6">
      <c r="A1550" s="1586"/>
      <c r="B1550" s="1605" t="s">
        <v>2162</v>
      </c>
      <c r="C1550" s="1594" t="s">
        <v>2175</v>
      </c>
      <c r="D1550" s="1589" t="s">
        <v>2360</v>
      </c>
      <c r="E1550" s="2744" t="s">
        <v>691</v>
      </c>
      <c r="F1550" s="1609">
        <v>4</v>
      </c>
      <c r="G1550" s="1473"/>
      <c r="H1550" s="1501">
        <f t="shared" si="30"/>
        <v>0</v>
      </c>
    </row>
    <row r="1551" spans="1:8">
      <c r="A1551" s="1586"/>
      <c r="B1551" s="1605"/>
      <c r="C1551" s="1606"/>
      <c r="D1551" s="1589"/>
      <c r="E1551" s="2744"/>
      <c r="F1551" s="1609"/>
      <c r="G1551" s="1473"/>
      <c r="H1551" s="1501" t="str">
        <f t="shared" si="30"/>
        <v/>
      </c>
    </row>
    <row r="1552" spans="1:8" ht="12.6" customHeight="1">
      <c r="A1552" s="2684">
        <f>$A$4</f>
        <v>19</v>
      </c>
      <c r="B1552" s="2684">
        <v>13.6</v>
      </c>
      <c r="C1552" s="1594"/>
      <c r="D1552" s="2723" t="s">
        <v>2220</v>
      </c>
      <c r="E1552" s="2732"/>
      <c r="F1552" s="2735"/>
      <c r="G1552" s="1473"/>
      <c r="H1552" s="1501" t="str">
        <f t="shared" si="30"/>
        <v/>
      </c>
    </row>
    <row r="1553" spans="1:8" ht="12.6" customHeight="1">
      <c r="A1553" s="1586"/>
      <c r="B1553" s="2684"/>
      <c r="C1553" s="1594"/>
      <c r="D1553" s="2722"/>
      <c r="E1553" s="2732"/>
      <c r="F1553" s="2735"/>
      <c r="G1553" s="1473"/>
      <c r="H1553" s="1501" t="str">
        <f t="shared" si="30"/>
        <v/>
      </c>
    </row>
    <row r="1554" spans="1:8" ht="16.2">
      <c r="A1554" s="1586"/>
      <c r="B1554" s="1593" t="s">
        <v>2162</v>
      </c>
      <c r="C1554" s="1594" t="s">
        <v>2221</v>
      </c>
      <c r="D1554" s="1595" t="s">
        <v>2222</v>
      </c>
      <c r="E1554" s="2762" t="s">
        <v>631</v>
      </c>
      <c r="F1554" s="2719">
        <v>48</v>
      </c>
      <c r="G1554" s="1473"/>
      <c r="H1554" s="1501">
        <f t="shared" si="30"/>
        <v>0</v>
      </c>
    </row>
    <row r="1555" spans="1:8">
      <c r="A1555" s="1586"/>
      <c r="B1555" s="1593"/>
      <c r="C1555" s="1594"/>
      <c r="D1555" s="1595"/>
      <c r="E1555" s="2762"/>
      <c r="F1555" s="2719"/>
      <c r="G1555" s="1473"/>
      <c r="H1555" s="1501" t="str">
        <f t="shared" si="30"/>
        <v/>
      </c>
    </row>
    <row r="1556" spans="1:8" ht="16.2">
      <c r="A1556" s="1586"/>
      <c r="B1556" s="1604" t="s">
        <v>2164</v>
      </c>
      <c r="C1556" s="1594" t="s">
        <v>2221</v>
      </c>
      <c r="D1556" s="1595" t="s">
        <v>2223</v>
      </c>
      <c r="E1556" s="2762" t="s">
        <v>631</v>
      </c>
      <c r="F1556" s="2719">
        <v>48</v>
      </c>
      <c r="G1556" s="1473"/>
      <c r="H1556" s="1501">
        <f t="shared" si="30"/>
        <v>0</v>
      </c>
    </row>
    <row r="1557" spans="1:8">
      <c r="A1557" s="1586"/>
      <c r="B1557" s="1271"/>
      <c r="C1557" s="1792"/>
      <c r="D1557" s="2751"/>
      <c r="E1557" s="147"/>
      <c r="F1557" s="1577"/>
      <c r="G1557" s="1478"/>
      <c r="H1557" s="1501" t="str">
        <f t="shared" si="30"/>
        <v/>
      </c>
    </row>
    <row r="1558" spans="1:8" ht="12.6" customHeight="1">
      <c r="A1558" s="2684">
        <f>$A$4</f>
        <v>19</v>
      </c>
      <c r="B1558" s="2684">
        <v>13.7</v>
      </c>
      <c r="C1558" s="1594"/>
      <c r="D1558" s="2723" t="s">
        <v>2224</v>
      </c>
      <c r="E1558" s="1596"/>
      <c r="F1558" s="2763"/>
      <c r="G1558" s="1473"/>
      <c r="H1558" s="1501" t="str">
        <f t="shared" si="30"/>
        <v/>
      </c>
    </row>
    <row r="1559" spans="1:8" ht="12.6" customHeight="1">
      <c r="A1559" s="1586"/>
      <c r="B1559" s="1593"/>
      <c r="C1559" s="1594"/>
      <c r="D1559" s="2722"/>
      <c r="E1559" s="1596"/>
      <c r="F1559" s="2763"/>
      <c r="G1559" s="1473"/>
      <c r="H1559" s="1501" t="str">
        <f t="shared" si="30"/>
        <v/>
      </c>
    </row>
    <row r="1560" spans="1:8" ht="12.6" customHeight="1">
      <c r="A1560" s="1586"/>
      <c r="B1560" s="1593" t="s">
        <v>2162</v>
      </c>
      <c r="C1560" s="1594" t="s">
        <v>2225</v>
      </c>
      <c r="D1560" s="1595" t="s">
        <v>2289</v>
      </c>
      <c r="E1560" s="1596" t="s">
        <v>691</v>
      </c>
      <c r="F1560" s="1604">
        <v>6</v>
      </c>
      <c r="G1560" s="1473"/>
      <c r="H1560" s="1501">
        <f t="shared" si="30"/>
        <v>0</v>
      </c>
    </row>
    <row r="1561" spans="1:8" ht="12.6" customHeight="1">
      <c r="A1561" s="1586"/>
      <c r="B1561" s="2809"/>
      <c r="C1561" s="2808"/>
      <c r="D1561" s="2829"/>
      <c r="E1561" s="2795"/>
      <c r="F1561" s="1607"/>
      <c r="G1561" s="1473"/>
      <c r="H1561" s="1501" t="str">
        <f t="shared" si="30"/>
        <v/>
      </c>
    </row>
    <row r="1562" spans="1:8" ht="12.6" customHeight="1">
      <c r="A1562" s="2684">
        <f>$A$4</f>
        <v>19</v>
      </c>
      <c r="B1562" s="2684">
        <v>13.8</v>
      </c>
      <c r="C1562" s="1594"/>
      <c r="D1562" s="2723" t="s">
        <v>2227</v>
      </c>
      <c r="E1562" s="1596"/>
      <c r="F1562" s="2673"/>
      <c r="G1562" s="1473"/>
      <c r="H1562" s="1501" t="str">
        <f t="shared" si="30"/>
        <v/>
      </c>
    </row>
    <row r="1563" spans="1:8" ht="12.6" customHeight="1">
      <c r="A1563" s="1586"/>
      <c r="B1563" s="1593"/>
      <c r="C1563" s="1594"/>
      <c r="D1563" s="2723"/>
      <c r="E1563" s="1596"/>
      <c r="F1563" s="2673"/>
      <c r="G1563" s="1473"/>
      <c r="H1563" s="1501" t="str">
        <f t="shared" si="30"/>
        <v/>
      </c>
    </row>
    <row r="1564" spans="1:8" ht="26.4">
      <c r="A1564" s="1586"/>
      <c r="B1564" s="1593"/>
      <c r="C1564" s="1594" t="s">
        <v>2228</v>
      </c>
      <c r="D1564" s="1595" t="s">
        <v>2361</v>
      </c>
      <c r="E1564" s="1596"/>
      <c r="F1564" s="2673"/>
      <c r="G1564" s="1473"/>
      <c r="H1564" s="1501" t="str">
        <f t="shared" si="30"/>
        <v/>
      </c>
    </row>
    <row r="1565" spans="1:8" ht="12.6" customHeight="1">
      <c r="A1565" s="1586"/>
      <c r="B1565" s="1593"/>
      <c r="C1565" s="1594"/>
      <c r="D1565" s="1595"/>
      <c r="E1565" s="1596"/>
      <c r="F1565" s="1597"/>
      <c r="G1565" s="1473"/>
      <c r="H1565" s="1501" t="str">
        <f t="shared" si="30"/>
        <v/>
      </c>
    </row>
    <row r="1566" spans="1:8" ht="12.6" customHeight="1">
      <c r="A1566" s="1586"/>
      <c r="B1566" s="1593" t="s">
        <v>2162</v>
      </c>
      <c r="C1566" s="1594" t="s">
        <v>2228</v>
      </c>
      <c r="D1566" s="1595" t="s">
        <v>2230</v>
      </c>
      <c r="E1566" s="1596" t="s">
        <v>561</v>
      </c>
      <c r="F1566" s="1597">
        <v>90</v>
      </c>
      <c r="G1566" s="1473"/>
      <c r="H1566" s="1501">
        <f t="shared" si="30"/>
        <v>0</v>
      </c>
    </row>
    <row r="1567" spans="1:8" ht="12.6" customHeight="1">
      <c r="A1567" s="1586"/>
      <c r="B1567" s="1593"/>
      <c r="C1567" s="1594"/>
      <c r="D1567" s="1595"/>
      <c r="E1567" s="1596"/>
      <c r="F1567" s="1597"/>
      <c r="G1567" s="1473"/>
      <c r="H1567" s="1501" t="str">
        <f t="shared" si="30"/>
        <v/>
      </c>
    </row>
    <row r="1568" spans="1:8" ht="12.6" customHeight="1">
      <c r="A1568" s="1586"/>
      <c r="B1568" s="1604" t="s">
        <v>2164</v>
      </c>
      <c r="C1568" s="1594" t="s">
        <v>2228</v>
      </c>
      <c r="D1568" s="1595" t="s">
        <v>2231</v>
      </c>
      <c r="E1568" s="1596" t="s">
        <v>561</v>
      </c>
      <c r="F1568" s="1597">
        <v>90</v>
      </c>
      <c r="G1568" s="1473"/>
      <c r="H1568" s="1501">
        <f t="shared" si="30"/>
        <v>0</v>
      </c>
    </row>
    <row r="1569" spans="1:8" ht="12.6" customHeight="1">
      <c r="A1569" s="1586"/>
      <c r="B1569" s="1604"/>
      <c r="C1569" s="1594"/>
      <c r="D1569" s="1595"/>
      <c r="E1569" s="1596"/>
      <c r="F1569" s="1597"/>
      <c r="G1569" s="1473"/>
      <c r="H1569" s="1501" t="str">
        <f t="shared" si="30"/>
        <v/>
      </c>
    </row>
    <row r="1570" spans="1:8" ht="12.6" customHeight="1">
      <c r="A1570" s="1586"/>
      <c r="B1570" s="1604" t="s">
        <v>2166</v>
      </c>
      <c r="C1570" s="1594" t="s">
        <v>2228</v>
      </c>
      <c r="D1570" s="1595" t="s">
        <v>2263</v>
      </c>
      <c r="E1570" s="1596" t="s">
        <v>561</v>
      </c>
      <c r="F1570" s="1597">
        <v>90</v>
      </c>
      <c r="G1570" s="1473"/>
      <c r="H1570" s="1501">
        <f t="shared" si="30"/>
        <v>0</v>
      </c>
    </row>
    <row r="1571" spans="1:8" ht="12.6" customHeight="1">
      <c r="A1571" s="1586"/>
      <c r="B1571" s="1604"/>
      <c r="C1571" s="1594"/>
      <c r="D1571" s="1595"/>
      <c r="E1571" s="1596"/>
      <c r="F1571" s="1597"/>
      <c r="G1571" s="1473"/>
      <c r="H1571" s="1501" t="str">
        <f t="shared" si="30"/>
        <v/>
      </c>
    </row>
    <row r="1572" spans="1:8" ht="12.6" customHeight="1">
      <c r="A1572" s="1586"/>
      <c r="B1572" s="1604" t="s">
        <v>2168</v>
      </c>
      <c r="C1572" s="1594" t="s">
        <v>2228</v>
      </c>
      <c r="D1572" s="1595" t="s">
        <v>2291</v>
      </c>
      <c r="E1572" s="1596" t="s">
        <v>561</v>
      </c>
      <c r="F1572" s="1597">
        <v>90</v>
      </c>
      <c r="G1572" s="1473"/>
      <c r="H1572" s="1501">
        <f t="shared" si="30"/>
        <v>0</v>
      </c>
    </row>
    <row r="1573" spans="1:8" ht="12.6" customHeight="1">
      <c r="A1573" s="1586"/>
      <c r="B1573" s="1604"/>
      <c r="C1573" s="1594"/>
      <c r="D1573" s="1595"/>
      <c r="E1573" s="1596"/>
      <c r="F1573" s="1597"/>
      <c r="G1573" s="1473"/>
      <c r="H1573" s="1501" t="str">
        <f t="shared" si="30"/>
        <v/>
      </c>
    </row>
    <row r="1574" spans="1:8" ht="15.6">
      <c r="A1574" s="1586"/>
      <c r="B1574" s="1604" t="s">
        <v>2171</v>
      </c>
      <c r="C1574" s="1594" t="s">
        <v>2228</v>
      </c>
      <c r="D1574" s="1595" t="s">
        <v>2232</v>
      </c>
      <c r="E1574" s="1596" t="s">
        <v>691</v>
      </c>
      <c r="F1574" s="2724">
        <v>10</v>
      </c>
      <c r="G1574" s="1473"/>
      <c r="H1574" s="1501">
        <f t="shared" si="30"/>
        <v>0</v>
      </c>
    </row>
    <row r="1575" spans="1:8">
      <c r="A1575" s="1586"/>
      <c r="B1575" s="1604"/>
      <c r="C1575" s="1594"/>
      <c r="D1575" s="1595"/>
      <c r="E1575" s="1596"/>
      <c r="F1575" s="2724"/>
      <c r="G1575" s="1473"/>
      <c r="H1575" s="1501" t="str">
        <f t="shared" si="30"/>
        <v/>
      </c>
    </row>
    <row r="1576" spans="1:8" ht="15.6">
      <c r="A1576" s="1586"/>
      <c r="B1576" s="1604" t="s">
        <v>2174</v>
      </c>
      <c r="C1576" s="1594" t="s">
        <v>2228</v>
      </c>
      <c r="D1576" s="1595" t="s">
        <v>2233</v>
      </c>
      <c r="E1576" s="1596" t="s">
        <v>691</v>
      </c>
      <c r="F1576" s="2724">
        <v>10</v>
      </c>
      <c r="G1576" s="1473"/>
      <c r="H1576" s="1501">
        <f t="shared" si="30"/>
        <v>0</v>
      </c>
    </row>
    <row r="1577" spans="1:8">
      <c r="A1577" s="1586"/>
      <c r="B1577" s="1604"/>
      <c r="C1577" s="1594"/>
      <c r="D1577" s="1595"/>
      <c r="E1577" s="1596"/>
      <c r="F1577" s="2724"/>
      <c r="G1577" s="1473"/>
      <c r="H1577" s="1501" t="str">
        <f t="shared" si="30"/>
        <v/>
      </c>
    </row>
    <row r="1578" spans="1:8" ht="15.6">
      <c r="A1578" s="1586"/>
      <c r="B1578" s="2691" t="s">
        <v>2178</v>
      </c>
      <c r="C1578" s="1594" t="s">
        <v>2228</v>
      </c>
      <c r="D1578" s="1595" t="s">
        <v>2265</v>
      </c>
      <c r="E1578" s="1596" t="s">
        <v>691</v>
      </c>
      <c r="F1578" s="1604">
        <v>10</v>
      </c>
      <c r="G1578" s="1473"/>
      <c r="H1578" s="1501">
        <f t="shared" si="30"/>
        <v>0</v>
      </c>
    </row>
    <row r="1579" spans="1:8" ht="12.6" customHeight="1">
      <c r="A1579" s="1586"/>
      <c r="B1579" s="2691"/>
      <c r="C1579" s="1599"/>
      <c r="D1579" s="1595"/>
      <c r="E1579" s="1596"/>
      <c r="F1579" s="1604"/>
      <c r="G1579" s="1473"/>
      <c r="H1579" s="1501" t="str">
        <f t="shared" si="30"/>
        <v/>
      </c>
    </row>
    <row r="1580" spans="1:8" ht="15.6">
      <c r="A1580" s="1586"/>
      <c r="B1580" s="1598" t="s">
        <v>2180</v>
      </c>
      <c r="C1580" s="1594" t="s">
        <v>2228</v>
      </c>
      <c r="D1580" s="1595" t="s">
        <v>2292</v>
      </c>
      <c r="E1580" s="1590" t="s">
        <v>691</v>
      </c>
      <c r="F1580" s="1601">
        <v>10</v>
      </c>
      <c r="G1580" s="1473"/>
      <c r="H1580" s="1501">
        <f t="shared" si="30"/>
        <v>0</v>
      </c>
    </row>
    <row r="1581" spans="1:8" ht="12.6" customHeight="1">
      <c r="A1581" s="1586"/>
      <c r="B1581" s="1593"/>
      <c r="C1581" s="1594"/>
      <c r="D1581" s="1595"/>
      <c r="E1581" s="1596"/>
      <c r="F1581" s="2673"/>
      <c r="G1581" s="1473"/>
      <c r="H1581" s="1501" t="str">
        <f t="shared" si="30"/>
        <v/>
      </c>
    </row>
    <row r="1582" spans="1:8" ht="12.6" customHeight="1">
      <c r="A1582" s="2684">
        <f>$A$4</f>
        <v>19</v>
      </c>
      <c r="B1582" s="2684">
        <v>13.9</v>
      </c>
      <c r="C1582" s="1594"/>
      <c r="D1582" s="2723" t="s">
        <v>2362</v>
      </c>
      <c r="E1582" s="1596"/>
      <c r="F1582" s="2673"/>
      <c r="G1582" s="1473"/>
      <c r="H1582" s="1501" t="str">
        <f t="shared" si="30"/>
        <v/>
      </c>
    </row>
    <row r="1583" spans="1:8" ht="12.6" customHeight="1">
      <c r="A1583" s="1586"/>
      <c r="B1583" s="2684"/>
      <c r="C1583" s="1594"/>
      <c r="D1583" s="2723"/>
      <c r="E1583" s="1596"/>
      <c r="F1583" s="2673"/>
      <c r="G1583" s="1473"/>
      <c r="H1583" s="1501" t="str">
        <f t="shared" si="30"/>
        <v/>
      </c>
    </row>
    <row r="1584" spans="1:8" ht="26.4">
      <c r="A1584" s="1586"/>
      <c r="B1584" s="1593"/>
      <c r="C1584" s="1594" t="s">
        <v>2228</v>
      </c>
      <c r="D1584" s="1595" t="s">
        <v>2363</v>
      </c>
      <c r="E1584" s="1596"/>
      <c r="F1584" s="2673"/>
      <c r="G1584" s="1473"/>
      <c r="H1584" s="1501" t="str">
        <f t="shared" si="30"/>
        <v/>
      </c>
    </row>
    <row r="1585" spans="1:8" ht="12.6" customHeight="1">
      <c r="A1585" s="1586"/>
      <c r="B1585" s="1593"/>
      <c r="C1585" s="1594"/>
      <c r="D1585" s="1595"/>
      <c r="E1585" s="1596"/>
      <c r="F1585" s="1597"/>
      <c r="G1585" s="1473"/>
      <c r="H1585" s="1501" t="str">
        <f t="shared" si="30"/>
        <v/>
      </c>
    </row>
    <row r="1586" spans="1:8" ht="12.6" customHeight="1">
      <c r="A1586" s="1586"/>
      <c r="B1586" s="1593" t="s">
        <v>2162</v>
      </c>
      <c r="C1586" s="1594" t="s">
        <v>2228</v>
      </c>
      <c r="D1586" s="1595" t="s">
        <v>2364</v>
      </c>
      <c r="E1586" s="1596" t="s">
        <v>561</v>
      </c>
      <c r="F1586" s="1597">
        <v>20</v>
      </c>
      <c r="G1586" s="1473"/>
      <c r="H1586" s="1501">
        <f t="shared" ref="H1586:H1590" si="31">IF(E1586="","",ROUND(F1586*G1586,2))</f>
        <v>0</v>
      </c>
    </row>
    <row r="1587" spans="1:8" ht="12.6" customHeight="1">
      <c r="A1587" s="1586"/>
      <c r="B1587" s="1593"/>
      <c r="C1587" s="1594"/>
      <c r="D1587" s="1595"/>
      <c r="E1587" s="1596"/>
      <c r="F1587" s="1597"/>
      <c r="G1587" s="1473"/>
      <c r="H1587" s="1501" t="str">
        <f t="shared" si="31"/>
        <v/>
      </c>
    </row>
    <row r="1588" spans="1:8" ht="12.6" customHeight="1">
      <c r="A1588" s="1586"/>
      <c r="B1588" s="1604" t="s">
        <v>2164</v>
      </c>
      <c r="C1588" s="1594" t="s">
        <v>2228</v>
      </c>
      <c r="D1588" s="1595" t="s">
        <v>2365</v>
      </c>
      <c r="E1588" s="1596" t="s">
        <v>691</v>
      </c>
      <c r="F1588" s="2724">
        <v>4</v>
      </c>
      <c r="G1588" s="1473"/>
      <c r="H1588" s="1501">
        <f t="shared" si="31"/>
        <v>0</v>
      </c>
    </row>
    <row r="1589" spans="1:8" ht="12.6" customHeight="1">
      <c r="A1589" s="1586"/>
      <c r="B1589" s="1604"/>
      <c r="C1589" s="1594"/>
      <c r="D1589" s="1600"/>
      <c r="E1589" s="916"/>
      <c r="F1589" s="1597"/>
      <c r="G1589" s="1473"/>
      <c r="H1589" s="1501" t="str">
        <f t="shared" si="31"/>
        <v/>
      </c>
    </row>
    <row r="1590" spans="1:8" ht="12.6" customHeight="1">
      <c r="A1590" s="1586"/>
      <c r="B1590" s="1604"/>
      <c r="C1590" s="1594"/>
      <c r="D1590" s="1600"/>
      <c r="E1590" s="916"/>
      <c r="F1590" s="1597"/>
      <c r="G1590" s="1473"/>
      <c r="H1590" s="1501" t="str">
        <f t="shared" si="31"/>
        <v/>
      </c>
    </row>
    <row r="1591" spans="1:8" ht="12.6" customHeight="1">
      <c r="A1591" s="1586"/>
      <c r="B1591" s="2684"/>
      <c r="C1591" s="1588"/>
      <c r="D1591" s="2776"/>
      <c r="E1591" s="938"/>
      <c r="F1591" s="2782"/>
      <c r="G1591" s="1473"/>
      <c r="H1591" s="2747"/>
    </row>
    <row r="1592" spans="1:8" ht="12.6" customHeight="1">
      <c r="A1592" s="1586"/>
      <c r="B1592" s="2684"/>
      <c r="C1592" s="1588"/>
      <c r="D1592" s="2776"/>
      <c r="E1592" s="938"/>
      <c r="F1592" s="2782"/>
      <c r="G1592" s="1473"/>
      <c r="H1592" s="901"/>
    </row>
    <row r="1593" spans="1:8">
      <c r="A1593" s="1586"/>
      <c r="B1593" s="1271"/>
      <c r="C1593" s="1792"/>
      <c r="D1593" s="2830"/>
      <c r="E1593" s="882"/>
      <c r="F1593" s="1577"/>
      <c r="G1593" s="1476"/>
      <c r="H1593" s="902"/>
    </row>
    <row r="1594" spans="1:8">
      <c r="A1594" s="2333"/>
      <c r="B1594" s="822"/>
      <c r="C1594" s="1158"/>
      <c r="D1594" s="840"/>
      <c r="E1594" s="837"/>
      <c r="F1594" s="838"/>
      <c r="G1594" s="2748"/>
      <c r="H1594" s="2749"/>
    </row>
    <row r="1595" spans="1:8">
      <c r="A1595" s="2336"/>
      <c r="B1595" s="823"/>
      <c r="C1595" s="1159"/>
      <c r="D1595" s="774" t="s">
        <v>289</v>
      </c>
      <c r="E1595" s="426"/>
      <c r="F1595" s="24"/>
      <c r="G1595" s="1477"/>
      <c r="H1595" s="2750">
        <f>SUM(H1520:H1593)</f>
        <v>0</v>
      </c>
    </row>
    <row r="1596" spans="1:8" ht="12.6" customHeight="1">
      <c r="A1596" s="1586"/>
      <c r="B1596" s="1271"/>
      <c r="C1596" s="2797"/>
      <c r="D1596" s="2754" t="s">
        <v>290</v>
      </c>
      <c r="E1596" s="147"/>
      <c r="F1596" s="1577"/>
      <c r="G1596" s="1478"/>
      <c r="H1596" s="922">
        <f>H1595</f>
        <v>0</v>
      </c>
    </row>
    <row r="1597" spans="1:8" ht="12.6" customHeight="1">
      <c r="A1597" s="1586"/>
      <c r="B1597" s="1271"/>
      <c r="C1597" s="1792"/>
      <c r="D1597" s="2751"/>
      <c r="E1597" s="147"/>
      <c r="F1597" s="1577"/>
      <c r="G1597" s="1478"/>
      <c r="H1597" s="897"/>
    </row>
    <row r="1598" spans="1:8" ht="12.6" customHeight="1">
      <c r="A1598" s="2684">
        <f>$A$4</f>
        <v>19</v>
      </c>
      <c r="B1598" s="2786">
        <v>13.1</v>
      </c>
      <c r="C1598" s="1588"/>
      <c r="D1598" s="2776" t="s">
        <v>2306</v>
      </c>
      <c r="E1598" s="938"/>
      <c r="F1598" s="2782"/>
      <c r="G1598" s="1473"/>
      <c r="H1598" s="2747"/>
    </row>
    <row r="1599" spans="1:8" ht="12.6" customHeight="1">
      <c r="A1599" s="1586"/>
      <c r="B1599" s="1271"/>
      <c r="C1599" s="1792"/>
      <c r="D1599" s="2751"/>
      <c r="E1599" s="147"/>
      <c r="F1599" s="1577"/>
      <c r="G1599" s="1478"/>
      <c r="H1599" s="897"/>
    </row>
    <row r="1600" spans="1:8" ht="26.4">
      <c r="A1600" s="1586"/>
      <c r="B1600" s="1587" t="s">
        <v>2162</v>
      </c>
      <c r="C1600" s="1588" t="s">
        <v>2307</v>
      </c>
      <c r="D1600" s="1589" t="s">
        <v>2308</v>
      </c>
      <c r="E1600" s="1591" t="s">
        <v>691</v>
      </c>
      <c r="F1600" s="2785">
        <v>4</v>
      </c>
      <c r="G1600" s="1473"/>
      <c r="H1600" s="1501">
        <f t="shared" ref="H1600:H1663" si="32">IF(E1600="","",ROUND(F1600*G1600,2))</f>
        <v>0</v>
      </c>
    </row>
    <row r="1601" spans="1:8" ht="12.6" customHeight="1">
      <c r="A1601" s="1586"/>
      <c r="B1601" s="1587"/>
      <c r="C1601" s="1588"/>
      <c r="D1601" s="1589"/>
      <c r="E1601" s="1590"/>
      <c r="F1601" s="1591"/>
      <c r="G1601" s="1473"/>
      <c r="H1601" s="1501" t="str">
        <f t="shared" si="32"/>
        <v/>
      </c>
    </row>
    <row r="1602" spans="1:8" ht="12.6" customHeight="1">
      <c r="A1602" s="2684">
        <f>$A$4</f>
        <v>19</v>
      </c>
      <c r="B1602" s="2684">
        <v>13.11</v>
      </c>
      <c r="C1602" s="2783"/>
      <c r="D1602" s="2723" t="s">
        <v>2367</v>
      </c>
      <c r="E1602" s="2726"/>
      <c r="F1602" s="1609"/>
      <c r="G1602" s="1473"/>
      <c r="H1602" s="1501" t="str">
        <f t="shared" si="32"/>
        <v/>
      </c>
    </row>
    <row r="1603" spans="1:8" ht="12.6" customHeight="1">
      <c r="A1603" s="1586"/>
      <c r="B1603" s="1587"/>
      <c r="C1603" s="2783"/>
      <c r="D1603" s="920"/>
      <c r="E1603" s="2726"/>
      <c r="F1603" s="939"/>
      <c r="G1603" s="1473"/>
      <c r="H1603" s="1501" t="str">
        <f t="shared" si="32"/>
        <v/>
      </c>
    </row>
    <row r="1604" spans="1:8">
      <c r="A1604" s="1586"/>
      <c r="B1604" s="1587" t="s">
        <v>2162</v>
      </c>
      <c r="C1604" s="1588" t="s">
        <v>2368</v>
      </c>
      <c r="D1604" s="1589" t="s">
        <v>2369</v>
      </c>
      <c r="E1604" s="1590" t="s">
        <v>691</v>
      </c>
      <c r="F1604" s="1591">
        <v>1</v>
      </c>
      <c r="G1604" s="1473"/>
      <c r="H1604" s="1501">
        <f t="shared" si="32"/>
        <v>0</v>
      </c>
    </row>
    <row r="1605" spans="1:8" ht="12.6" customHeight="1">
      <c r="A1605" s="1586"/>
      <c r="B1605" s="1593"/>
      <c r="C1605" s="1603"/>
      <c r="D1605" s="1589"/>
      <c r="E1605" s="1608"/>
      <c r="F1605" s="1608"/>
      <c r="G1605" s="1473"/>
      <c r="H1605" s="1501" t="str">
        <f t="shared" si="32"/>
        <v/>
      </c>
    </row>
    <row r="1606" spans="1:8" ht="12.6" customHeight="1">
      <c r="A1606" s="2684">
        <f>$A$4</f>
        <v>19</v>
      </c>
      <c r="B1606" s="2684">
        <v>13.12</v>
      </c>
      <c r="C1606" s="2783"/>
      <c r="D1606" s="2723" t="s">
        <v>2370</v>
      </c>
      <c r="E1606" s="2726"/>
      <c r="F1606" s="1609"/>
      <c r="G1606" s="1473"/>
      <c r="H1606" s="1501" t="str">
        <f t="shared" si="32"/>
        <v/>
      </c>
    </row>
    <row r="1607" spans="1:8" ht="12.6" customHeight="1">
      <c r="A1607" s="1586"/>
      <c r="B1607" s="2684"/>
      <c r="C1607" s="2783"/>
      <c r="D1607" s="920"/>
      <c r="E1607" s="2726"/>
      <c r="F1607" s="1609"/>
      <c r="G1607" s="1473"/>
      <c r="H1607" s="1501" t="str">
        <f t="shared" si="32"/>
        <v/>
      </c>
    </row>
    <row r="1608" spans="1:8" ht="26.4">
      <c r="A1608" s="1586"/>
      <c r="B1608" s="1587"/>
      <c r="C1608" s="1588" t="s">
        <v>2368</v>
      </c>
      <c r="D1608" s="1589" t="s">
        <v>2444</v>
      </c>
      <c r="E1608" s="1590"/>
      <c r="F1608" s="1591"/>
      <c r="G1608" s="1473"/>
      <c r="H1608" s="1501" t="str">
        <f t="shared" si="32"/>
        <v/>
      </c>
    </row>
    <row r="1609" spans="1:8" ht="12.6" customHeight="1">
      <c r="A1609" s="1586"/>
      <c r="B1609" s="1593"/>
      <c r="C1609" s="1603"/>
      <c r="D1609" s="903"/>
      <c r="E1609" s="1590"/>
      <c r="F1609" s="1591"/>
      <c r="G1609" s="1473"/>
      <c r="H1609" s="1501" t="str">
        <f t="shared" si="32"/>
        <v/>
      </c>
    </row>
    <row r="1610" spans="1:8" ht="12.6" customHeight="1">
      <c r="A1610" s="1586"/>
      <c r="B1610" s="1587" t="s">
        <v>2162</v>
      </c>
      <c r="C1610" s="1588" t="s">
        <v>2368</v>
      </c>
      <c r="D1610" s="1595" t="s">
        <v>2372</v>
      </c>
      <c r="E1610" s="1590" t="s">
        <v>691</v>
      </c>
      <c r="F1610" s="1609">
        <v>1</v>
      </c>
      <c r="G1610" s="1473"/>
      <c r="H1610" s="1501">
        <f t="shared" si="32"/>
        <v>0</v>
      </c>
    </row>
    <row r="1611" spans="1:8" ht="12.6" customHeight="1">
      <c r="A1611" s="1586"/>
      <c r="B1611" s="1587"/>
      <c r="C1611" s="2783"/>
      <c r="D1611" s="1595"/>
      <c r="E1611" s="1590"/>
      <c r="F1611" s="1609"/>
      <c r="G1611" s="1473"/>
      <c r="H1611" s="1501" t="str">
        <f t="shared" si="32"/>
        <v/>
      </c>
    </row>
    <row r="1612" spans="1:8" ht="12.6" customHeight="1">
      <c r="A1612" s="1586"/>
      <c r="B1612" s="1604" t="s">
        <v>2164</v>
      </c>
      <c r="C1612" s="1588" t="s">
        <v>2368</v>
      </c>
      <c r="D1612" s="1595" t="s">
        <v>2373</v>
      </c>
      <c r="E1612" s="1590" t="s">
        <v>691</v>
      </c>
      <c r="F1612" s="2724">
        <v>1</v>
      </c>
      <c r="G1612" s="1473"/>
      <c r="H1612" s="1501">
        <f t="shared" si="32"/>
        <v>0</v>
      </c>
    </row>
    <row r="1613" spans="1:8" ht="12.6" customHeight="1">
      <c r="A1613" s="1586"/>
      <c r="B1613" s="1587"/>
      <c r="C1613" s="2783"/>
      <c r="D1613" s="904"/>
      <c r="E1613" s="1590"/>
      <c r="F1613" s="1609"/>
      <c r="G1613" s="1473"/>
      <c r="H1613" s="1501" t="str">
        <f t="shared" si="32"/>
        <v/>
      </c>
    </row>
    <row r="1614" spans="1:8" ht="12.6" customHeight="1">
      <c r="A1614" s="1586"/>
      <c r="B1614" s="1587" t="s">
        <v>2166</v>
      </c>
      <c r="C1614" s="1588" t="s">
        <v>2368</v>
      </c>
      <c r="D1614" s="1589" t="s">
        <v>2374</v>
      </c>
      <c r="E1614" s="1590" t="s">
        <v>691</v>
      </c>
      <c r="F1614" s="1591">
        <v>1</v>
      </c>
      <c r="G1614" s="1473"/>
      <c r="H1614" s="1501">
        <f t="shared" si="32"/>
        <v>0</v>
      </c>
    </row>
    <row r="1615" spans="1:8" ht="12.6" customHeight="1">
      <c r="A1615" s="1586"/>
      <c r="B1615" s="1593"/>
      <c r="C1615" s="1603"/>
      <c r="D1615" s="1589"/>
      <c r="E1615" s="1590"/>
      <c r="F1615" s="1591"/>
      <c r="G1615" s="1473"/>
      <c r="H1615" s="1501" t="str">
        <f t="shared" si="32"/>
        <v/>
      </c>
    </row>
    <row r="1616" spans="1:8" ht="12.6" customHeight="1">
      <c r="A1616" s="1586"/>
      <c r="B1616" s="1593" t="s">
        <v>2168</v>
      </c>
      <c r="C1616" s="1588" t="s">
        <v>2368</v>
      </c>
      <c r="D1616" s="1589" t="s">
        <v>2375</v>
      </c>
      <c r="E1616" s="1590" t="s">
        <v>691</v>
      </c>
      <c r="F1616" s="1591">
        <v>1</v>
      </c>
      <c r="G1616" s="1473"/>
      <c r="H1616" s="1501">
        <f t="shared" si="32"/>
        <v>0</v>
      </c>
    </row>
    <row r="1617" spans="1:8" ht="12.6" customHeight="1">
      <c r="A1617" s="1586"/>
      <c r="B1617" s="1587"/>
      <c r="C1617" s="2783"/>
      <c r="D1617" s="2722"/>
      <c r="E1617" s="2726"/>
      <c r="F1617" s="1609"/>
      <c r="G1617" s="1473"/>
      <c r="H1617" s="1501" t="str">
        <f t="shared" si="32"/>
        <v/>
      </c>
    </row>
    <row r="1618" spans="1:8" ht="12.6" customHeight="1">
      <c r="A1618" s="2684">
        <f>$A$4</f>
        <v>19</v>
      </c>
      <c r="B1618" s="2684">
        <v>13.13</v>
      </c>
      <c r="C1618" s="2783"/>
      <c r="D1618" s="2723" t="s">
        <v>2376</v>
      </c>
      <c r="E1618" s="2726"/>
      <c r="F1618" s="1609"/>
      <c r="G1618" s="1473"/>
      <c r="H1618" s="1501" t="str">
        <f t="shared" si="32"/>
        <v/>
      </c>
    </row>
    <row r="1619" spans="1:8" ht="12.6" customHeight="1">
      <c r="A1619" s="1586"/>
      <c r="B1619" s="1587"/>
      <c r="C1619" s="2783"/>
      <c r="D1619" s="920"/>
      <c r="E1619" s="2726"/>
      <c r="F1619" s="1609"/>
      <c r="G1619" s="1473"/>
      <c r="H1619" s="1501" t="str">
        <f t="shared" si="32"/>
        <v/>
      </c>
    </row>
    <row r="1620" spans="1:8">
      <c r="A1620" s="1586"/>
      <c r="B1620" s="1587" t="s">
        <v>2162</v>
      </c>
      <c r="C1620" s="1588" t="s">
        <v>2377</v>
      </c>
      <c r="D1620" s="1589" t="s">
        <v>2378</v>
      </c>
      <c r="E1620" s="1590" t="s">
        <v>691</v>
      </c>
      <c r="F1620" s="1591">
        <v>1</v>
      </c>
      <c r="G1620" s="1473"/>
      <c r="H1620" s="1501">
        <f t="shared" si="32"/>
        <v>0</v>
      </c>
    </row>
    <row r="1621" spans="1:8" ht="12.6" customHeight="1">
      <c r="A1621" s="1586"/>
      <c r="B1621" s="1593"/>
      <c r="C1621" s="1603"/>
      <c r="D1621" s="1589"/>
      <c r="E1621" s="1590"/>
      <c r="F1621" s="1591"/>
      <c r="G1621" s="1473"/>
      <c r="H1621" s="1501" t="str">
        <f t="shared" si="32"/>
        <v/>
      </c>
    </row>
    <row r="1622" spans="1:8" ht="12.6" customHeight="1">
      <c r="A1622" s="2684">
        <f>$A$4</f>
        <v>19</v>
      </c>
      <c r="B1622" s="2684">
        <v>13.14</v>
      </c>
      <c r="C1622" s="2783"/>
      <c r="D1622" s="2723" t="s">
        <v>2343</v>
      </c>
      <c r="E1622" s="2726"/>
      <c r="F1622" s="1609"/>
      <c r="G1622" s="1473"/>
      <c r="H1622" s="1501" t="str">
        <f t="shared" si="32"/>
        <v/>
      </c>
    </row>
    <row r="1623" spans="1:8" ht="12.6" customHeight="1">
      <c r="A1623" s="1586"/>
      <c r="B1623" s="1587"/>
      <c r="C1623" s="2783"/>
      <c r="D1623" s="2723"/>
      <c r="E1623" s="2726"/>
      <c r="F1623" s="1609"/>
      <c r="G1623" s="1473"/>
      <c r="H1623" s="1501" t="str">
        <f t="shared" si="32"/>
        <v/>
      </c>
    </row>
    <row r="1624" spans="1:8" ht="52.8">
      <c r="A1624" s="1586"/>
      <c r="B1624" s="1604"/>
      <c r="C1624" s="1594" t="s">
        <v>2172</v>
      </c>
      <c r="D1624" s="1595" t="s">
        <v>2445</v>
      </c>
      <c r="E1624" s="2672"/>
      <c r="F1624" s="2733"/>
      <c r="G1624" s="1473"/>
      <c r="H1624" s="1501" t="str">
        <f t="shared" si="32"/>
        <v/>
      </c>
    </row>
    <row r="1625" spans="1:8" ht="12.6" customHeight="1">
      <c r="A1625" s="1586"/>
      <c r="B1625" s="2807"/>
      <c r="C1625" s="2738"/>
      <c r="D1625" s="1595"/>
      <c r="E1625" s="2672"/>
      <c r="F1625" s="2763"/>
      <c r="G1625" s="1473"/>
      <c r="H1625" s="1501" t="str">
        <f t="shared" si="32"/>
        <v/>
      </c>
    </row>
    <row r="1626" spans="1:8" ht="12.6" customHeight="1">
      <c r="A1626" s="1586"/>
      <c r="B1626" s="2737" t="s">
        <v>2162</v>
      </c>
      <c r="C1626" s="1594" t="s">
        <v>2172</v>
      </c>
      <c r="D1626" s="1595" t="s">
        <v>2446</v>
      </c>
      <c r="E1626" s="2726" t="s">
        <v>691</v>
      </c>
      <c r="F1626" s="1604">
        <v>1</v>
      </c>
      <c r="G1626" s="1473"/>
      <c r="H1626" s="1501">
        <f t="shared" si="32"/>
        <v>0</v>
      </c>
    </row>
    <row r="1627" spans="1:8" ht="12.6" customHeight="1">
      <c r="A1627" s="1586"/>
      <c r="B1627" s="2737"/>
      <c r="C1627" s="2738"/>
      <c r="D1627" s="1595"/>
      <c r="E1627" s="2726"/>
      <c r="F1627" s="1604"/>
      <c r="G1627" s="1473"/>
      <c r="H1627" s="1501" t="str">
        <f t="shared" si="32"/>
        <v/>
      </c>
    </row>
    <row r="1628" spans="1:8" ht="12.6" customHeight="1">
      <c r="A1628" s="2684">
        <f>$A$4</f>
        <v>19</v>
      </c>
      <c r="B1628" s="2684">
        <v>13.15</v>
      </c>
      <c r="C1628" s="2783"/>
      <c r="D1628" s="2723" t="s">
        <v>2236</v>
      </c>
      <c r="E1628" s="2726"/>
      <c r="F1628" s="1609"/>
      <c r="G1628" s="1473"/>
      <c r="H1628" s="1501" t="str">
        <f t="shared" si="32"/>
        <v/>
      </c>
    </row>
    <row r="1629" spans="1:8" ht="12.6" customHeight="1">
      <c r="A1629" s="1586"/>
      <c r="B1629" s="1587"/>
      <c r="C1629" s="1588"/>
      <c r="D1629" s="920"/>
      <c r="E1629" s="1590"/>
      <c r="F1629" s="1591"/>
      <c r="G1629" s="1473"/>
      <c r="H1629" s="1501" t="str">
        <f t="shared" si="32"/>
        <v/>
      </c>
    </row>
    <row r="1630" spans="1:8" ht="12.6" customHeight="1">
      <c r="A1630" s="1586"/>
      <c r="B1630" s="1587" t="s">
        <v>2162</v>
      </c>
      <c r="C1630" s="1588" t="s">
        <v>2237</v>
      </c>
      <c r="D1630" s="1589" t="s">
        <v>2382</v>
      </c>
      <c r="E1630" s="1590" t="s">
        <v>691</v>
      </c>
      <c r="F1630" s="1591">
        <v>10</v>
      </c>
      <c r="G1630" s="1473"/>
      <c r="H1630" s="1501">
        <f t="shared" si="32"/>
        <v>0</v>
      </c>
    </row>
    <row r="1631" spans="1:8" ht="12.6" customHeight="1">
      <c r="A1631" s="1586"/>
      <c r="B1631" s="1593"/>
      <c r="C1631" s="1603"/>
      <c r="D1631" s="1589"/>
      <c r="E1631" s="1590"/>
      <c r="F1631" s="1591"/>
      <c r="G1631" s="1473"/>
      <c r="H1631" s="1501" t="str">
        <f t="shared" si="32"/>
        <v/>
      </c>
    </row>
    <row r="1632" spans="1:8" ht="12.6" customHeight="1">
      <c r="A1632" s="1586"/>
      <c r="B1632" s="1587" t="s">
        <v>2164</v>
      </c>
      <c r="C1632" s="1588" t="s">
        <v>2237</v>
      </c>
      <c r="D1632" s="1589" t="s">
        <v>2239</v>
      </c>
      <c r="E1632" s="1590" t="s">
        <v>691</v>
      </c>
      <c r="F1632" s="1591">
        <v>10</v>
      </c>
      <c r="G1632" s="1473"/>
      <c r="H1632" s="1501">
        <f t="shared" si="32"/>
        <v>0</v>
      </c>
    </row>
    <row r="1633" spans="1:8" ht="12.6" customHeight="1">
      <c r="A1633" s="1586"/>
      <c r="B1633" s="1587"/>
      <c r="C1633" s="1588"/>
      <c r="D1633" s="1589"/>
      <c r="E1633" s="1590"/>
      <c r="F1633" s="1591"/>
      <c r="G1633" s="1473"/>
      <c r="H1633" s="1501" t="str">
        <f t="shared" si="32"/>
        <v/>
      </c>
    </row>
    <row r="1634" spans="1:8" ht="12.6" customHeight="1">
      <c r="A1634" s="1586"/>
      <c r="B1634" s="1587" t="s">
        <v>2166</v>
      </c>
      <c r="C1634" s="1588" t="s">
        <v>2237</v>
      </c>
      <c r="D1634" s="1589" t="s">
        <v>2447</v>
      </c>
      <c r="E1634" s="1590" t="s">
        <v>691</v>
      </c>
      <c r="F1634" s="1591">
        <v>4</v>
      </c>
      <c r="G1634" s="1473"/>
      <c r="H1634" s="1501">
        <f t="shared" si="32"/>
        <v>0</v>
      </c>
    </row>
    <row r="1635" spans="1:8" ht="12.6" customHeight="1">
      <c r="A1635" s="1586"/>
      <c r="B1635" s="1593"/>
      <c r="C1635" s="1603"/>
      <c r="D1635" s="1589"/>
      <c r="E1635" s="1590"/>
      <c r="F1635" s="1591"/>
      <c r="G1635" s="1473"/>
      <c r="H1635" s="1501" t="str">
        <f t="shared" si="32"/>
        <v/>
      </c>
    </row>
    <row r="1636" spans="1:8" ht="12.6" customHeight="1">
      <c r="A1636" s="1586"/>
      <c r="B1636" s="1587" t="s">
        <v>2168</v>
      </c>
      <c r="C1636" s="1588" t="s">
        <v>2237</v>
      </c>
      <c r="D1636" s="1589" t="s">
        <v>2239</v>
      </c>
      <c r="E1636" s="1590" t="s">
        <v>691</v>
      </c>
      <c r="F1636" s="1591">
        <v>4</v>
      </c>
      <c r="G1636" s="1473"/>
      <c r="H1636" s="1501">
        <f t="shared" si="32"/>
        <v>0</v>
      </c>
    </row>
    <row r="1637" spans="1:8" ht="12.6" customHeight="1">
      <c r="A1637" s="1586"/>
      <c r="B1637" s="2809"/>
      <c r="C1637" s="2808"/>
      <c r="D1637" s="2829"/>
      <c r="E1637" s="2795"/>
      <c r="F1637" s="1607"/>
      <c r="G1637" s="1473"/>
      <c r="H1637" s="1501" t="str">
        <f t="shared" si="32"/>
        <v/>
      </c>
    </row>
    <row r="1638" spans="1:8" ht="12.6" customHeight="1">
      <c r="A1638" s="2684">
        <f>$A$4</f>
        <v>19</v>
      </c>
      <c r="B1638" s="2684">
        <v>13.16</v>
      </c>
      <c r="C1638" s="2808"/>
      <c r="D1638" s="2723" t="s">
        <v>2387</v>
      </c>
      <c r="E1638" s="2726"/>
      <c r="F1638" s="1609"/>
      <c r="G1638" s="1473"/>
      <c r="H1638" s="1501" t="str">
        <f t="shared" si="32"/>
        <v/>
      </c>
    </row>
    <row r="1639" spans="1:8" ht="12.6" customHeight="1">
      <c r="A1639" s="1586"/>
      <c r="B1639" s="2703"/>
      <c r="C1639" s="2808"/>
      <c r="D1639" s="2723"/>
      <c r="E1639" s="2726"/>
      <c r="F1639" s="1609"/>
      <c r="G1639" s="1473"/>
      <c r="H1639" s="1501" t="str">
        <f t="shared" si="32"/>
        <v/>
      </c>
    </row>
    <row r="1640" spans="1:8" ht="12.6" customHeight="1">
      <c r="A1640" s="1586"/>
      <c r="B1640" s="2703" t="s">
        <v>2162</v>
      </c>
      <c r="C1640" s="2808" t="s">
        <v>2388</v>
      </c>
      <c r="D1640" s="1595" t="s">
        <v>2448</v>
      </c>
      <c r="E1640" s="2726"/>
      <c r="F1640" s="1609"/>
      <c r="G1640" s="1473"/>
      <c r="H1640" s="1501" t="str">
        <f t="shared" si="32"/>
        <v/>
      </c>
    </row>
    <row r="1641" spans="1:8" ht="12.6" customHeight="1">
      <c r="A1641" s="1586"/>
      <c r="B1641" s="2809"/>
      <c r="C1641" s="2808"/>
      <c r="D1641" s="1595"/>
      <c r="E1641" s="2726"/>
      <c r="F1641" s="1609"/>
      <c r="G1641" s="1473"/>
      <c r="H1641" s="1501" t="str">
        <f t="shared" si="32"/>
        <v/>
      </c>
    </row>
    <row r="1642" spans="1:8" ht="12.6" customHeight="1">
      <c r="A1642" s="1586"/>
      <c r="B1642" s="2809"/>
      <c r="C1642" s="2808"/>
      <c r="D1642" s="1595" t="s">
        <v>2449</v>
      </c>
      <c r="E1642" s="2726" t="s">
        <v>691</v>
      </c>
      <c r="F1642" s="1609">
        <v>6</v>
      </c>
      <c r="G1642" s="1473"/>
      <c r="H1642" s="1501">
        <f t="shared" si="32"/>
        <v>0</v>
      </c>
    </row>
    <row r="1643" spans="1:8" ht="12.6" customHeight="1">
      <c r="A1643" s="1586"/>
      <c r="B1643" s="2809"/>
      <c r="C1643" s="2808"/>
      <c r="D1643" s="2829"/>
      <c r="E1643" s="2795"/>
      <c r="F1643" s="1607"/>
      <c r="G1643" s="1473"/>
      <c r="H1643" s="1501" t="str">
        <f t="shared" si="32"/>
        <v/>
      </c>
    </row>
    <row r="1644" spans="1:8" ht="12.6" customHeight="1">
      <c r="A1644" s="1586"/>
      <c r="B1644" s="2703" t="s">
        <v>2164</v>
      </c>
      <c r="C1644" s="2808" t="s">
        <v>2388</v>
      </c>
      <c r="D1644" s="1595" t="s">
        <v>2450</v>
      </c>
      <c r="E1644" s="2726"/>
      <c r="F1644" s="1609"/>
      <c r="G1644" s="1473"/>
      <c r="H1644" s="1501" t="str">
        <f t="shared" si="32"/>
        <v/>
      </c>
    </row>
    <row r="1645" spans="1:8" ht="12.6" customHeight="1">
      <c r="A1645" s="1586"/>
      <c r="B1645" s="2809"/>
      <c r="C1645" s="2808"/>
      <c r="D1645" s="1595"/>
      <c r="E1645" s="2726"/>
      <c r="F1645" s="1609"/>
      <c r="G1645" s="1473"/>
      <c r="H1645" s="1501" t="str">
        <f t="shared" si="32"/>
        <v/>
      </c>
    </row>
    <row r="1646" spans="1:8" ht="12.6" customHeight="1">
      <c r="A1646" s="1586"/>
      <c r="B1646" s="2809"/>
      <c r="C1646" s="2808"/>
      <c r="D1646" s="1595" t="s">
        <v>2451</v>
      </c>
      <c r="E1646" s="2726" t="s">
        <v>691</v>
      </c>
      <c r="F1646" s="1609">
        <v>8</v>
      </c>
      <c r="G1646" s="1473"/>
      <c r="H1646" s="1501">
        <f t="shared" si="32"/>
        <v>0</v>
      </c>
    </row>
    <row r="1647" spans="1:8" ht="12.6" customHeight="1">
      <c r="A1647" s="1586"/>
      <c r="B1647" s="2809"/>
      <c r="C1647" s="2808"/>
      <c r="D1647" s="1595"/>
      <c r="E1647" s="2726"/>
      <c r="F1647" s="1609"/>
      <c r="G1647" s="1473"/>
      <c r="H1647" s="1501" t="str">
        <f t="shared" si="32"/>
        <v/>
      </c>
    </row>
    <row r="1648" spans="1:8" ht="26.4">
      <c r="A1648" s="1586"/>
      <c r="B1648" s="2703" t="s">
        <v>2166</v>
      </c>
      <c r="C1648" s="2808" t="s">
        <v>2388</v>
      </c>
      <c r="D1648" s="1595" t="s">
        <v>2452</v>
      </c>
      <c r="E1648" s="2726"/>
      <c r="F1648" s="1609"/>
      <c r="G1648" s="1473"/>
      <c r="H1648" s="1501" t="str">
        <f t="shared" si="32"/>
        <v/>
      </c>
    </row>
    <row r="1649" spans="1:8" ht="12.6" customHeight="1">
      <c r="A1649" s="1586"/>
      <c r="B1649" s="2809"/>
      <c r="C1649" s="2808"/>
      <c r="D1649" s="1595"/>
      <c r="E1649" s="2726"/>
      <c r="F1649" s="1609"/>
      <c r="G1649" s="1473"/>
      <c r="H1649" s="1501" t="str">
        <f t="shared" si="32"/>
        <v/>
      </c>
    </row>
    <row r="1650" spans="1:8" ht="26.4">
      <c r="A1650" s="1586"/>
      <c r="B1650" s="2809"/>
      <c r="C1650" s="2808"/>
      <c r="D1650" s="1595" t="s">
        <v>2453</v>
      </c>
      <c r="E1650" s="2726" t="s">
        <v>691</v>
      </c>
      <c r="F1650" s="1609">
        <v>4</v>
      </c>
      <c r="G1650" s="1473"/>
      <c r="H1650" s="1501">
        <f t="shared" si="32"/>
        <v>0</v>
      </c>
    </row>
    <row r="1651" spans="1:8" ht="12.6" customHeight="1">
      <c r="A1651" s="1586"/>
      <c r="B1651" s="1593"/>
      <c r="C1651" s="1594"/>
      <c r="D1651" s="1595"/>
      <c r="E1651" s="1596"/>
      <c r="F1651" s="1597"/>
      <c r="G1651" s="1473"/>
      <c r="H1651" s="1501" t="str">
        <f t="shared" si="32"/>
        <v/>
      </c>
    </row>
    <row r="1652" spans="1:8" ht="12.6" customHeight="1">
      <c r="A1652" s="2684">
        <f>$A$4</f>
        <v>19</v>
      </c>
      <c r="B1652" s="2684">
        <v>13.17</v>
      </c>
      <c r="C1652" s="1594"/>
      <c r="D1652" s="2723" t="s">
        <v>2391</v>
      </c>
      <c r="E1652" s="1596"/>
      <c r="F1652" s="2724"/>
      <c r="G1652" s="1473"/>
      <c r="H1652" s="1501" t="str">
        <f t="shared" si="32"/>
        <v/>
      </c>
    </row>
    <row r="1653" spans="1:8" ht="12.6" customHeight="1">
      <c r="A1653" s="1586"/>
      <c r="B1653" s="2684"/>
      <c r="C1653" s="1594"/>
      <c r="D1653" s="2723"/>
      <c r="E1653" s="1596"/>
      <c r="F1653" s="2724"/>
      <c r="G1653" s="1473"/>
      <c r="H1653" s="1501" t="str">
        <f t="shared" si="32"/>
        <v/>
      </c>
    </row>
    <row r="1654" spans="1:8" ht="26.4">
      <c r="A1654" s="1586"/>
      <c r="B1654" s="1593" t="s">
        <v>2162</v>
      </c>
      <c r="C1654" s="1588" t="s">
        <v>2368</v>
      </c>
      <c r="D1654" s="1595" t="s">
        <v>2454</v>
      </c>
      <c r="E1654" s="1596" t="s">
        <v>561</v>
      </c>
      <c r="F1654" s="1601">
        <v>20</v>
      </c>
      <c r="G1654" s="1473"/>
      <c r="H1654" s="1501">
        <f t="shared" si="32"/>
        <v>0</v>
      </c>
    </row>
    <row r="1655" spans="1:8" ht="12.6" customHeight="1">
      <c r="A1655" s="1586"/>
      <c r="B1655" s="1593"/>
      <c r="C1655" s="1594"/>
      <c r="D1655" s="1595"/>
      <c r="E1655" s="1596"/>
      <c r="F1655" s="2673"/>
      <c r="G1655" s="1473"/>
      <c r="H1655" s="1501" t="str">
        <f t="shared" si="32"/>
        <v/>
      </c>
    </row>
    <row r="1656" spans="1:8" ht="26.4">
      <c r="A1656" s="1586"/>
      <c r="B1656" s="1604" t="s">
        <v>2164</v>
      </c>
      <c r="C1656" s="1588" t="s">
        <v>2368</v>
      </c>
      <c r="D1656" s="1595" t="s">
        <v>2455</v>
      </c>
      <c r="E1656" s="1596" t="s">
        <v>561</v>
      </c>
      <c r="F1656" s="1597">
        <v>20</v>
      </c>
      <c r="G1656" s="1473"/>
      <c r="H1656" s="1501">
        <f t="shared" si="32"/>
        <v>0</v>
      </c>
    </row>
    <row r="1657" spans="1:8" ht="12.6" customHeight="1">
      <c r="A1657" s="1586"/>
      <c r="B1657" s="1604"/>
      <c r="C1657" s="1594"/>
      <c r="D1657" s="1595"/>
      <c r="E1657" s="1596"/>
      <c r="F1657" s="1597"/>
      <c r="G1657" s="1473"/>
      <c r="H1657" s="1501" t="str">
        <f t="shared" si="32"/>
        <v/>
      </c>
    </row>
    <row r="1658" spans="1:8" ht="26.4">
      <c r="A1658" s="1586"/>
      <c r="B1658" s="1598" t="s">
        <v>2166</v>
      </c>
      <c r="C1658" s="1588" t="s">
        <v>2368</v>
      </c>
      <c r="D1658" s="1595" t="s">
        <v>2456</v>
      </c>
      <c r="E1658" s="1590" t="s">
        <v>561</v>
      </c>
      <c r="F1658" s="2724">
        <v>40</v>
      </c>
      <c r="G1658" s="1473"/>
      <c r="H1658" s="1501">
        <f t="shared" si="32"/>
        <v>0</v>
      </c>
    </row>
    <row r="1659" spans="1:8" ht="12.6" customHeight="1">
      <c r="A1659" s="1586"/>
      <c r="B1659" s="1593"/>
      <c r="C1659" s="1594"/>
      <c r="D1659" s="1595"/>
      <c r="E1659" s="1596"/>
      <c r="F1659" s="1597"/>
      <c r="G1659" s="1473"/>
      <c r="H1659" s="1501" t="str">
        <f t="shared" si="32"/>
        <v/>
      </c>
    </row>
    <row r="1660" spans="1:8" ht="12.6" customHeight="1">
      <c r="A1660" s="2684">
        <f>$A$4</f>
        <v>19</v>
      </c>
      <c r="B1660" s="2684">
        <v>13.18</v>
      </c>
      <c r="C1660" s="1594"/>
      <c r="D1660" s="2723" t="s">
        <v>2394</v>
      </c>
      <c r="E1660" s="1596"/>
      <c r="F1660" s="2782"/>
      <c r="G1660" s="1473"/>
      <c r="H1660" s="1501" t="str">
        <f t="shared" si="32"/>
        <v/>
      </c>
    </row>
    <row r="1661" spans="1:8" ht="12.6" customHeight="1">
      <c r="A1661" s="1586"/>
      <c r="B1661" s="1593"/>
      <c r="C1661" s="1594"/>
      <c r="D1661" s="1595"/>
      <c r="E1661" s="1596"/>
      <c r="F1661" s="2782"/>
      <c r="G1661" s="1473"/>
      <c r="H1661" s="1501" t="str">
        <f t="shared" si="32"/>
        <v/>
      </c>
    </row>
    <row r="1662" spans="1:8" ht="12.6" customHeight="1">
      <c r="A1662" s="1586"/>
      <c r="B1662" s="1593" t="s">
        <v>2162</v>
      </c>
      <c r="C1662" s="1588" t="s">
        <v>2368</v>
      </c>
      <c r="D1662" s="1595" t="s">
        <v>2457</v>
      </c>
      <c r="E1662" s="1596" t="s">
        <v>691</v>
      </c>
      <c r="F1662" s="2785">
        <v>20</v>
      </c>
      <c r="G1662" s="1473"/>
      <c r="H1662" s="1501">
        <f t="shared" si="32"/>
        <v>0</v>
      </c>
    </row>
    <row r="1663" spans="1:8" ht="12.6" customHeight="1">
      <c r="A1663" s="1586"/>
      <c r="B1663" s="1593"/>
      <c r="C1663" s="1594"/>
      <c r="D1663" s="1595"/>
      <c r="E1663" s="1596"/>
      <c r="F1663" s="2785"/>
      <c r="G1663" s="1473"/>
      <c r="H1663" s="1501" t="str">
        <f t="shared" si="32"/>
        <v/>
      </c>
    </row>
    <row r="1664" spans="1:8" ht="12.6" customHeight="1">
      <c r="A1664" s="1586"/>
      <c r="B1664" s="1593" t="s">
        <v>2164</v>
      </c>
      <c r="C1664" s="1588" t="s">
        <v>2368</v>
      </c>
      <c r="D1664" s="1595" t="s">
        <v>2458</v>
      </c>
      <c r="E1664" s="1596" t="s">
        <v>691</v>
      </c>
      <c r="F1664" s="1591">
        <v>2</v>
      </c>
      <c r="G1664" s="1473"/>
      <c r="H1664" s="1501">
        <f t="shared" ref="H1664:H1669" si="33">IF(E1664="","",ROUND(F1664*G1664,2))</f>
        <v>0</v>
      </c>
    </row>
    <row r="1665" spans="1:8" ht="12.6" customHeight="1">
      <c r="A1665" s="1586"/>
      <c r="B1665" s="1604"/>
      <c r="C1665" s="1594"/>
      <c r="D1665" s="1595"/>
      <c r="E1665" s="1596"/>
      <c r="F1665" s="1609"/>
      <c r="G1665" s="1473"/>
      <c r="H1665" s="1501" t="str">
        <f t="shared" si="33"/>
        <v/>
      </c>
    </row>
    <row r="1666" spans="1:8" ht="12.6" customHeight="1">
      <c r="A1666" s="1586"/>
      <c r="B1666" s="1604" t="s">
        <v>2166</v>
      </c>
      <c r="C1666" s="1588" t="s">
        <v>2368</v>
      </c>
      <c r="D1666" s="1600" t="s">
        <v>2459</v>
      </c>
      <c r="E1666" s="940" t="s">
        <v>691</v>
      </c>
      <c r="F1666" s="1591">
        <v>2</v>
      </c>
      <c r="G1666" s="1473"/>
      <c r="H1666" s="1501">
        <f t="shared" si="33"/>
        <v>0</v>
      </c>
    </row>
    <row r="1667" spans="1:8" ht="12.6" customHeight="1">
      <c r="A1667" s="1586"/>
      <c r="B1667" s="1587"/>
      <c r="C1667" s="2783"/>
      <c r="D1667" s="1600"/>
      <c r="E1667" s="940"/>
      <c r="F1667" s="1591"/>
      <c r="G1667" s="1473"/>
      <c r="H1667" s="1501" t="str">
        <f t="shared" si="33"/>
        <v/>
      </c>
    </row>
    <row r="1668" spans="1:8" ht="12.6" customHeight="1">
      <c r="A1668" s="1586"/>
      <c r="B1668" s="1587" t="s">
        <v>2168</v>
      </c>
      <c r="C1668" s="1588" t="s">
        <v>2368</v>
      </c>
      <c r="D1668" s="1600" t="s">
        <v>2460</v>
      </c>
      <c r="E1668" s="940" t="s">
        <v>691</v>
      </c>
      <c r="F1668" s="1591">
        <v>2</v>
      </c>
      <c r="G1668" s="1473"/>
      <c r="H1668" s="1501">
        <f t="shared" si="33"/>
        <v>0</v>
      </c>
    </row>
    <row r="1669" spans="1:8" ht="12.6" customHeight="1">
      <c r="A1669" s="1586"/>
      <c r="B1669" s="1587"/>
      <c r="C1669" s="2783"/>
      <c r="D1669" s="1600"/>
      <c r="E1669" s="940"/>
      <c r="F1669" s="1591"/>
      <c r="G1669" s="1473"/>
      <c r="H1669" s="1501" t="str">
        <f t="shared" si="33"/>
        <v/>
      </c>
    </row>
    <row r="1670" spans="1:8">
      <c r="A1670" s="1586"/>
      <c r="B1670" s="1271"/>
      <c r="C1670" s="1792"/>
      <c r="D1670" s="2830"/>
      <c r="E1670" s="882"/>
      <c r="F1670" s="1577"/>
      <c r="G1670" s="1476"/>
      <c r="H1670" s="902"/>
    </row>
    <row r="1671" spans="1:8">
      <c r="A1671" s="2333"/>
      <c r="B1671" s="822"/>
      <c r="C1671" s="1158"/>
      <c r="D1671" s="840"/>
      <c r="E1671" s="837"/>
      <c r="F1671" s="838"/>
      <c r="G1671" s="2748"/>
      <c r="H1671" s="2749"/>
    </row>
    <row r="1672" spans="1:8">
      <c r="A1672" s="2336"/>
      <c r="B1672" s="823"/>
      <c r="C1672" s="1159"/>
      <c r="D1672" s="774" t="s">
        <v>289</v>
      </c>
      <c r="E1672" s="426"/>
      <c r="F1672" s="24"/>
      <c r="G1672" s="1477"/>
      <c r="H1672" s="2750">
        <f>SUM(H1596:H1670)</f>
        <v>0</v>
      </c>
    </row>
    <row r="1673" spans="1:8">
      <c r="A1673" s="1586"/>
      <c r="B1673" s="1271"/>
      <c r="C1673" s="1155"/>
      <c r="D1673" s="2751" t="s">
        <v>290</v>
      </c>
      <c r="E1673" s="147"/>
      <c r="F1673" s="1577"/>
      <c r="G1673" s="1478"/>
      <c r="H1673" s="922">
        <f>H1672</f>
        <v>0</v>
      </c>
    </row>
    <row r="1674" spans="1:8" ht="12.6" customHeight="1">
      <c r="A1674" s="1586"/>
      <c r="B1674" s="1587"/>
      <c r="C1674" s="1588"/>
      <c r="D1674" s="1589"/>
      <c r="E1674" s="1590"/>
      <c r="F1674" s="1591"/>
      <c r="G1674" s="1473"/>
      <c r="H1674" s="2747"/>
    </row>
    <row r="1675" spans="1:8" ht="12.6" customHeight="1">
      <c r="A1675" s="2684">
        <f>$A$4</f>
        <v>19</v>
      </c>
      <c r="B1675" s="2684">
        <v>13.19</v>
      </c>
      <c r="C1675" s="2783"/>
      <c r="D1675" s="2723" t="s">
        <v>2397</v>
      </c>
      <c r="E1675" s="2726"/>
      <c r="F1675" s="1609"/>
      <c r="G1675" s="1473"/>
      <c r="H1675" s="2747"/>
    </row>
    <row r="1676" spans="1:8" ht="12.6" customHeight="1">
      <c r="A1676" s="1586"/>
      <c r="B1676" s="2684"/>
      <c r="C1676" s="2783"/>
      <c r="D1676" s="2723"/>
      <c r="E1676" s="2726"/>
      <c r="F1676" s="1609"/>
      <c r="G1676" s="1473"/>
      <c r="H1676" s="2747"/>
    </row>
    <row r="1677" spans="1:8" ht="26.4">
      <c r="A1677" s="1586"/>
      <c r="B1677" s="1587" t="s">
        <v>2162</v>
      </c>
      <c r="C1677" s="1588" t="s">
        <v>2368</v>
      </c>
      <c r="D1677" s="1595" t="s">
        <v>2461</v>
      </c>
      <c r="E1677" s="1590" t="s">
        <v>691</v>
      </c>
      <c r="F1677" s="2724">
        <v>3</v>
      </c>
      <c r="G1677" s="1473"/>
      <c r="H1677" s="1501">
        <f t="shared" ref="H1677:H1740" si="34">IF(E1677="","",ROUND(F1677*G1677,2))</f>
        <v>0</v>
      </c>
    </row>
    <row r="1678" spans="1:8" ht="12.6" customHeight="1">
      <c r="A1678" s="1586"/>
      <c r="B1678" s="1593"/>
      <c r="C1678" s="1603"/>
      <c r="D1678" s="1595"/>
      <c r="E1678" s="1590"/>
      <c r="F1678" s="2730"/>
      <c r="G1678" s="1473"/>
      <c r="H1678" s="1501" t="str">
        <f t="shared" si="34"/>
        <v/>
      </c>
    </row>
    <row r="1679" spans="1:8" ht="26.4">
      <c r="A1679" s="1586"/>
      <c r="B1679" s="1587" t="s">
        <v>2164</v>
      </c>
      <c r="C1679" s="1588" t="s">
        <v>2368</v>
      </c>
      <c r="D1679" s="1595" t="s">
        <v>2462</v>
      </c>
      <c r="E1679" s="1590" t="s">
        <v>691</v>
      </c>
      <c r="F1679" s="1597">
        <v>1</v>
      </c>
      <c r="G1679" s="1473"/>
      <c r="H1679" s="1501">
        <f t="shared" si="34"/>
        <v>0</v>
      </c>
    </row>
    <row r="1680" spans="1:8" ht="12.6" customHeight="1">
      <c r="A1680" s="1586"/>
      <c r="B1680" s="1593"/>
      <c r="C1680" s="1603"/>
      <c r="D1680" s="1589"/>
      <c r="E1680" s="1590"/>
      <c r="F1680" s="1597"/>
      <c r="G1680" s="1473"/>
      <c r="H1680" s="1501" t="str">
        <f t="shared" si="34"/>
        <v/>
      </c>
    </row>
    <row r="1681" spans="1:8" ht="12.6" customHeight="1">
      <c r="A1681" s="2684">
        <f>$A$4</f>
        <v>19</v>
      </c>
      <c r="B1681" s="2684">
        <v>13.2</v>
      </c>
      <c r="C1681" s="1603"/>
      <c r="D1681" s="2723" t="s">
        <v>2463</v>
      </c>
      <c r="E1681" s="1590"/>
      <c r="F1681" s="1604"/>
      <c r="G1681" s="1473"/>
      <c r="H1681" s="1501" t="str">
        <f t="shared" si="34"/>
        <v/>
      </c>
    </row>
    <row r="1682" spans="1:8" ht="12.6" customHeight="1">
      <c r="A1682" s="1586"/>
      <c r="B1682" s="2684"/>
      <c r="C1682" s="1603"/>
      <c r="D1682" s="2723"/>
      <c r="E1682" s="1590"/>
      <c r="F1682" s="1604"/>
      <c r="G1682" s="1473"/>
      <c r="H1682" s="1501" t="str">
        <f t="shared" si="34"/>
        <v/>
      </c>
    </row>
    <row r="1683" spans="1:8" ht="12.6" customHeight="1">
      <c r="A1683" s="1586"/>
      <c r="B1683" s="1587" t="s">
        <v>2162</v>
      </c>
      <c r="C1683" s="1588" t="s">
        <v>2368</v>
      </c>
      <c r="D1683" s="1595" t="s">
        <v>2464</v>
      </c>
      <c r="E1683" s="1596" t="s">
        <v>691</v>
      </c>
      <c r="F1683" s="1609">
        <v>1</v>
      </c>
      <c r="G1683" s="1473"/>
      <c r="H1683" s="1501">
        <f t="shared" si="34"/>
        <v>0</v>
      </c>
    </row>
    <row r="1684" spans="1:8" ht="12.6" customHeight="1">
      <c r="A1684" s="1586"/>
      <c r="B1684" s="1604"/>
      <c r="C1684" s="1594"/>
      <c r="D1684" s="2722"/>
      <c r="E1684" s="2672"/>
      <c r="F1684" s="1591"/>
      <c r="G1684" s="1473"/>
      <c r="H1684" s="1501" t="str">
        <f t="shared" si="34"/>
        <v/>
      </c>
    </row>
    <row r="1685" spans="1:8" ht="12.6" customHeight="1">
      <c r="A1685" s="2684">
        <f>$A$4</f>
        <v>19</v>
      </c>
      <c r="B1685" s="2684">
        <v>13.21</v>
      </c>
      <c r="C1685" s="1594"/>
      <c r="D1685" s="2723" t="s">
        <v>2399</v>
      </c>
      <c r="E1685" s="2672"/>
      <c r="F1685" s="1591"/>
      <c r="G1685" s="1473"/>
      <c r="H1685" s="1501" t="str">
        <f t="shared" si="34"/>
        <v/>
      </c>
    </row>
    <row r="1686" spans="1:8" ht="12.6" customHeight="1">
      <c r="A1686" s="1586"/>
      <c r="B1686" s="2807"/>
      <c r="C1686" s="1594"/>
      <c r="D1686" s="2723"/>
      <c r="E1686" s="2672"/>
      <c r="F1686" s="1591"/>
      <c r="G1686" s="1473"/>
      <c r="H1686" s="1501" t="str">
        <f t="shared" si="34"/>
        <v/>
      </c>
    </row>
    <row r="1687" spans="1:8" ht="26.4">
      <c r="A1687" s="1586"/>
      <c r="B1687" s="1604" t="s">
        <v>2162</v>
      </c>
      <c r="C1687" s="1588" t="s">
        <v>2368</v>
      </c>
      <c r="D1687" s="1595" t="s">
        <v>2465</v>
      </c>
      <c r="E1687" s="1596" t="s">
        <v>691</v>
      </c>
      <c r="F1687" s="1591">
        <v>2</v>
      </c>
      <c r="G1687" s="1473"/>
      <c r="H1687" s="1501">
        <f t="shared" si="34"/>
        <v>0</v>
      </c>
    </row>
    <row r="1688" spans="1:8" ht="12.6" customHeight="1">
      <c r="A1688" s="1586"/>
      <c r="B1688" s="2807"/>
      <c r="C1688" s="2738"/>
      <c r="D1688" s="1595"/>
      <c r="E1688" s="2672"/>
      <c r="F1688" s="1607"/>
      <c r="G1688" s="1473"/>
      <c r="H1688" s="1501" t="str">
        <f t="shared" si="34"/>
        <v/>
      </c>
    </row>
    <row r="1689" spans="1:8">
      <c r="A1689" s="2684">
        <f>$A$4</f>
        <v>19</v>
      </c>
      <c r="B1689" s="2684">
        <v>13.22</v>
      </c>
      <c r="C1689" s="1588"/>
      <c r="D1689" s="2723" t="s">
        <v>2401</v>
      </c>
      <c r="E1689" s="2726"/>
      <c r="F1689" s="1607"/>
      <c r="G1689" s="1473"/>
      <c r="H1689" s="1501" t="str">
        <f t="shared" si="34"/>
        <v/>
      </c>
    </row>
    <row r="1690" spans="1:8" ht="12.6" customHeight="1">
      <c r="A1690" s="1586"/>
      <c r="B1690" s="2684"/>
      <c r="C1690" s="1588"/>
      <c r="D1690" s="2723"/>
      <c r="E1690" s="2726"/>
      <c r="F1690" s="1607"/>
      <c r="G1690" s="1473"/>
      <c r="H1690" s="1501" t="str">
        <f t="shared" si="34"/>
        <v/>
      </c>
    </row>
    <row r="1691" spans="1:8">
      <c r="A1691" s="1586"/>
      <c r="B1691" s="1587"/>
      <c r="C1691" s="1588"/>
      <c r="D1691" s="1595" t="s">
        <v>2402</v>
      </c>
      <c r="E1691" s="2726"/>
      <c r="F1691" s="1607"/>
      <c r="G1691" s="1473"/>
      <c r="H1691" s="1501" t="str">
        <f t="shared" si="34"/>
        <v/>
      </c>
    </row>
    <row r="1692" spans="1:8" ht="12.6" customHeight="1">
      <c r="A1692" s="1586"/>
      <c r="B1692" s="1593"/>
      <c r="C1692" s="1603"/>
      <c r="D1692" s="1595"/>
      <c r="E1692" s="2726"/>
      <c r="F1692" s="1609"/>
      <c r="G1692" s="1473"/>
      <c r="H1692" s="1501" t="str">
        <f t="shared" si="34"/>
        <v/>
      </c>
    </row>
    <row r="1693" spans="1:8" ht="15.6">
      <c r="A1693" s="1586"/>
      <c r="B1693" s="1587" t="s">
        <v>2162</v>
      </c>
      <c r="C1693" s="1588" t="s">
        <v>2368</v>
      </c>
      <c r="D1693" s="1595" t="s">
        <v>2403</v>
      </c>
      <c r="E1693" s="1590" t="s">
        <v>561</v>
      </c>
      <c r="F1693" s="1609">
        <v>100</v>
      </c>
      <c r="G1693" s="1473"/>
      <c r="H1693" s="1501">
        <f t="shared" si="34"/>
        <v>0</v>
      </c>
    </row>
    <row r="1694" spans="1:8">
      <c r="A1694" s="1586"/>
      <c r="B1694" s="1587"/>
      <c r="C1694" s="1588"/>
      <c r="D1694" s="1595"/>
      <c r="E1694" s="1590"/>
      <c r="F1694" s="1609"/>
      <c r="G1694" s="1473"/>
      <c r="H1694" s="1501" t="str">
        <f t="shared" si="34"/>
        <v/>
      </c>
    </row>
    <row r="1695" spans="1:8" ht="15.6">
      <c r="A1695" s="1586"/>
      <c r="B1695" s="2703" t="s">
        <v>2164</v>
      </c>
      <c r="C1695" s="1588" t="s">
        <v>2368</v>
      </c>
      <c r="D1695" s="1595" t="s">
        <v>2404</v>
      </c>
      <c r="E1695" s="1590" t="s">
        <v>561</v>
      </c>
      <c r="F1695" s="1609">
        <v>50</v>
      </c>
      <c r="G1695" s="1473"/>
      <c r="H1695" s="1501">
        <f t="shared" si="34"/>
        <v>0</v>
      </c>
    </row>
    <row r="1696" spans="1:8" ht="12.6" customHeight="1">
      <c r="A1696" s="1586"/>
      <c r="B1696" s="2809"/>
      <c r="C1696" s="2808"/>
      <c r="D1696" s="1595"/>
      <c r="E1696" s="1590"/>
      <c r="F1696" s="1609"/>
      <c r="G1696" s="1473"/>
      <c r="H1696" s="1501" t="str">
        <f t="shared" si="34"/>
        <v/>
      </c>
    </row>
    <row r="1697" spans="1:8">
      <c r="A1697" s="2684">
        <f>$A$4</f>
        <v>19</v>
      </c>
      <c r="B1697" s="2684">
        <v>13.23</v>
      </c>
      <c r="C1697" s="2808"/>
      <c r="D1697" s="2723" t="s">
        <v>2405</v>
      </c>
      <c r="E1697" s="1590"/>
      <c r="F1697" s="1607"/>
      <c r="G1697" s="1473"/>
      <c r="H1697" s="1501" t="str">
        <f t="shared" si="34"/>
        <v/>
      </c>
    </row>
    <row r="1698" spans="1:8" ht="12.6" customHeight="1">
      <c r="A1698" s="1586"/>
      <c r="B1698" s="2684"/>
      <c r="C1698" s="2808"/>
      <c r="D1698" s="2723"/>
      <c r="E1698" s="1590"/>
      <c r="F1698" s="1607"/>
      <c r="G1698" s="1473"/>
      <c r="H1698" s="1501" t="str">
        <f t="shared" si="34"/>
        <v/>
      </c>
    </row>
    <row r="1699" spans="1:8" ht="12.6" customHeight="1">
      <c r="A1699" s="1586"/>
      <c r="B1699" s="2809"/>
      <c r="C1699" s="1588" t="s">
        <v>2368</v>
      </c>
      <c r="D1699" s="1595" t="s">
        <v>2466</v>
      </c>
      <c r="E1699" s="2795"/>
      <c r="F1699" s="1607"/>
      <c r="G1699" s="1473"/>
      <c r="H1699" s="1501" t="str">
        <f t="shared" si="34"/>
        <v/>
      </c>
    </row>
    <row r="1700" spans="1:8" ht="12.6" customHeight="1">
      <c r="A1700" s="1586"/>
      <c r="B1700" s="2809"/>
      <c r="C1700" s="2808"/>
      <c r="D1700" s="1595"/>
      <c r="E1700" s="2795"/>
      <c r="F1700" s="1607"/>
      <c r="G1700" s="1473"/>
      <c r="H1700" s="1501" t="str">
        <f t="shared" si="34"/>
        <v/>
      </c>
    </row>
    <row r="1701" spans="1:8" ht="15.6">
      <c r="A1701" s="1586"/>
      <c r="B1701" s="2703" t="s">
        <v>2162</v>
      </c>
      <c r="C1701" s="1588" t="s">
        <v>2368</v>
      </c>
      <c r="D1701" s="1595" t="s">
        <v>2404</v>
      </c>
      <c r="E1701" s="2726" t="s">
        <v>561</v>
      </c>
      <c r="F1701" s="1609">
        <v>150</v>
      </c>
      <c r="G1701" s="1473"/>
      <c r="H1701" s="1501">
        <f t="shared" si="34"/>
        <v>0</v>
      </c>
    </row>
    <row r="1702" spans="1:8" ht="12.6" customHeight="1">
      <c r="A1702" s="1586"/>
      <c r="B1702" s="2809"/>
      <c r="C1702" s="2808"/>
      <c r="D1702" s="1595"/>
      <c r="E1702" s="2795"/>
      <c r="F1702" s="1607"/>
      <c r="G1702" s="1473"/>
      <c r="H1702" s="1501" t="str">
        <f t="shared" si="34"/>
        <v/>
      </c>
    </row>
    <row r="1703" spans="1:8" ht="12.6" customHeight="1">
      <c r="A1703" s="2684">
        <f>$A$4</f>
        <v>19</v>
      </c>
      <c r="B1703" s="2684">
        <v>14</v>
      </c>
      <c r="C1703" s="1599"/>
      <c r="D1703" s="937" t="s">
        <v>891</v>
      </c>
      <c r="E1703" s="2672"/>
      <c r="F1703" s="2759"/>
      <c r="G1703" s="1472"/>
      <c r="H1703" s="1501" t="str">
        <f t="shared" si="34"/>
        <v/>
      </c>
    </row>
    <row r="1704" spans="1:8" ht="12.6" customHeight="1">
      <c r="A1704" s="1586"/>
      <c r="B1704" s="2684"/>
      <c r="C1704" s="1599"/>
      <c r="D1704" s="2722"/>
      <c r="E1704" s="2672"/>
      <c r="F1704" s="2759"/>
      <c r="G1704" s="1472"/>
      <c r="H1704" s="1501" t="str">
        <f t="shared" si="34"/>
        <v/>
      </c>
    </row>
    <row r="1705" spans="1:8" ht="12.6" customHeight="1">
      <c r="A1705" s="2684">
        <f>$A$4</f>
        <v>19</v>
      </c>
      <c r="B1705" s="2684">
        <v>14.1</v>
      </c>
      <c r="C1705" s="1594"/>
      <c r="D1705" s="937" t="s">
        <v>2253</v>
      </c>
      <c r="E1705" s="2732"/>
      <c r="F1705" s="2733"/>
      <c r="G1705" s="1472"/>
      <c r="H1705" s="1501" t="str">
        <f t="shared" si="34"/>
        <v/>
      </c>
    </row>
    <row r="1706" spans="1:8" ht="12.6" customHeight="1">
      <c r="A1706" s="1586"/>
      <c r="B1706" s="2684"/>
      <c r="C1706" s="1594"/>
      <c r="D1706" s="937"/>
      <c r="E1706" s="2732"/>
      <c r="F1706" s="2733"/>
      <c r="G1706" s="1472"/>
      <c r="H1706" s="1501" t="str">
        <f t="shared" si="34"/>
        <v/>
      </c>
    </row>
    <row r="1707" spans="1:8" ht="50.1" customHeight="1">
      <c r="A1707" s="1586"/>
      <c r="B1707" s="1593" t="s">
        <v>2162</v>
      </c>
      <c r="C1707" s="1594" t="s">
        <v>2254</v>
      </c>
      <c r="D1707" s="2746" t="s">
        <v>2467</v>
      </c>
      <c r="E1707" s="1596" t="s">
        <v>976</v>
      </c>
      <c r="F1707" s="1597">
        <v>1</v>
      </c>
      <c r="G1707" s="1473"/>
      <c r="H1707" s="1501">
        <f t="shared" si="34"/>
        <v>0</v>
      </c>
    </row>
    <row r="1708" spans="1:8" ht="12.6" customHeight="1">
      <c r="A1708" s="1586"/>
      <c r="B1708" s="1593"/>
      <c r="C1708" s="2684"/>
      <c r="D1708" s="1589"/>
      <c r="E1708" s="2732"/>
      <c r="F1708" s="2730"/>
      <c r="G1708" s="1473"/>
      <c r="H1708" s="1501" t="str">
        <f t="shared" si="34"/>
        <v/>
      </c>
    </row>
    <row r="1709" spans="1:8" ht="12.6" customHeight="1">
      <c r="A1709" s="2684">
        <f>$A$4</f>
        <v>19</v>
      </c>
      <c r="B1709" s="2684">
        <v>14.2</v>
      </c>
      <c r="C1709" s="1594"/>
      <c r="D1709" s="937" t="s">
        <v>2211</v>
      </c>
      <c r="E1709" s="2732"/>
      <c r="F1709" s="2733"/>
      <c r="G1709" s="1473"/>
      <c r="H1709" s="1501" t="str">
        <f t="shared" si="34"/>
        <v/>
      </c>
    </row>
    <row r="1710" spans="1:8" ht="12.6" customHeight="1">
      <c r="A1710" s="1586"/>
      <c r="B1710" s="2684"/>
      <c r="C1710" s="1594"/>
      <c r="D1710" s="937"/>
      <c r="E1710" s="2732"/>
      <c r="F1710" s="2733"/>
      <c r="G1710" s="1473"/>
      <c r="H1710" s="1501" t="str">
        <f t="shared" si="34"/>
        <v/>
      </c>
    </row>
    <row r="1711" spans="1:8" ht="39.6">
      <c r="A1711" s="1586"/>
      <c r="B1711" s="1593"/>
      <c r="C1711" s="1594" t="s">
        <v>2175</v>
      </c>
      <c r="D1711" s="1595" t="s">
        <v>2212</v>
      </c>
      <c r="E1711" s="2732"/>
      <c r="F1711" s="2733"/>
      <c r="G1711" s="1473"/>
      <c r="H1711" s="1501" t="str">
        <f t="shared" si="34"/>
        <v/>
      </c>
    </row>
    <row r="1712" spans="1:8" ht="12.6" customHeight="1">
      <c r="A1712" s="1586"/>
      <c r="B1712" s="1593"/>
      <c r="C1712" s="1594"/>
      <c r="D1712" s="1589"/>
      <c r="E1712" s="2734"/>
      <c r="F1712" s="1597"/>
      <c r="G1712" s="1473"/>
      <c r="H1712" s="1501" t="str">
        <f t="shared" si="34"/>
        <v/>
      </c>
    </row>
    <row r="1713" spans="1:8" ht="15.6">
      <c r="A1713" s="1586"/>
      <c r="B1713" s="1593" t="s">
        <v>2162</v>
      </c>
      <c r="C1713" s="1594" t="s">
        <v>2175</v>
      </c>
      <c r="D1713" s="1589" t="s">
        <v>2468</v>
      </c>
      <c r="E1713" s="2734" t="s">
        <v>561</v>
      </c>
      <c r="F1713" s="1604">
        <v>84</v>
      </c>
      <c r="G1713" s="1473"/>
      <c r="H1713" s="1501">
        <f t="shared" si="34"/>
        <v>0</v>
      </c>
    </row>
    <row r="1714" spans="1:8" ht="12.6" customHeight="1">
      <c r="A1714" s="1586"/>
      <c r="B1714" s="1593"/>
      <c r="C1714" s="1594"/>
      <c r="D1714" s="1589"/>
      <c r="E1714" s="2734"/>
      <c r="F1714" s="1604"/>
      <c r="G1714" s="1473"/>
      <c r="H1714" s="1501" t="str">
        <f t="shared" si="34"/>
        <v/>
      </c>
    </row>
    <row r="1715" spans="1:8" ht="15.6">
      <c r="A1715" s="1586"/>
      <c r="B1715" s="1593" t="s">
        <v>2164</v>
      </c>
      <c r="C1715" s="1594" t="s">
        <v>2175</v>
      </c>
      <c r="D1715" s="1589" t="s">
        <v>2469</v>
      </c>
      <c r="E1715" s="2734" t="s">
        <v>561</v>
      </c>
      <c r="F1715" s="1597">
        <v>270</v>
      </c>
      <c r="G1715" s="1473"/>
      <c r="H1715" s="1501">
        <f t="shared" si="34"/>
        <v>0</v>
      </c>
    </row>
    <row r="1716" spans="1:8" ht="12.6" customHeight="1">
      <c r="A1716" s="1586"/>
      <c r="B1716" s="1593"/>
      <c r="C1716" s="1594"/>
      <c r="D1716" s="1589"/>
      <c r="E1716" s="2734"/>
      <c r="F1716" s="1597"/>
      <c r="G1716" s="1473"/>
      <c r="H1716" s="1501" t="str">
        <f t="shared" si="34"/>
        <v/>
      </c>
    </row>
    <row r="1717" spans="1:8" ht="15.6">
      <c r="A1717" s="1586"/>
      <c r="B1717" s="1593" t="s">
        <v>2166</v>
      </c>
      <c r="C1717" s="1594" t="s">
        <v>2175</v>
      </c>
      <c r="D1717" s="1589" t="s">
        <v>2470</v>
      </c>
      <c r="E1717" s="2734" t="s">
        <v>561</v>
      </c>
      <c r="F1717" s="1597">
        <v>27</v>
      </c>
      <c r="G1717" s="1473"/>
      <c r="H1717" s="1501">
        <f t="shared" si="34"/>
        <v>0</v>
      </c>
    </row>
    <row r="1718" spans="1:8" ht="12.6" customHeight="1">
      <c r="A1718" s="1586"/>
      <c r="B1718" s="1593"/>
      <c r="C1718" s="1594"/>
      <c r="D1718" s="1589"/>
      <c r="E1718" s="2734"/>
      <c r="F1718" s="1597"/>
      <c r="G1718" s="1473"/>
      <c r="H1718" s="1501" t="str">
        <f t="shared" si="34"/>
        <v/>
      </c>
    </row>
    <row r="1719" spans="1:8" ht="15.6">
      <c r="A1719" s="1586"/>
      <c r="B1719" s="1593" t="s">
        <v>2168</v>
      </c>
      <c r="C1719" s="1594" t="s">
        <v>2175</v>
      </c>
      <c r="D1719" s="1589" t="s">
        <v>2471</v>
      </c>
      <c r="E1719" s="2734" t="s">
        <v>561</v>
      </c>
      <c r="F1719" s="1604">
        <v>80</v>
      </c>
      <c r="G1719" s="1473"/>
      <c r="H1719" s="1501">
        <f t="shared" si="34"/>
        <v>0</v>
      </c>
    </row>
    <row r="1720" spans="1:8" ht="12.6" customHeight="1">
      <c r="A1720" s="1586"/>
      <c r="B1720" s="1593"/>
      <c r="C1720" s="1594"/>
      <c r="D1720" s="1589"/>
      <c r="E1720" s="2734"/>
      <c r="F1720" s="1604"/>
      <c r="G1720" s="1473"/>
      <c r="H1720" s="1501" t="str">
        <f t="shared" si="34"/>
        <v/>
      </c>
    </row>
    <row r="1721" spans="1:8" ht="15.6">
      <c r="A1721" s="1586"/>
      <c r="B1721" s="1593" t="s">
        <v>2171</v>
      </c>
      <c r="C1721" s="1594" t="s">
        <v>2175</v>
      </c>
      <c r="D1721" s="1589" t="s">
        <v>2472</v>
      </c>
      <c r="E1721" s="2734" t="s">
        <v>561</v>
      </c>
      <c r="F1721" s="1597">
        <v>200</v>
      </c>
      <c r="G1721" s="1473"/>
      <c r="H1721" s="1501">
        <f t="shared" si="34"/>
        <v>0</v>
      </c>
    </row>
    <row r="1722" spans="1:8" ht="12.6" customHeight="1">
      <c r="A1722" s="1586"/>
      <c r="B1722" s="1593"/>
      <c r="C1722" s="1594"/>
      <c r="D1722" s="1589"/>
      <c r="E1722" s="2734"/>
      <c r="F1722" s="1597"/>
      <c r="G1722" s="1473"/>
      <c r="H1722" s="1501" t="str">
        <f t="shared" si="34"/>
        <v/>
      </c>
    </row>
    <row r="1723" spans="1:8" ht="15.6">
      <c r="A1723" s="1586"/>
      <c r="B1723" s="1593" t="s">
        <v>2174</v>
      </c>
      <c r="C1723" s="1594" t="s">
        <v>2175</v>
      </c>
      <c r="D1723" s="1589" t="s">
        <v>2473</v>
      </c>
      <c r="E1723" s="2734" t="s">
        <v>561</v>
      </c>
      <c r="F1723" s="1597">
        <v>200</v>
      </c>
      <c r="G1723" s="1473"/>
      <c r="H1723" s="1501">
        <f t="shared" si="34"/>
        <v>0</v>
      </c>
    </row>
    <row r="1724" spans="1:8" ht="12.6" customHeight="1">
      <c r="A1724" s="1586"/>
      <c r="B1724" s="1593"/>
      <c r="C1724" s="1594"/>
      <c r="D1724" s="1589"/>
      <c r="E1724" s="2734"/>
      <c r="F1724" s="1597"/>
      <c r="G1724" s="1473"/>
      <c r="H1724" s="1501" t="str">
        <f t="shared" si="34"/>
        <v/>
      </c>
    </row>
    <row r="1725" spans="1:8" ht="12.6" customHeight="1">
      <c r="A1725" s="2684">
        <f>$A$4</f>
        <v>19</v>
      </c>
      <c r="B1725" s="2684">
        <v>14.3</v>
      </c>
      <c r="C1725" s="1594"/>
      <c r="D1725" s="2823" t="s">
        <v>2216</v>
      </c>
      <c r="E1725" s="905"/>
      <c r="F1725" s="1597"/>
      <c r="G1725" s="1473"/>
      <c r="H1725" s="1501" t="str">
        <f t="shared" si="34"/>
        <v/>
      </c>
    </row>
    <row r="1726" spans="1:8" ht="12.6" customHeight="1">
      <c r="A1726" s="1586"/>
      <c r="B1726" s="2684"/>
      <c r="C1726" s="1594"/>
      <c r="D1726" s="2722"/>
      <c r="E1726" s="2734"/>
      <c r="F1726" s="1597"/>
      <c r="G1726" s="1473"/>
      <c r="H1726" s="1501" t="str">
        <f t="shared" si="34"/>
        <v/>
      </c>
    </row>
    <row r="1727" spans="1:8" ht="26.4">
      <c r="A1727" s="1586"/>
      <c r="B1727" s="1593"/>
      <c r="C1727" s="1594" t="s">
        <v>2175</v>
      </c>
      <c r="D1727" s="1595" t="s">
        <v>2197</v>
      </c>
      <c r="E1727" s="2734"/>
      <c r="F1727" s="1597"/>
      <c r="G1727" s="1473"/>
      <c r="H1727" s="1501" t="str">
        <f t="shared" si="34"/>
        <v/>
      </c>
    </row>
    <row r="1728" spans="1:8">
      <c r="A1728" s="1586"/>
      <c r="B1728" s="1593"/>
      <c r="C1728" s="1594"/>
      <c r="D1728" s="904"/>
      <c r="E1728" s="2734"/>
      <c r="F1728" s="1604"/>
      <c r="G1728" s="1473"/>
      <c r="H1728" s="1501" t="str">
        <f t="shared" si="34"/>
        <v/>
      </c>
    </row>
    <row r="1729" spans="1:8" ht="15.6">
      <c r="A1729" s="1586"/>
      <c r="B1729" s="1593" t="s">
        <v>2162</v>
      </c>
      <c r="C1729" s="1594" t="s">
        <v>2175</v>
      </c>
      <c r="D1729" s="1589" t="s">
        <v>2468</v>
      </c>
      <c r="E1729" s="2734" t="s">
        <v>691</v>
      </c>
      <c r="F1729" s="1604">
        <v>12</v>
      </c>
      <c r="G1729" s="1473"/>
      <c r="H1729" s="1501">
        <f t="shared" si="34"/>
        <v>0</v>
      </c>
    </row>
    <row r="1730" spans="1:8">
      <c r="A1730" s="1586"/>
      <c r="B1730" s="1593"/>
      <c r="C1730" s="1594"/>
      <c r="D1730" s="1589"/>
      <c r="E1730" s="2734"/>
      <c r="F1730" s="1604"/>
      <c r="G1730" s="1473"/>
      <c r="H1730" s="1501" t="str">
        <f t="shared" si="34"/>
        <v/>
      </c>
    </row>
    <row r="1731" spans="1:8" ht="15.6">
      <c r="A1731" s="1586"/>
      <c r="B1731" s="1593" t="s">
        <v>2164</v>
      </c>
      <c r="C1731" s="1594" t="s">
        <v>2175</v>
      </c>
      <c r="D1731" s="1589" t="s">
        <v>2469</v>
      </c>
      <c r="E1731" s="2734" t="s">
        <v>691</v>
      </c>
      <c r="F1731" s="1604">
        <v>6</v>
      </c>
      <c r="G1731" s="1473"/>
      <c r="H1731" s="1501">
        <f t="shared" si="34"/>
        <v>0</v>
      </c>
    </row>
    <row r="1732" spans="1:8">
      <c r="A1732" s="1586"/>
      <c r="B1732" s="1593"/>
      <c r="C1732" s="1594"/>
      <c r="D1732" s="1589"/>
      <c r="E1732" s="2734"/>
      <c r="F1732" s="1604"/>
      <c r="G1732" s="1473"/>
      <c r="H1732" s="1501" t="str">
        <f t="shared" si="34"/>
        <v/>
      </c>
    </row>
    <row r="1733" spans="1:8" ht="15.6">
      <c r="A1733" s="1586"/>
      <c r="B1733" s="1593" t="s">
        <v>2166</v>
      </c>
      <c r="C1733" s="1594" t="s">
        <v>2175</v>
      </c>
      <c r="D1733" s="1589" t="s">
        <v>2470</v>
      </c>
      <c r="E1733" s="2734" t="s">
        <v>691</v>
      </c>
      <c r="F1733" s="1604">
        <v>8</v>
      </c>
      <c r="G1733" s="1473"/>
      <c r="H1733" s="1501">
        <f t="shared" si="34"/>
        <v>0</v>
      </c>
    </row>
    <row r="1734" spans="1:8">
      <c r="A1734" s="1586"/>
      <c r="B1734" s="1593"/>
      <c r="C1734" s="1594"/>
      <c r="D1734" s="1589"/>
      <c r="E1734" s="2734"/>
      <c r="F1734" s="1604"/>
      <c r="G1734" s="1473"/>
      <c r="H1734" s="1501" t="str">
        <f t="shared" si="34"/>
        <v/>
      </c>
    </row>
    <row r="1735" spans="1:8" ht="15.6">
      <c r="A1735" s="1586"/>
      <c r="B1735" s="1593" t="s">
        <v>2168</v>
      </c>
      <c r="C1735" s="1594" t="s">
        <v>2175</v>
      </c>
      <c r="D1735" s="1589" t="s">
        <v>2471</v>
      </c>
      <c r="E1735" s="2734" t="s">
        <v>691</v>
      </c>
      <c r="F1735" s="1604">
        <v>16</v>
      </c>
      <c r="G1735" s="1473"/>
      <c r="H1735" s="1501">
        <f t="shared" si="34"/>
        <v>0</v>
      </c>
    </row>
    <row r="1736" spans="1:8">
      <c r="A1736" s="1586"/>
      <c r="B1736" s="1593"/>
      <c r="C1736" s="1594"/>
      <c r="D1736" s="1589"/>
      <c r="E1736" s="2734"/>
      <c r="F1736" s="1604"/>
      <c r="G1736" s="1473"/>
      <c r="H1736" s="1501" t="str">
        <f t="shared" si="34"/>
        <v/>
      </c>
    </row>
    <row r="1737" spans="1:8" ht="15.6">
      <c r="A1737" s="1586"/>
      <c r="B1737" s="1593" t="s">
        <v>2171</v>
      </c>
      <c r="C1737" s="1594" t="s">
        <v>2175</v>
      </c>
      <c r="D1737" s="1589" t="s">
        <v>2472</v>
      </c>
      <c r="E1737" s="2734" t="s">
        <v>691</v>
      </c>
      <c r="F1737" s="1597">
        <v>2</v>
      </c>
      <c r="G1737" s="1473"/>
      <c r="H1737" s="1501">
        <f t="shared" si="34"/>
        <v>0</v>
      </c>
    </row>
    <row r="1738" spans="1:8">
      <c r="A1738" s="1586"/>
      <c r="B1738" s="1593"/>
      <c r="C1738" s="1594"/>
      <c r="D1738" s="1589"/>
      <c r="E1738" s="2734"/>
      <c r="F1738" s="1597"/>
      <c r="G1738" s="1473"/>
      <c r="H1738" s="1501" t="str">
        <f t="shared" si="34"/>
        <v/>
      </c>
    </row>
    <row r="1739" spans="1:8" ht="15.6">
      <c r="A1739" s="1586"/>
      <c r="B1739" s="1593" t="s">
        <v>2174</v>
      </c>
      <c r="C1739" s="1594" t="s">
        <v>2175</v>
      </c>
      <c r="D1739" s="1589" t="s">
        <v>2473</v>
      </c>
      <c r="E1739" s="2734" t="s">
        <v>691</v>
      </c>
      <c r="F1739" s="1604">
        <v>2</v>
      </c>
      <c r="G1739" s="1473"/>
      <c r="H1739" s="1501">
        <f t="shared" si="34"/>
        <v>0</v>
      </c>
    </row>
    <row r="1740" spans="1:8">
      <c r="A1740" s="1586"/>
      <c r="B1740" s="1593"/>
      <c r="C1740" s="1594"/>
      <c r="D1740" s="1589"/>
      <c r="E1740" s="2734"/>
      <c r="F1740" s="1604"/>
      <c r="G1740" s="1473"/>
      <c r="H1740" s="1501" t="str">
        <f t="shared" si="34"/>
        <v/>
      </c>
    </row>
    <row r="1741" spans="1:8">
      <c r="A1741" s="1586"/>
      <c r="B1741" s="1593"/>
      <c r="C1741" s="1594"/>
      <c r="D1741" s="1589"/>
      <c r="E1741" s="2734"/>
      <c r="F1741" s="1604"/>
      <c r="G1741" s="1473"/>
      <c r="H1741" s="1592"/>
    </row>
    <row r="1742" spans="1:8">
      <c r="A1742" s="1586"/>
      <c r="B1742" s="1593"/>
      <c r="C1742" s="1594"/>
      <c r="D1742" s="1589"/>
      <c r="E1742" s="2734"/>
      <c r="F1742" s="1597"/>
      <c r="G1742" s="1473"/>
      <c r="H1742" s="2747"/>
    </row>
    <row r="1743" spans="1:8">
      <c r="A1743" s="1586"/>
      <c r="B1743" s="2697"/>
      <c r="C1743" s="1606"/>
      <c r="D1743" s="1589"/>
      <c r="E1743" s="2766"/>
      <c r="F1743" s="2767"/>
      <c r="G1743" s="1473"/>
      <c r="H1743" s="2747"/>
    </row>
    <row r="1744" spans="1:8">
      <c r="A1744" s="2333"/>
      <c r="B1744" s="822"/>
      <c r="C1744" s="1158"/>
      <c r="D1744" s="840"/>
      <c r="E1744" s="837"/>
      <c r="F1744" s="838"/>
      <c r="G1744" s="2748"/>
      <c r="H1744" s="2749"/>
    </row>
    <row r="1745" spans="1:8">
      <c r="A1745" s="2336"/>
      <c r="B1745" s="823"/>
      <c r="C1745" s="1159"/>
      <c r="D1745" s="774" t="s">
        <v>289</v>
      </c>
      <c r="E1745" s="426"/>
      <c r="F1745" s="24"/>
      <c r="G1745" s="1477"/>
      <c r="H1745" s="2750">
        <f>SUM(H1673:H1743)</f>
        <v>0</v>
      </c>
    </row>
    <row r="1746" spans="1:8">
      <c r="A1746" s="1586"/>
      <c r="B1746" s="1271"/>
      <c r="C1746" s="2797"/>
      <c r="D1746" s="2754" t="s">
        <v>290</v>
      </c>
      <c r="E1746" s="147"/>
      <c r="F1746" s="1577"/>
      <c r="G1746" s="1478"/>
      <c r="H1746" s="922">
        <f>H1745</f>
        <v>0</v>
      </c>
    </row>
    <row r="1747" spans="1:8">
      <c r="A1747" s="1586"/>
      <c r="B1747" s="1271"/>
      <c r="C1747" s="1792"/>
      <c r="D1747" s="2751"/>
      <c r="E1747" s="147"/>
      <c r="F1747" s="1577"/>
      <c r="G1747" s="1478"/>
      <c r="H1747" s="897"/>
    </row>
    <row r="1748" spans="1:8">
      <c r="A1748" s="2684">
        <f>$A$4</f>
        <v>19</v>
      </c>
      <c r="B1748" s="2684">
        <v>14.4</v>
      </c>
      <c r="C1748" s="1603"/>
      <c r="D1748" s="2823" t="s">
        <v>2234</v>
      </c>
      <c r="E1748" s="941"/>
      <c r="F1748" s="2765"/>
      <c r="G1748" s="1473"/>
      <c r="H1748" s="2747"/>
    </row>
    <row r="1749" spans="1:8">
      <c r="A1749" s="1586"/>
      <c r="B1749" s="2684"/>
      <c r="C1749" s="1603"/>
      <c r="D1749" s="2823"/>
      <c r="E1749" s="941"/>
      <c r="F1749" s="2765"/>
      <c r="G1749" s="1473"/>
      <c r="H1749" s="2747"/>
    </row>
    <row r="1750" spans="1:8" ht="39.6">
      <c r="A1750" s="1586"/>
      <c r="B1750" s="2697"/>
      <c r="C1750" s="1606"/>
      <c r="D1750" s="1589" t="s">
        <v>2235</v>
      </c>
      <c r="E1750" s="942"/>
      <c r="F1750" s="2767"/>
      <c r="G1750" s="1473"/>
      <c r="H1750" s="2747"/>
    </row>
    <row r="1751" spans="1:8">
      <c r="A1751" s="1586"/>
      <c r="B1751" s="1605"/>
      <c r="C1751" s="1606"/>
      <c r="D1751" s="1589"/>
      <c r="E1751" s="2768"/>
      <c r="F1751" s="1607"/>
      <c r="G1751" s="1473"/>
      <c r="H1751" s="2747"/>
    </row>
    <row r="1752" spans="1:8" ht="15.6">
      <c r="A1752" s="1586"/>
      <c r="B1752" s="1605" t="s">
        <v>2162</v>
      </c>
      <c r="C1752" s="1594" t="s">
        <v>2175</v>
      </c>
      <c r="D1752" s="1589" t="s">
        <v>2360</v>
      </c>
      <c r="E1752" s="2744" t="s">
        <v>691</v>
      </c>
      <c r="F1752" s="1609">
        <v>4</v>
      </c>
      <c r="G1752" s="1473"/>
      <c r="H1752" s="1501">
        <f t="shared" ref="H1752:H1814" si="35">IF(E1752="","",ROUND(F1752*G1752,2))</f>
        <v>0</v>
      </c>
    </row>
    <row r="1753" spans="1:8">
      <c r="A1753" s="1586"/>
      <c r="B1753" s="1605"/>
      <c r="C1753" s="1606"/>
      <c r="D1753" s="1589"/>
      <c r="E1753" s="2744"/>
      <c r="F1753" s="1609"/>
      <c r="G1753" s="1473"/>
      <c r="H1753" s="1501" t="str">
        <f t="shared" si="35"/>
        <v/>
      </c>
    </row>
    <row r="1754" spans="1:8">
      <c r="A1754" s="2684">
        <f>$A$4</f>
        <v>19</v>
      </c>
      <c r="B1754" s="2684">
        <v>14.5</v>
      </c>
      <c r="C1754" s="1594"/>
      <c r="D1754" s="937" t="s">
        <v>2220</v>
      </c>
      <c r="E1754" s="2732"/>
      <c r="F1754" s="2735"/>
      <c r="G1754" s="1473"/>
      <c r="H1754" s="1501" t="str">
        <f t="shared" si="35"/>
        <v/>
      </c>
    </row>
    <row r="1755" spans="1:8">
      <c r="A1755" s="1586"/>
      <c r="B1755" s="2684"/>
      <c r="C1755" s="1594"/>
      <c r="D1755" s="937"/>
      <c r="E1755" s="2732"/>
      <c r="F1755" s="2735"/>
      <c r="G1755" s="1473"/>
      <c r="H1755" s="1501" t="str">
        <f t="shared" si="35"/>
        <v/>
      </c>
    </row>
    <row r="1756" spans="1:8" ht="16.2">
      <c r="A1756" s="1586"/>
      <c r="B1756" s="1593" t="s">
        <v>2162</v>
      </c>
      <c r="C1756" s="1594" t="s">
        <v>2221</v>
      </c>
      <c r="D1756" s="1595" t="s">
        <v>2222</v>
      </c>
      <c r="E1756" s="2762" t="s">
        <v>631</v>
      </c>
      <c r="F1756" s="2719">
        <v>48</v>
      </c>
      <c r="G1756" s="1473"/>
      <c r="H1756" s="1501">
        <f t="shared" si="35"/>
        <v>0</v>
      </c>
    </row>
    <row r="1757" spans="1:8">
      <c r="A1757" s="1586"/>
      <c r="B1757" s="1593"/>
      <c r="C1757" s="1594"/>
      <c r="D1757" s="1595"/>
      <c r="E1757" s="2762"/>
      <c r="F1757" s="2719"/>
      <c r="G1757" s="1473"/>
      <c r="H1757" s="1501" t="str">
        <f t="shared" si="35"/>
        <v/>
      </c>
    </row>
    <row r="1758" spans="1:8" ht="16.2">
      <c r="A1758" s="1586"/>
      <c r="B1758" s="1604" t="s">
        <v>2164</v>
      </c>
      <c r="C1758" s="1594" t="s">
        <v>2221</v>
      </c>
      <c r="D1758" s="1595" t="s">
        <v>2223</v>
      </c>
      <c r="E1758" s="2762" t="s">
        <v>631</v>
      </c>
      <c r="F1758" s="2719">
        <v>48</v>
      </c>
      <c r="G1758" s="1473"/>
      <c r="H1758" s="1501">
        <f t="shared" si="35"/>
        <v>0</v>
      </c>
    </row>
    <row r="1759" spans="1:8">
      <c r="A1759" s="1586"/>
      <c r="B1759" s="1593"/>
      <c r="C1759" s="1594"/>
      <c r="D1759" s="2722"/>
      <c r="E1759" s="1596"/>
      <c r="F1759" s="2763"/>
      <c r="G1759" s="1473"/>
      <c r="H1759" s="1501" t="str">
        <f t="shared" si="35"/>
        <v/>
      </c>
    </row>
    <row r="1760" spans="1:8">
      <c r="A1760" s="2684">
        <f>$A$4</f>
        <v>19</v>
      </c>
      <c r="B1760" s="2684">
        <v>14.6</v>
      </c>
      <c r="C1760" s="1594"/>
      <c r="D1760" s="937" t="s">
        <v>2224</v>
      </c>
      <c r="E1760" s="1596"/>
      <c r="F1760" s="2763"/>
      <c r="G1760" s="1473"/>
      <c r="H1760" s="1501" t="str">
        <f t="shared" si="35"/>
        <v/>
      </c>
    </row>
    <row r="1761" spans="1:8">
      <c r="A1761" s="1586"/>
      <c r="B1761" s="1593"/>
      <c r="C1761" s="1594"/>
      <c r="D1761" s="937"/>
      <c r="E1761" s="1596"/>
      <c r="F1761" s="2763"/>
      <c r="G1761" s="1473"/>
      <c r="H1761" s="1501" t="str">
        <f t="shared" si="35"/>
        <v/>
      </c>
    </row>
    <row r="1762" spans="1:8">
      <c r="A1762" s="1586"/>
      <c r="B1762" s="1593" t="s">
        <v>2162</v>
      </c>
      <c r="C1762" s="1594" t="s">
        <v>2225</v>
      </c>
      <c r="D1762" s="1595" t="s">
        <v>2289</v>
      </c>
      <c r="E1762" s="1596" t="s">
        <v>691</v>
      </c>
      <c r="F1762" s="1604">
        <v>6</v>
      </c>
      <c r="G1762" s="1473"/>
      <c r="H1762" s="1501">
        <f t="shared" si="35"/>
        <v>0</v>
      </c>
    </row>
    <row r="1763" spans="1:8">
      <c r="A1763" s="1586"/>
      <c r="B1763" s="1593"/>
      <c r="C1763" s="1594"/>
      <c r="D1763" s="2722"/>
      <c r="E1763" s="1596"/>
      <c r="F1763" s="2763"/>
      <c r="G1763" s="1473"/>
      <c r="H1763" s="1501" t="str">
        <f t="shared" si="35"/>
        <v/>
      </c>
    </row>
    <row r="1764" spans="1:8">
      <c r="A1764" s="2684">
        <f>$A$4</f>
        <v>19</v>
      </c>
      <c r="B1764" s="2684">
        <v>14.7</v>
      </c>
      <c r="C1764" s="1594"/>
      <c r="D1764" s="937" t="s">
        <v>2227</v>
      </c>
      <c r="E1764" s="1596"/>
      <c r="F1764" s="2673"/>
      <c r="G1764" s="1473"/>
      <c r="H1764" s="1501" t="str">
        <f t="shared" si="35"/>
        <v/>
      </c>
    </row>
    <row r="1765" spans="1:8">
      <c r="A1765" s="1586"/>
      <c r="B1765" s="2684"/>
      <c r="C1765" s="1594"/>
      <c r="D1765" s="937"/>
      <c r="E1765" s="1596"/>
      <c r="F1765" s="2673"/>
      <c r="G1765" s="1473"/>
      <c r="H1765" s="1501" t="str">
        <f t="shared" si="35"/>
        <v/>
      </c>
    </row>
    <row r="1766" spans="1:8" ht="26.4">
      <c r="A1766" s="1586"/>
      <c r="B1766" s="1593"/>
      <c r="C1766" s="1594" t="s">
        <v>2228</v>
      </c>
      <c r="D1766" s="1595" t="s">
        <v>2361</v>
      </c>
      <c r="E1766" s="1596"/>
      <c r="F1766" s="2673"/>
      <c r="G1766" s="1473"/>
      <c r="H1766" s="1501" t="str">
        <f t="shared" si="35"/>
        <v/>
      </c>
    </row>
    <row r="1767" spans="1:8">
      <c r="A1767" s="1586"/>
      <c r="B1767" s="1593"/>
      <c r="C1767" s="1594"/>
      <c r="D1767" s="1595"/>
      <c r="E1767" s="1596"/>
      <c r="F1767" s="1597"/>
      <c r="G1767" s="1473"/>
      <c r="H1767" s="1501" t="str">
        <f t="shared" si="35"/>
        <v/>
      </c>
    </row>
    <row r="1768" spans="1:8">
      <c r="A1768" s="1586"/>
      <c r="B1768" s="1593" t="s">
        <v>2162</v>
      </c>
      <c r="C1768" s="1594" t="s">
        <v>2228</v>
      </c>
      <c r="D1768" s="1595" t="s">
        <v>2230</v>
      </c>
      <c r="E1768" s="1596" t="s">
        <v>561</v>
      </c>
      <c r="F1768" s="1597">
        <v>90</v>
      </c>
      <c r="G1768" s="1473"/>
      <c r="H1768" s="1501">
        <f t="shared" si="35"/>
        <v>0</v>
      </c>
    </row>
    <row r="1769" spans="1:8">
      <c r="A1769" s="1586"/>
      <c r="B1769" s="1593"/>
      <c r="C1769" s="1594"/>
      <c r="D1769" s="1595"/>
      <c r="E1769" s="1596"/>
      <c r="F1769" s="1597"/>
      <c r="G1769" s="1473"/>
      <c r="H1769" s="1501" t="str">
        <f t="shared" si="35"/>
        <v/>
      </c>
    </row>
    <row r="1770" spans="1:8">
      <c r="A1770" s="1586"/>
      <c r="B1770" s="1604" t="s">
        <v>2164</v>
      </c>
      <c r="C1770" s="1594" t="s">
        <v>2228</v>
      </c>
      <c r="D1770" s="1595" t="s">
        <v>2231</v>
      </c>
      <c r="E1770" s="1596" t="s">
        <v>561</v>
      </c>
      <c r="F1770" s="1597">
        <v>90</v>
      </c>
      <c r="G1770" s="1473"/>
      <c r="H1770" s="1501">
        <f t="shared" si="35"/>
        <v>0</v>
      </c>
    </row>
    <row r="1771" spans="1:8">
      <c r="A1771" s="1586"/>
      <c r="B1771" s="1604"/>
      <c r="C1771" s="1594"/>
      <c r="D1771" s="1595"/>
      <c r="E1771" s="1596"/>
      <c r="F1771" s="1597"/>
      <c r="G1771" s="1473"/>
      <c r="H1771" s="1501" t="str">
        <f t="shared" si="35"/>
        <v/>
      </c>
    </row>
    <row r="1772" spans="1:8">
      <c r="A1772" s="1586"/>
      <c r="B1772" s="1604" t="s">
        <v>2166</v>
      </c>
      <c r="C1772" s="1594" t="s">
        <v>2228</v>
      </c>
      <c r="D1772" s="1595" t="s">
        <v>2263</v>
      </c>
      <c r="E1772" s="1596" t="s">
        <v>561</v>
      </c>
      <c r="F1772" s="1597">
        <v>90</v>
      </c>
      <c r="G1772" s="1473"/>
      <c r="H1772" s="1501">
        <f t="shared" si="35"/>
        <v>0</v>
      </c>
    </row>
    <row r="1773" spans="1:8">
      <c r="A1773" s="1586"/>
      <c r="B1773" s="1604"/>
      <c r="C1773" s="1594"/>
      <c r="D1773" s="1595"/>
      <c r="E1773" s="1596"/>
      <c r="F1773" s="1597"/>
      <c r="G1773" s="1473"/>
      <c r="H1773" s="1501" t="str">
        <f t="shared" si="35"/>
        <v/>
      </c>
    </row>
    <row r="1774" spans="1:8">
      <c r="A1774" s="1586"/>
      <c r="B1774" s="1604" t="s">
        <v>2168</v>
      </c>
      <c r="C1774" s="1594" t="s">
        <v>2228</v>
      </c>
      <c r="D1774" s="1595" t="s">
        <v>2291</v>
      </c>
      <c r="E1774" s="1596" t="s">
        <v>561</v>
      </c>
      <c r="F1774" s="1597">
        <v>90</v>
      </c>
      <c r="G1774" s="1473"/>
      <c r="H1774" s="1501">
        <f t="shared" si="35"/>
        <v>0</v>
      </c>
    </row>
    <row r="1775" spans="1:8">
      <c r="A1775" s="1586"/>
      <c r="B1775" s="1604"/>
      <c r="C1775" s="1594"/>
      <c r="D1775" s="1595"/>
      <c r="E1775" s="1596"/>
      <c r="F1775" s="1597"/>
      <c r="G1775" s="1473"/>
      <c r="H1775" s="1501" t="str">
        <f t="shared" si="35"/>
        <v/>
      </c>
    </row>
    <row r="1776" spans="1:8" ht="15.6">
      <c r="A1776" s="1586"/>
      <c r="B1776" s="1604" t="s">
        <v>2171</v>
      </c>
      <c r="C1776" s="1594" t="s">
        <v>2228</v>
      </c>
      <c r="D1776" s="1595" t="s">
        <v>2232</v>
      </c>
      <c r="E1776" s="1596" t="s">
        <v>691</v>
      </c>
      <c r="F1776" s="2724">
        <v>10</v>
      </c>
      <c r="G1776" s="1473"/>
      <c r="H1776" s="1501">
        <f t="shared" si="35"/>
        <v>0</v>
      </c>
    </row>
    <row r="1777" spans="1:8">
      <c r="A1777" s="1586"/>
      <c r="B1777" s="1604"/>
      <c r="C1777" s="1594"/>
      <c r="D1777" s="1595"/>
      <c r="E1777" s="1596"/>
      <c r="F1777" s="2724"/>
      <c r="G1777" s="1473"/>
      <c r="H1777" s="1501" t="str">
        <f t="shared" si="35"/>
        <v/>
      </c>
    </row>
    <row r="1778" spans="1:8" ht="15.6">
      <c r="A1778" s="1586"/>
      <c r="B1778" s="1604" t="s">
        <v>2174</v>
      </c>
      <c r="C1778" s="1594" t="s">
        <v>2228</v>
      </c>
      <c r="D1778" s="1595" t="s">
        <v>2233</v>
      </c>
      <c r="E1778" s="1596" t="s">
        <v>691</v>
      </c>
      <c r="F1778" s="2724">
        <v>10</v>
      </c>
      <c r="G1778" s="1473"/>
      <c r="H1778" s="1501">
        <f t="shared" si="35"/>
        <v>0</v>
      </c>
    </row>
    <row r="1779" spans="1:8">
      <c r="A1779" s="1586"/>
      <c r="B1779" s="1604"/>
      <c r="C1779" s="1594"/>
      <c r="D1779" s="1595"/>
      <c r="E1779" s="1596"/>
      <c r="F1779" s="2724"/>
      <c r="G1779" s="1473"/>
      <c r="H1779" s="1501" t="str">
        <f t="shared" si="35"/>
        <v/>
      </c>
    </row>
    <row r="1780" spans="1:8" ht="15.6">
      <c r="A1780" s="1586"/>
      <c r="B1780" s="2691" t="s">
        <v>2178</v>
      </c>
      <c r="C1780" s="1594" t="s">
        <v>2228</v>
      </c>
      <c r="D1780" s="1595" t="s">
        <v>2265</v>
      </c>
      <c r="E1780" s="1596" t="s">
        <v>691</v>
      </c>
      <c r="F1780" s="1604">
        <v>10</v>
      </c>
      <c r="G1780" s="1473"/>
      <c r="H1780" s="1501">
        <f t="shared" si="35"/>
        <v>0</v>
      </c>
    </row>
    <row r="1781" spans="1:8">
      <c r="A1781" s="1586"/>
      <c r="B1781" s="2691"/>
      <c r="C1781" s="1599"/>
      <c r="D1781" s="1595"/>
      <c r="E1781" s="1596"/>
      <c r="F1781" s="1604"/>
      <c r="G1781" s="1473"/>
      <c r="H1781" s="1501" t="str">
        <f t="shared" si="35"/>
        <v/>
      </c>
    </row>
    <row r="1782" spans="1:8" ht="15.6">
      <c r="A1782" s="1586"/>
      <c r="B1782" s="1598" t="s">
        <v>2180</v>
      </c>
      <c r="C1782" s="1594" t="s">
        <v>2228</v>
      </c>
      <c r="D1782" s="1595" t="s">
        <v>2292</v>
      </c>
      <c r="E1782" s="1590" t="s">
        <v>691</v>
      </c>
      <c r="F1782" s="1601">
        <v>10</v>
      </c>
      <c r="G1782" s="1473"/>
      <c r="H1782" s="1501">
        <f t="shared" si="35"/>
        <v>0</v>
      </c>
    </row>
    <row r="1783" spans="1:8">
      <c r="A1783" s="1586"/>
      <c r="B1783" s="2809"/>
      <c r="C1783" s="2808"/>
      <c r="D1783" s="2829"/>
      <c r="E1783" s="2795"/>
      <c r="F1783" s="1607"/>
      <c r="G1783" s="1473"/>
      <c r="H1783" s="1501" t="str">
        <f t="shared" si="35"/>
        <v/>
      </c>
    </row>
    <row r="1784" spans="1:8">
      <c r="A1784" s="2684">
        <f>$A$4</f>
        <v>19</v>
      </c>
      <c r="B1784" s="2684">
        <v>14.8</v>
      </c>
      <c r="C1784" s="1594"/>
      <c r="D1784" s="937" t="s">
        <v>2362</v>
      </c>
      <c r="E1784" s="1596"/>
      <c r="F1784" s="2673"/>
      <c r="G1784" s="1473"/>
      <c r="H1784" s="1501" t="str">
        <f t="shared" si="35"/>
        <v/>
      </c>
    </row>
    <row r="1785" spans="1:8">
      <c r="A1785" s="1586"/>
      <c r="B1785" s="2684"/>
      <c r="C1785" s="1594"/>
      <c r="D1785" s="937"/>
      <c r="E1785" s="1596"/>
      <c r="F1785" s="2673"/>
      <c r="G1785" s="1473"/>
      <c r="H1785" s="1501" t="str">
        <f t="shared" si="35"/>
        <v/>
      </c>
    </row>
    <row r="1786" spans="1:8" ht="26.4">
      <c r="A1786" s="1586"/>
      <c r="B1786" s="1593"/>
      <c r="C1786" s="1594"/>
      <c r="D1786" s="1595" t="s">
        <v>2363</v>
      </c>
      <c r="E1786" s="1596"/>
      <c r="F1786" s="2673"/>
      <c r="G1786" s="1473"/>
      <c r="H1786" s="1501" t="str">
        <f t="shared" si="35"/>
        <v/>
      </c>
    </row>
    <row r="1787" spans="1:8">
      <c r="A1787" s="1586"/>
      <c r="B1787" s="1593"/>
      <c r="C1787" s="1594"/>
      <c r="D1787" s="1595"/>
      <c r="E1787" s="1596"/>
      <c r="F1787" s="1597"/>
      <c r="G1787" s="1473"/>
      <c r="H1787" s="1501" t="str">
        <f t="shared" si="35"/>
        <v/>
      </c>
    </row>
    <row r="1788" spans="1:8">
      <c r="A1788" s="1586"/>
      <c r="B1788" s="1593" t="s">
        <v>2162</v>
      </c>
      <c r="C1788" s="1594" t="s">
        <v>2228</v>
      </c>
      <c r="D1788" s="1595" t="s">
        <v>2364</v>
      </c>
      <c r="E1788" s="1596" t="s">
        <v>561</v>
      </c>
      <c r="F1788" s="1597">
        <v>20</v>
      </c>
      <c r="G1788" s="1473"/>
      <c r="H1788" s="1501">
        <f t="shared" si="35"/>
        <v>0</v>
      </c>
    </row>
    <row r="1789" spans="1:8">
      <c r="A1789" s="1586"/>
      <c r="B1789" s="1593"/>
      <c r="C1789" s="1594"/>
      <c r="D1789" s="1595"/>
      <c r="E1789" s="1596"/>
      <c r="F1789" s="1597"/>
      <c r="G1789" s="1473"/>
      <c r="H1789" s="1501" t="str">
        <f t="shared" si="35"/>
        <v/>
      </c>
    </row>
    <row r="1790" spans="1:8" ht="15.6">
      <c r="A1790" s="1586"/>
      <c r="B1790" s="1604" t="s">
        <v>2164</v>
      </c>
      <c r="C1790" s="1594" t="s">
        <v>2228</v>
      </c>
      <c r="D1790" s="1600" t="s">
        <v>2365</v>
      </c>
      <c r="E1790" s="916" t="s">
        <v>691</v>
      </c>
      <c r="F1790" s="2724">
        <v>4</v>
      </c>
      <c r="G1790" s="1473"/>
      <c r="H1790" s="1501">
        <f t="shared" si="35"/>
        <v>0</v>
      </c>
    </row>
    <row r="1791" spans="1:8">
      <c r="A1791" s="1586"/>
      <c r="B1791" s="1604"/>
      <c r="C1791" s="1594"/>
      <c r="D1791" s="1600"/>
      <c r="E1791" s="916"/>
      <c r="F1791" s="2724"/>
      <c r="G1791" s="1473"/>
      <c r="H1791" s="1501" t="str">
        <f t="shared" si="35"/>
        <v/>
      </c>
    </row>
    <row r="1792" spans="1:8">
      <c r="A1792" s="2684">
        <f>$A$4</f>
        <v>19</v>
      </c>
      <c r="B1792" s="2684">
        <v>14.9</v>
      </c>
      <c r="C1792" s="1588"/>
      <c r="D1792" s="937" t="s">
        <v>2318</v>
      </c>
      <c r="E1792" s="2782"/>
      <c r="F1792" s="2782"/>
      <c r="G1792" s="1473"/>
      <c r="H1792" s="1501" t="str">
        <f t="shared" si="35"/>
        <v/>
      </c>
    </row>
    <row r="1793" spans="1:8">
      <c r="A1793" s="1586"/>
      <c r="B1793" s="1587"/>
      <c r="C1793" s="1588"/>
      <c r="D1793" s="937"/>
      <c r="E1793" s="2782"/>
      <c r="F1793" s="2782"/>
      <c r="G1793" s="1473"/>
      <c r="H1793" s="1501" t="str">
        <f t="shared" si="35"/>
        <v/>
      </c>
    </row>
    <row r="1794" spans="1:8">
      <c r="A1794" s="1586"/>
      <c r="B1794" s="1587" t="s">
        <v>2162</v>
      </c>
      <c r="C1794" s="1588" t="s">
        <v>2304</v>
      </c>
      <c r="D1794" s="1589" t="s">
        <v>2474</v>
      </c>
      <c r="E1794" s="1591" t="s">
        <v>976</v>
      </c>
      <c r="F1794" s="2785">
        <v>1</v>
      </c>
      <c r="G1794" s="1473"/>
      <c r="H1794" s="1501">
        <f t="shared" si="35"/>
        <v>0</v>
      </c>
    </row>
    <row r="1795" spans="1:8">
      <c r="A1795" s="1586"/>
      <c r="B1795" s="1598"/>
      <c r="C1795" s="1599"/>
      <c r="D1795" s="1595"/>
      <c r="E1795" s="1590"/>
      <c r="F1795" s="1601"/>
      <c r="G1795" s="1473"/>
      <c r="H1795" s="1501" t="str">
        <f t="shared" si="35"/>
        <v/>
      </c>
    </row>
    <row r="1796" spans="1:8">
      <c r="A1796" s="2684">
        <f>$A$4</f>
        <v>19</v>
      </c>
      <c r="B1796" s="2786">
        <v>14.1</v>
      </c>
      <c r="C1796" s="1588"/>
      <c r="D1796" s="937" t="s">
        <v>2306</v>
      </c>
      <c r="E1796" s="2782"/>
      <c r="F1796" s="2782"/>
      <c r="G1796" s="1473"/>
      <c r="H1796" s="1501" t="str">
        <f t="shared" si="35"/>
        <v/>
      </c>
    </row>
    <row r="1797" spans="1:8">
      <c r="A1797" s="1586"/>
      <c r="B1797" s="1587"/>
      <c r="C1797" s="1588"/>
      <c r="D1797" s="900"/>
      <c r="E1797" s="2782"/>
      <c r="F1797" s="2782"/>
      <c r="G1797" s="1473"/>
      <c r="H1797" s="1501" t="str">
        <f t="shared" si="35"/>
        <v/>
      </c>
    </row>
    <row r="1798" spans="1:8" ht="26.4">
      <c r="A1798" s="1586"/>
      <c r="B1798" s="1587" t="s">
        <v>2162</v>
      </c>
      <c r="C1798" s="1588" t="s">
        <v>2307</v>
      </c>
      <c r="D1798" s="1589" t="s">
        <v>2308</v>
      </c>
      <c r="E1798" s="1591" t="s">
        <v>691</v>
      </c>
      <c r="F1798" s="2785">
        <v>4</v>
      </c>
      <c r="G1798" s="1473"/>
      <c r="H1798" s="1501">
        <f t="shared" si="35"/>
        <v>0</v>
      </c>
    </row>
    <row r="1799" spans="1:8">
      <c r="A1799" s="1586"/>
      <c r="B1799" s="1587"/>
      <c r="C1799" s="2783"/>
      <c r="D1799" s="1589"/>
      <c r="E1799" s="2782"/>
      <c r="F1799" s="2784"/>
      <c r="G1799" s="1473"/>
      <c r="H1799" s="1501" t="str">
        <f t="shared" si="35"/>
        <v/>
      </c>
    </row>
    <row r="1800" spans="1:8">
      <c r="A1800" s="2684">
        <f>$A$4</f>
        <v>19</v>
      </c>
      <c r="B1800" s="2684">
        <v>14.11</v>
      </c>
      <c r="C1800" s="2783"/>
      <c r="D1800" s="937" t="s">
        <v>2367</v>
      </c>
      <c r="E1800" s="2726"/>
      <c r="F1800" s="1609"/>
      <c r="G1800" s="1473"/>
      <c r="H1800" s="1501" t="str">
        <f t="shared" si="35"/>
        <v/>
      </c>
    </row>
    <row r="1801" spans="1:8">
      <c r="A1801" s="1586"/>
      <c r="B1801" s="1587"/>
      <c r="C1801" s="2783"/>
      <c r="D1801" s="937"/>
      <c r="E1801" s="2726"/>
      <c r="F1801" s="1609"/>
      <c r="G1801" s="1473"/>
      <c r="H1801" s="1501" t="str">
        <f t="shared" si="35"/>
        <v/>
      </c>
    </row>
    <row r="1802" spans="1:8">
      <c r="A1802" s="1586"/>
      <c r="B1802" s="1587" t="s">
        <v>2162</v>
      </c>
      <c r="C1802" s="1588" t="s">
        <v>2368</v>
      </c>
      <c r="D1802" s="1589" t="s">
        <v>2369</v>
      </c>
      <c r="E1802" s="1590" t="s">
        <v>691</v>
      </c>
      <c r="F1802" s="1591">
        <v>1</v>
      </c>
      <c r="G1802" s="1473"/>
      <c r="H1802" s="1501">
        <f t="shared" si="35"/>
        <v>0</v>
      </c>
    </row>
    <row r="1803" spans="1:8">
      <c r="A1803" s="1586"/>
      <c r="B1803" s="1593"/>
      <c r="C1803" s="1603"/>
      <c r="D1803" s="1589"/>
      <c r="E1803" s="1590"/>
      <c r="F1803" s="1591"/>
      <c r="G1803" s="1473"/>
      <c r="H1803" s="1501" t="str">
        <f t="shared" si="35"/>
        <v/>
      </c>
    </row>
    <row r="1804" spans="1:8">
      <c r="A1804" s="2684">
        <f>$A$4</f>
        <v>19</v>
      </c>
      <c r="B1804" s="2684">
        <v>14.12</v>
      </c>
      <c r="C1804" s="2783"/>
      <c r="D1804" s="937" t="s">
        <v>2370</v>
      </c>
      <c r="E1804" s="2726"/>
      <c r="F1804" s="1609"/>
      <c r="G1804" s="1473"/>
      <c r="H1804" s="1501" t="str">
        <f t="shared" si="35"/>
        <v/>
      </c>
    </row>
    <row r="1805" spans="1:8">
      <c r="A1805" s="1586"/>
      <c r="B1805" s="2684"/>
      <c r="C1805" s="2783"/>
      <c r="D1805" s="937"/>
      <c r="E1805" s="2726"/>
      <c r="F1805" s="1609"/>
      <c r="G1805" s="1473"/>
      <c r="H1805" s="1501" t="str">
        <f t="shared" si="35"/>
        <v/>
      </c>
    </row>
    <row r="1806" spans="1:8" ht="26.4">
      <c r="A1806" s="1586"/>
      <c r="B1806" s="1587"/>
      <c r="C1806" s="1588" t="s">
        <v>2368</v>
      </c>
      <c r="D1806" s="1589" t="s">
        <v>2475</v>
      </c>
      <c r="E1806" s="1590"/>
      <c r="F1806" s="1591"/>
      <c r="G1806" s="1473"/>
      <c r="H1806" s="1501" t="str">
        <f t="shared" si="35"/>
        <v/>
      </c>
    </row>
    <row r="1807" spans="1:8">
      <c r="A1807" s="1586"/>
      <c r="B1807" s="1593"/>
      <c r="C1807" s="1603"/>
      <c r="D1807" s="903"/>
      <c r="E1807" s="1590"/>
      <c r="F1807" s="1591"/>
      <c r="G1807" s="1473"/>
      <c r="H1807" s="1501" t="str">
        <f t="shared" si="35"/>
        <v/>
      </c>
    </row>
    <row r="1808" spans="1:8">
      <c r="A1808" s="1586"/>
      <c r="B1808" s="1587" t="s">
        <v>2162</v>
      </c>
      <c r="C1808" s="1588" t="s">
        <v>2368</v>
      </c>
      <c r="D1808" s="1595" t="s">
        <v>2372</v>
      </c>
      <c r="E1808" s="1590" t="s">
        <v>691</v>
      </c>
      <c r="F1808" s="1609">
        <v>1</v>
      </c>
      <c r="G1808" s="1473"/>
      <c r="H1808" s="1501">
        <f t="shared" si="35"/>
        <v>0</v>
      </c>
    </row>
    <row r="1809" spans="1:8">
      <c r="A1809" s="1586"/>
      <c r="B1809" s="1587"/>
      <c r="C1809" s="2783"/>
      <c r="D1809" s="1595"/>
      <c r="E1809" s="1590"/>
      <c r="F1809" s="1609"/>
      <c r="G1809" s="1473"/>
      <c r="H1809" s="1501" t="str">
        <f t="shared" si="35"/>
        <v/>
      </c>
    </row>
    <row r="1810" spans="1:8">
      <c r="A1810" s="1586"/>
      <c r="B1810" s="1604" t="s">
        <v>2164</v>
      </c>
      <c r="C1810" s="1588" t="s">
        <v>2368</v>
      </c>
      <c r="D1810" s="1595" t="s">
        <v>2373</v>
      </c>
      <c r="E1810" s="1590" t="s">
        <v>691</v>
      </c>
      <c r="F1810" s="1609">
        <v>1</v>
      </c>
      <c r="G1810" s="1473"/>
      <c r="H1810" s="1501">
        <f t="shared" si="35"/>
        <v>0</v>
      </c>
    </row>
    <row r="1811" spans="1:8">
      <c r="A1811" s="1586"/>
      <c r="B1811" s="1604"/>
      <c r="C1811" s="1594"/>
      <c r="D1811" s="904"/>
      <c r="E1811" s="1590"/>
      <c r="F1811" s="1609"/>
      <c r="G1811" s="1473"/>
      <c r="H1811" s="1501" t="str">
        <f t="shared" si="35"/>
        <v/>
      </c>
    </row>
    <row r="1812" spans="1:8">
      <c r="A1812" s="1586"/>
      <c r="B1812" s="2807" t="s">
        <v>2166</v>
      </c>
      <c r="C1812" s="1588" t="s">
        <v>2368</v>
      </c>
      <c r="D1812" s="1589" t="s">
        <v>2374</v>
      </c>
      <c r="E1812" s="1590" t="s">
        <v>691</v>
      </c>
      <c r="F1812" s="1591">
        <v>1</v>
      </c>
      <c r="G1812" s="1473"/>
      <c r="H1812" s="1501">
        <f t="shared" si="35"/>
        <v>0</v>
      </c>
    </row>
    <row r="1813" spans="1:8">
      <c r="A1813" s="1586"/>
      <c r="B1813" s="2807"/>
      <c r="C1813" s="1594"/>
      <c r="D1813" s="1589"/>
      <c r="E1813" s="1590"/>
      <c r="F1813" s="1591"/>
      <c r="G1813" s="1473"/>
      <c r="H1813" s="1501" t="str">
        <f t="shared" si="35"/>
        <v/>
      </c>
    </row>
    <row r="1814" spans="1:8">
      <c r="A1814" s="1586"/>
      <c r="B1814" s="2807" t="s">
        <v>2168</v>
      </c>
      <c r="C1814" s="1588" t="s">
        <v>2368</v>
      </c>
      <c r="D1814" s="1589" t="s">
        <v>2375</v>
      </c>
      <c r="E1814" s="1590" t="s">
        <v>691</v>
      </c>
      <c r="F1814" s="1591">
        <v>1</v>
      </c>
      <c r="G1814" s="1473"/>
      <c r="H1814" s="1501">
        <f t="shared" si="35"/>
        <v>0</v>
      </c>
    </row>
    <row r="1815" spans="1:8">
      <c r="A1815" s="1586"/>
      <c r="B1815" s="1271"/>
      <c r="C1815" s="1792"/>
      <c r="D1815" s="2647"/>
      <c r="E1815" s="882"/>
      <c r="F1815" s="1577"/>
      <c r="G1815" s="1476"/>
      <c r="H1815" s="902"/>
    </row>
    <row r="1816" spans="1:8">
      <c r="A1816" s="2333"/>
      <c r="B1816" s="822"/>
      <c r="C1816" s="1158"/>
      <c r="D1816" s="840"/>
      <c r="E1816" s="837"/>
      <c r="F1816" s="838"/>
      <c r="G1816" s="2748"/>
      <c r="H1816" s="2749"/>
    </row>
    <row r="1817" spans="1:8">
      <c r="A1817" s="2336"/>
      <c r="B1817" s="823"/>
      <c r="C1817" s="1159"/>
      <c r="D1817" s="774" t="s">
        <v>289</v>
      </c>
      <c r="E1817" s="426"/>
      <c r="F1817" s="24"/>
      <c r="G1817" s="1477"/>
      <c r="H1817" s="2750">
        <f>SUM(H1746:H1815)</f>
        <v>0</v>
      </c>
    </row>
    <row r="1818" spans="1:8">
      <c r="A1818" s="1586"/>
      <c r="B1818" s="1271"/>
      <c r="C1818" s="1155"/>
      <c r="D1818" s="2751" t="s">
        <v>290</v>
      </c>
      <c r="E1818" s="147"/>
      <c r="F1818" s="1577"/>
      <c r="G1818" s="1478"/>
      <c r="H1818" s="922">
        <f>H1817</f>
        <v>0</v>
      </c>
    </row>
    <row r="1819" spans="1:8">
      <c r="A1819" s="1586"/>
      <c r="B1819" s="2807"/>
      <c r="C1819" s="2738"/>
      <c r="D1819" s="1595"/>
      <c r="E1819" s="2672"/>
      <c r="F1819" s="2763"/>
      <c r="G1819" s="1473"/>
      <c r="H1819" s="2747"/>
    </row>
    <row r="1820" spans="1:8">
      <c r="A1820" s="2684">
        <f>$A$4</f>
        <v>19</v>
      </c>
      <c r="B1820" s="2684">
        <v>14.13</v>
      </c>
      <c r="C1820" s="2783"/>
      <c r="D1820" s="937" t="s">
        <v>2376</v>
      </c>
      <c r="E1820" s="2726"/>
      <c r="F1820" s="1609"/>
      <c r="G1820" s="1473"/>
      <c r="H1820" s="2747"/>
    </row>
    <row r="1821" spans="1:8">
      <c r="A1821" s="1586"/>
      <c r="B1821" s="2684"/>
      <c r="C1821" s="2783"/>
      <c r="D1821" s="937"/>
      <c r="E1821" s="2726"/>
      <c r="F1821" s="1609"/>
      <c r="G1821" s="1473"/>
      <c r="H1821" s="2747"/>
    </row>
    <row r="1822" spans="1:8">
      <c r="A1822" s="1586"/>
      <c r="B1822" s="1587" t="s">
        <v>2162</v>
      </c>
      <c r="C1822" s="1588" t="s">
        <v>2377</v>
      </c>
      <c r="D1822" s="1589" t="s">
        <v>2378</v>
      </c>
      <c r="E1822" s="1590" t="s">
        <v>691</v>
      </c>
      <c r="F1822" s="1591">
        <v>1</v>
      </c>
      <c r="G1822" s="1473"/>
      <c r="H1822" s="1501">
        <f t="shared" ref="H1822:H1882" si="36">IF(E1822="","",ROUND(F1822*G1822,2))</f>
        <v>0</v>
      </c>
    </row>
    <row r="1823" spans="1:8">
      <c r="A1823" s="1586"/>
      <c r="B1823" s="1593"/>
      <c r="C1823" s="1603"/>
      <c r="D1823" s="1589"/>
      <c r="E1823" s="1590"/>
      <c r="F1823" s="1591"/>
      <c r="G1823" s="1473"/>
      <c r="H1823" s="1501" t="str">
        <f t="shared" si="36"/>
        <v/>
      </c>
    </row>
    <row r="1824" spans="1:8">
      <c r="A1824" s="2684">
        <f>$A$4</f>
        <v>19</v>
      </c>
      <c r="B1824" s="2684">
        <v>14.14</v>
      </c>
      <c r="C1824" s="2783"/>
      <c r="D1824" s="937" t="s">
        <v>2343</v>
      </c>
      <c r="E1824" s="2726"/>
      <c r="F1824" s="1609"/>
      <c r="G1824" s="1473"/>
      <c r="H1824" s="1501" t="str">
        <f t="shared" si="36"/>
        <v/>
      </c>
    </row>
    <row r="1825" spans="1:8">
      <c r="A1825" s="1586"/>
      <c r="B1825" s="2684"/>
      <c r="C1825" s="2783"/>
      <c r="D1825" s="937"/>
      <c r="E1825" s="2726"/>
      <c r="F1825" s="1609"/>
      <c r="G1825" s="1473"/>
      <c r="H1825" s="1501" t="str">
        <f t="shared" si="36"/>
        <v/>
      </c>
    </row>
    <row r="1826" spans="1:8" ht="52.8">
      <c r="A1826" s="1586"/>
      <c r="B1826" s="1604"/>
      <c r="C1826" s="1594" t="s">
        <v>2172</v>
      </c>
      <c r="D1826" s="1595" t="s">
        <v>2379</v>
      </c>
      <c r="E1826" s="2672"/>
      <c r="F1826" s="2733"/>
      <c r="G1826" s="1473"/>
      <c r="H1826" s="1501" t="str">
        <f t="shared" si="36"/>
        <v/>
      </c>
    </row>
    <row r="1827" spans="1:8">
      <c r="A1827" s="1586"/>
      <c r="B1827" s="1604"/>
      <c r="C1827" s="1594"/>
      <c r="D1827" s="1595"/>
      <c r="E1827" s="2672"/>
      <c r="F1827" s="2733"/>
      <c r="G1827" s="1473"/>
      <c r="H1827" s="1501" t="str">
        <f t="shared" si="36"/>
        <v/>
      </c>
    </row>
    <row r="1828" spans="1:8">
      <c r="A1828" s="1586"/>
      <c r="B1828" s="2737" t="s">
        <v>2162</v>
      </c>
      <c r="C1828" s="1594" t="s">
        <v>2172</v>
      </c>
      <c r="D1828" s="1595" t="s">
        <v>2380</v>
      </c>
      <c r="E1828" s="2726" t="s">
        <v>691</v>
      </c>
      <c r="F1828" s="1604">
        <v>1</v>
      </c>
      <c r="G1828" s="1473"/>
      <c r="H1828" s="1501">
        <f t="shared" si="36"/>
        <v>0</v>
      </c>
    </row>
    <row r="1829" spans="1:8">
      <c r="A1829" s="1586"/>
      <c r="B1829" s="2737"/>
      <c r="C1829" s="2738"/>
      <c r="D1829" s="1595"/>
      <c r="E1829" s="2726"/>
      <c r="F1829" s="1604"/>
      <c r="G1829" s="1473"/>
      <c r="H1829" s="1501" t="str">
        <f t="shared" si="36"/>
        <v/>
      </c>
    </row>
    <row r="1830" spans="1:8">
      <c r="A1830" s="2684">
        <f>$A$4</f>
        <v>19</v>
      </c>
      <c r="B1830" s="2684">
        <v>14.15</v>
      </c>
      <c r="C1830" s="2783"/>
      <c r="D1830" s="937" t="s">
        <v>2236</v>
      </c>
      <c r="E1830" s="2726"/>
      <c r="F1830" s="1609"/>
      <c r="G1830" s="1473"/>
      <c r="H1830" s="1501" t="str">
        <f t="shared" si="36"/>
        <v/>
      </c>
    </row>
    <row r="1831" spans="1:8">
      <c r="A1831" s="1586"/>
      <c r="B1831" s="1587"/>
      <c r="C1831" s="1588"/>
      <c r="D1831" s="937"/>
      <c r="E1831" s="1590"/>
      <c r="F1831" s="1591"/>
      <c r="G1831" s="1473"/>
      <c r="H1831" s="1501" t="str">
        <f t="shared" si="36"/>
        <v/>
      </c>
    </row>
    <row r="1832" spans="1:8">
      <c r="A1832" s="1586"/>
      <c r="B1832" s="1587" t="s">
        <v>2162</v>
      </c>
      <c r="C1832" s="1588" t="s">
        <v>2237</v>
      </c>
      <c r="D1832" s="1589" t="s">
        <v>2310</v>
      </c>
      <c r="E1832" s="1590" t="s">
        <v>691</v>
      </c>
      <c r="F1832" s="1591">
        <v>1</v>
      </c>
      <c r="G1832" s="1473"/>
      <c r="H1832" s="1501">
        <f t="shared" si="36"/>
        <v>0</v>
      </c>
    </row>
    <row r="1833" spans="1:8">
      <c r="A1833" s="1586"/>
      <c r="B1833" s="1593"/>
      <c r="C1833" s="1603"/>
      <c r="D1833" s="1589"/>
      <c r="E1833" s="1590"/>
      <c r="F1833" s="1591"/>
      <c r="G1833" s="1473"/>
      <c r="H1833" s="1501" t="str">
        <f t="shared" si="36"/>
        <v/>
      </c>
    </row>
    <row r="1834" spans="1:8">
      <c r="A1834" s="1586"/>
      <c r="B1834" s="1587" t="s">
        <v>2164</v>
      </c>
      <c r="C1834" s="1588" t="s">
        <v>2237</v>
      </c>
      <c r="D1834" s="1589" t="s">
        <v>2239</v>
      </c>
      <c r="E1834" s="1590" t="s">
        <v>691</v>
      </c>
      <c r="F1834" s="1591">
        <v>1</v>
      </c>
      <c r="G1834" s="1473"/>
      <c r="H1834" s="1501">
        <f t="shared" si="36"/>
        <v>0</v>
      </c>
    </row>
    <row r="1835" spans="1:8">
      <c r="A1835" s="1586"/>
      <c r="B1835" s="1587"/>
      <c r="C1835" s="1588"/>
      <c r="D1835" s="1589"/>
      <c r="E1835" s="1590"/>
      <c r="F1835" s="1591"/>
      <c r="G1835" s="1473"/>
      <c r="H1835" s="1501" t="str">
        <f t="shared" si="36"/>
        <v/>
      </c>
    </row>
    <row r="1836" spans="1:8">
      <c r="A1836" s="1586"/>
      <c r="B1836" s="1587" t="s">
        <v>2166</v>
      </c>
      <c r="C1836" s="1588" t="s">
        <v>2237</v>
      </c>
      <c r="D1836" s="1589" t="s">
        <v>2381</v>
      </c>
      <c r="E1836" s="1590" t="s">
        <v>691</v>
      </c>
      <c r="F1836" s="1591">
        <v>2</v>
      </c>
      <c r="G1836" s="1473"/>
      <c r="H1836" s="1501">
        <f t="shared" si="36"/>
        <v>0</v>
      </c>
    </row>
    <row r="1837" spans="1:8">
      <c r="A1837" s="1586"/>
      <c r="B1837" s="1593"/>
      <c r="C1837" s="1603"/>
      <c r="D1837" s="1589"/>
      <c r="E1837" s="1590"/>
      <c r="F1837" s="1591"/>
      <c r="G1837" s="1473"/>
      <c r="H1837" s="1501" t="str">
        <f t="shared" si="36"/>
        <v/>
      </c>
    </row>
    <row r="1838" spans="1:8">
      <c r="A1838" s="1586"/>
      <c r="B1838" s="1587" t="s">
        <v>2168</v>
      </c>
      <c r="C1838" s="1588" t="s">
        <v>2237</v>
      </c>
      <c r="D1838" s="1589" t="s">
        <v>2239</v>
      </c>
      <c r="E1838" s="1590" t="s">
        <v>691</v>
      </c>
      <c r="F1838" s="1591">
        <v>2</v>
      </c>
      <c r="G1838" s="1473"/>
      <c r="H1838" s="1501">
        <f t="shared" si="36"/>
        <v>0</v>
      </c>
    </row>
    <row r="1839" spans="1:8">
      <c r="A1839" s="1586"/>
      <c r="B1839" s="1587"/>
      <c r="C1839" s="1588"/>
      <c r="D1839" s="1589"/>
      <c r="E1839" s="1590"/>
      <c r="F1839" s="1591"/>
      <c r="G1839" s="1473"/>
      <c r="H1839" s="1501" t="str">
        <f t="shared" si="36"/>
        <v/>
      </c>
    </row>
    <row r="1840" spans="1:8">
      <c r="A1840" s="1586"/>
      <c r="B1840" s="1587" t="s">
        <v>2171</v>
      </c>
      <c r="C1840" s="1588" t="s">
        <v>2237</v>
      </c>
      <c r="D1840" s="1589" t="s">
        <v>2382</v>
      </c>
      <c r="E1840" s="1590" t="s">
        <v>691</v>
      </c>
      <c r="F1840" s="1591">
        <v>2</v>
      </c>
      <c r="G1840" s="1473"/>
      <c r="H1840" s="1501">
        <f t="shared" si="36"/>
        <v>0</v>
      </c>
    </row>
    <row r="1841" spans="1:8">
      <c r="A1841" s="1586"/>
      <c r="B1841" s="1593"/>
      <c r="C1841" s="1603"/>
      <c r="D1841" s="1589"/>
      <c r="E1841" s="1590"/>
      <c r="F1841" s="1591"/>
      <c r="G1841" s="1473"/>
      <c r="H1841" s="1501" t="str">
        <f t="shared" si="36"/>
        <v/>
      </c>
    </row>
    <row r="1842" spans="1:8">
      <c r="A1842" s="1586"/>
      <c r="B1842" s="1587" t="s">
        <v>2174</v>
      </c>
      <c r="C1842" s="1588" t="s">
        <v>2237</v>
      </c>
      <c r="D1842" s="1589" t="s">
        <v>2239</v>
      </c>
      <c r="E1842" s="1590" t="s">
        <v>691</v>
      </c>
      <c r="F1842" s="1591">
        <v>2</v>
      </c>
      <c r="G1842" s="1473"/>
      <c r="H1842" s="1501">
        <f t="shared" si="36"/>
        <v>0</v>
      </c>
    </row>
    <row r="1843" spans="1:8">
      <c r="A1843" s="1586"/>
      <c r="B1843" s="1271"/>
      <c r="C1843" s="1792"/>
      <c r="D1843" s="2751"/>
      <c r="E1843" s="147"/>
      <c r="F1843" s="1577"/>
      <c r="G1843" s="1478"/>
      <c r="H1843" s="1501" t="str">
        <f t="shared" si="36"/>
        <v/>
      </c>
    </row>
    <row r="1844" spans="1:8">
      <c r="A1844" s="2684">
        <f>$A$4</f>
        <v>19</v>
      </c>
      <c r="B1844" s="2684">
        <v>14.16</v>
      </c>
      <c r="C1844" s="2808"/>
      <c r="D1844" s="2823" t="s">
        <v>2387</v>
      </c>
      <c r="E1844" s="911"/>
      <c r="F1844" s="1609"/>
      <c r="G1844" s="1473"/>
      <c r="H1844" s="1501" t="str">
        <f t="shared" si="36"/>
        <v/>
      </c>
    </row>
    <row r="1845" spans="1:8">
      <c r="A1845" s="1586"/>
      <c r="B1845" s="2684"/>
      <c r="C1845" s="2808"/>
      <c r="D1845" s="937"/>
      <c r="E1845" s="2726"/>
      <c r="F1845" s="1609"/>
      <c r="G1845" s="1473"/>
      <c r="H1845" s="1501" t="str">
        <f t="shared" si="36"/>
        <v/>
      </c>
    </row>
    <row r="1846" spans="1:8">
      <c r="A1846" s="1586"/>
      <c r="B1846" s="2703" t="s">
        <v>2162</v>
      </c>
      <c r="C1846" s="2808" t="s">
        <v>2388</v>
      </c>
      <c r="D1846" s="1600" t="s">
        <v>2448</v>
      </c>
      <c r="E1846" s="911"/>
      <c r="F1846" s="1609"/>
      <c r="G1846" s="1473"/>
      <c r="H1846" s="1501" t="str">
        <f t="shared" si="36"/>
        <v/>
      </c>
    </row>
    <row r="1847" spans="1:8">
      <c r="A1847" s="1586"/>
      <c r="B1847" s="2809"/>
      <c r="C1847" s="2808"/>
      <c r="D1847" s="1600"/>
      <c r="E1847" s="911"/>
      <c r="F1847" s="1609"/>
      <c r="G1847" s="1473"/>
      <c r="H1847" s="1501" t="str">
        <f t="shared" si="36"/>
        <v/>
      </c>
    </row>
    <row r="1848" spans="1:8">
      <c r="A1848" s="1586"/>
      <c r="B1848" s="2809"/>
      <c r="C1848" s="2808" t="s">
        <v>2388</v>
      </c>
      <c r="D1848" s="1600" t="s">
        <v>2449</v>
      </c>
      <c r="E1848" s="911" t="s">
        <v>691</v>
      </c>
      <c r="F1848" s="1609">
        <v>8</v>
      </c>
      <c r="G1848" s="1473"/>
      <c r="H1848" s="1501">
        <f t="shared" si="36"/>
        <v>0</v>
      </c>
    </row>
    <row r="1849" spans="1:8">
      <c r="A1849" s="1586"/>
      <c r="B1849" s="2809"/>
      <c r="C1849" s="2808"/>
      <c r="D1849" s="2829"/>
      <c r="E1849" s="2795"/>
      <c r="F1849" s="1607"/>
      <c r="G1849" s="1473"/>
      <c r="H1849" s="1501" t="str">
        <f t="shared" si="36"/>
        <v/>
      </c>
    </row>
    <row r="1850" spans="1:8" ht="26.4">
      <c r="A1850" s="1586"/>
      <c r="B1850" s="2703" t="s">
        <v>2164</v>
      </c>
      <c r="C1850" s="2808" t="s">
        <v>2388</v>
      </c>
      <c r="D1850" s="1595" t="s">
        <v>2389</v>
      </c>
      <c r="E1850" s="2726" t="s">
        <v>691</v>
      </c>
      <c r="F1850" s="1609">
        <v>12</v>
      </c>
      <c r="G1850" s="1473"/>
      <c r="H1850" s="1501">
        <f t="shared" si="36"/>
        <v>0</v>
      </c>
    </row>
    <row r="1851" spans="1:8">
      <c r="A1851" s="1586"/>
      <c r="B1851" s="2809"/>
      <c r="C1851" s="2808"/>
      <c r="D1851" s="1595"/>
      <c r="E1851" s="2726"/>
      <c r="F1851" s="1609"/>
      <c r="G1851" s="1473"/>
      <c r="H1851" s="1501" t="str">
        <f t="shared" si="36"/>
        <v/>
      </c>
    </row>
    <row r="1852" spans="1:8" ht="39.6">
      <c r="A1852" s="1586"/>
      <c r="B1852" s="2703" t="s">
        <v>2166</v>
      </c>
      <c r="C1852" s="2808" t="s">
        <v>2388</v>
      </c>
      <c r="D1852" s="1595" t="s">
        <v>2390</v>
      </c>
      <c r="E1852" s="2726" t="s">
        <v>691</v>
      </c>
      <c r="F1852" s="1609">
        <v>4</v>
      </c>
      <c r="G1852" s="1473"/>
      <c r="H1852" s="1501">
        <f t="shared" si="36"/>
        <v>0</v>
      </c>
    </row>
    <row r="1853" spans="1:8">
      <c r="A1853" s="1586"/>
      <c r="B1853" s="2809"/>
      <c r="C1853" s="2808"/>
      <c r="D1853" s="1595"/>
      <c r="E1853" s="2726"/>
      <c r="F1853" s="1609"/>
      <c r="G1853" s="1473"/>
      <c r="H1853" s="1501" t="str">
        <f t="shared" si="36"/>
        <v/>
      </c>
    </row>
    <row r="1854" spans="1:8">
      <c r="A1854" s="2684">
        <f>$A$4</f>
        <v>19</v>
      </c>
      <c r="B1854" s="2684">
        <v>14.17</v>
      </c>
      <c r="C1854" s="1594"/>
      <c r="D1854" s="937" t="s">
        <v>2391</v>
      </c>
      <c r="E1854" s="1596"/>
      <c r="F1854" s="2724"/>
      <c r="G1854" s="1473"/>
      <c r="H1854" s="1501" t="str">
        <f t="shared" si="36"/>
        <v/>
      </c>
    </row>
    <row r="1855" spans="1:8">
      <c r="A1855" s="1586"/>
      <c r="B1855" s="2684"/>
      <c r="C1855" s="1594"/>
      <c r="D1855" s="937"/>
      <c r="E1855" s="1596"/>
      <c r="F1855" s="2724"/>
      <c r="G1855" s="1473"/>
      <c r="H1855" s="1501" t="str">
        <f t="shared" si="36"/>
        <v/>
      </c>
    </row>
    <row r="1856" spans="1:8" ht="26.4">
      <c r="A1856" s="1586"/>
      <c r="B1856" s="1593"/>
      <c r="C1856" s="1588" t="s">
        <v>2368</v>
      </c>
      <c r="D1856" s="1595" t="s">
        <v>2476</v>
      </c>
      <c r="E1856" s="1596"/>
      <c r="F1856" s="2724"/>
      <c r="G1856" s="1473"/>
      <c r="H1856" s="1501" t="str">
        <f t="shared" si="36"/>
        <v/>
      </c>
    </row>
    <row r="1857" spans="1:8">
      <c r="A1857" s="1586"/>
      <c r="B1857" s="1593"/>
      <c r="C1857" s="1594"/>
      <c r="D1857" s="1595"/>
      <c r="E1857" s="1596"/>
      <c r="F1857" s="1604"/>
      <c r="G1857" s="1473"/>
      <c r="H1857" s="1501" t="str">
        <f t="shared" si="36"/>
        <v/>
      </c>
    </row>
    <row r="1858" spans="1:8">
      <c r="A1858" s="1586"/>
      <c r="B1858" s="1593" t="s">
        <v>2162</v>
      </c>
      <c r="C1858" s="1588" t="s">
        <v>2368</v>
      </c>
      <c r="D1858" s="1595" t="s">
        <v>2393</v>
      </c>
      <c r="E1858" s="1596" t="s">
        <v>561</v>
      </c>
      <c r="F1858" s="1601">
        <v>20</v>
      </c>
      <c r="G1858" s="1473"/>
      <c r="H1858" s="1501">
        <f t="shared" si="36"/>
        <v>0</v>
      </c>
    </row>
    <row r="1859" spans="1:8">
      <c r="A1859" s="1586"/>
      <c r="B1859" s="1593"/>
      <c r="C1859" s="1594"/>
      <c r="D1859" s="1595"/>
      <c r="E1859" s="1596"/>
      <c r="F1859" s="2673"/>
      <c r="G1859" s="1473"/>
      <c r="H1859" s="1501" t="str">
        <f t="shared" si="36"/>
        <v/>
      </c>
    </row>
    <row r="1860" spans="1:8" ht="26.4">
      <c r="A1860" s="1586"/>
      <c r="B1860" s="1604"/>
      <c r="C1860" s="1588" t="s">
        <v>2368</v>
      </c>
      <c r="D1860" s="1595" t="s">
        <v>2477</v>
      </c>
      <c r="E1860" s="1596"/>
      <c r="F1860" s="2673"/>
      <c r="G1860" s="1473"/>
      <c r="H1860" s="1501" t="str">
        <f t="shared" si="36"/>
        <v/>
      </c>
    </row>
    <row r="1861" spans="1:8">
      <c r="A1861" s="1586"/>
      <c r="B1861" s="1604"/>
      <c r="C1861" s="1594"/>
      <c r="D1861" s="1595"/>
      <c r="E1861" s="1596"/>
      <c r="F1861" s="2673"/>
      <c r="G1861" s="1473"/>
      <c r="H1861" s="1501" t="str">
        <f t="shared" si="36"/>
        <v/>
      </c>
    </row>
    <row r="1862" spans="1:8">
      <c r="A1862" s="1586"/>
      <c r="B1862" s="1604" t="s">
        <v>2164</v>
      </c>
      <c r="C1862" s="1588" t="s">
        <v>2368</v>
      </c>
      <c r="D1862" s="1595" t="s">
        <v>2393</v>
      </c>
      <c r="E1862" s="1596" t="s">
        <v>561</v>
      </c>
      <c r="F1862" s="1597">
        <v>30</v>
      </c>
      <c r="G1862" s="1473"/>
      <c r="H1862" s="1501">
        <f t="shared" si="36"/>
        <v>0</v>
      </c>
    </row>
    <row r="1863" spans="1:8">
      <c r="A1863" s="1586"/>
      <c r="B1863" s="1604"/>
      <c r="C1863" s="1594"/>
      <c r="D1863" s="1595"/>
      <c r="E1863" s="1596"/>
      <c r="F1863" s="1597"/>
      <c r="G1863" s="1473"/>
      <c r="H1863" s="1501" t="str">
        <f t="shared" si="36"/>
        <v/>
      </c>
    </row>
    <row r="1864" spans="1:8" ht="26.4">
      <c r="A1864" s="1586"/>
      <c r="B1864" s="1604"/>
      <c r="C1864" s="1588" t="s">
        <v>2368</v>
      </c>
      <c r="D1864" s="1595" t="s">
        <v>2478</v>
      </c>
      <c r="E1864" s="1596"/>
      <c r="F1864" s="1597"/>
      <c r="G1864" s="1473"/>
      <c r="H1864" s="1501" t="str">
        <f t="shared" si="36"/>
        <v/>
      </c>
    </row>
    <row r="1865" spans="1:8">
      <c r="A1865" s="1586"/>
      <c r="B1865" s="2691"/>
      <c r="C1865" s="1599"/>
      <c r="D1865" s="1595"/>
      <c r="E1865" s="1596"/>
      <c r="F1865" s="1597"/>
      <c r="G1865" s="1473"/>
      <c r="H1865" s="1501" t="str">
        <f t="shared" si="36"/>
        <v/>
      </c>
    </row>
    <row r="1866" spans="1:8">
      <c r="A1866" s="1586"/>
      <c r="B1866" s="1598" t="s">
        <v>2166</v>
      </c>
      <c r="C1866" s="1588" t="s">
        <v>2368</v>
      </c>
      <c r="D1866" s="1595" t="s">
        <v>2393</v>
      </c>
      <c r="E1866" s="1590" t="s">
        <v>561</v>
      </c>
      <c r="F1866" s="2724">
        <v>30</v>
      </c>
      <c r="G1866" s="1473"/>
      <c r="H1866" s="1501">
        <f t="shared" si="36"/>
        <v>0</v>
      </c>
    </row>
    <row r="1867" spans="1:8">
      <c r="A1867" s="1586"/>
      <c r="B1867" s="1593"/>
      <c r="C1867" s="1594"/>
      <c r="D1867" s="1595"/>
      <c r="E1867" s="1596"/>
      <c r="F1867" s="1597"/>
      <c r="G1867" s="1473"/>
      <c r="H1867" s="1501" t="str">
        <f t="shared" si="36"/>
        <v/>
      </c>
    </row>
    <row r="1868" spans="1:8">
      <c r="A1868" s="2684">
        <f>$A$4</f>
        <v>19</v>
      </c>
      <c r="B1868" s="2684">
        <v>14.18</v>
      </c>
      <c r="C1868" s="1594"/>
      <c r="D1868" s="937" t="s">
        <v>2394</v>
      </c>
      <c r="E1868" s="1596"/>
      <c r="F1868" s="2782"/>
      <c r="G1868" s="1473"/>
      <c r="H1868" s="1501" t="str">
        <f t="shared" si="36"/>
        <v/>
      </c>
    </row>
    <row r="1869" spans="1:8">
      <c r="A1869" s="1586"/>
      <c r="B1869" s="1593"/>
      <c r="C1869" s="1594"/>
      <c r="D1869" s="1595"/>
      <c r="E1869" s="1596"/>
      <c r="F1869" s="2782"/>
      <c r="G1869" s="1473"/>
      <c r="H1869" s="1501" t="str">
        <f t="shared" si="36"/>
        <v/>
      </c>
    </row>
    <row r="1870" spans="1:8">
      <c r="A1870" s="1586"/>
      <c r="B1870" s="1593" t="s">
        <v>2162</v>
      </c>
      <c r="C1870" s="1588" t="s">
        <v>2368</v>
      </c>
      <c r="D1870" s="1595" t="s">
        <v>2457</v>
      </c>
      <c r="E1870" s="1596" t="s">
        <v>691</v>
      </c>
      <c r="F1870" s="2785">
        <v>24</v>
      </c>
      <c r="G1870" s="1473"/>
      <c r="H1870" s="1501">
        <f t="shared" si="36"/>
        <v>0</v>
      </c>
    </row>
    <row r="1871" spans="1:8">
      <c r="A1871" s="1586"/>
      <c r="B1871" s="1593"/>
      <c r="C1871" s="1594"/>
      <c r="D1871" s="1595"/>
      <c r="E1871" s="1596"/>
      <c r="F1871" s="2785"/>
      <c r="G1871" s="1473"/>
      <c r="H1871" s="1501" t="str">
        <f t="shared" si="36"/>
        <v/>
      </c>
    </row>
    <row r="1872" spans="1:8">
      <c r="A1872" s="1586"/>
      <c r="B1872" s="1593" t="s">
        <v>2164</v>
      </c>
      <c r="C1872" s="1588" t="s">
        <v>2368</v>
      </c>
      <c r="D1872" s="1595" t="s">
        <v>2458</v>
      </c>
      <c r="E1872" s="1596" t="s">
        <v>691</v>
      </c>
      <c r="F1872" s="1591">
        <v>2</v>
      </c>
      <c r="G1872" s="1473"/>
      <c r="H1872" s="1501">
        <f t="shared" si="36"/>
        <v>0</v>
      </c>
    </row>
    <row r="1873" spans="1:8">
      <c r="A1873" s="1586"/>
      <c r="B1873" s="1604"/>
      <c r="C1873" s="1594"/>
      <c r="D1873" s="1595"/>
      <c r="E1873" s="1596"/>
      <c r="F1873" s="1609"/>
      <c r="G1873" s="1473"/>
      <c r="H1873" s="1501" t="str">
        <f t="shared" si="36"/>
        <v/>
      </c>
    </row>
    <row r="1874" spans="1:8">
      <c r="A1874" s="1586"/>
      <c r="B1874" s="1604" t="s">
        <v>2166</v>
      </c>
      <c r="C1874" s="1588" t="s">
        <v>2368</v>
      </c>
      <c r="D1874" s="1595" t="s">
        <v>2459</v>
      </c>
      <c r="E1874" s="1591" t="s">
        <v>691</v>
      </c>
      <c r="F1874" s="1591">
        <v>2</v>
      </c>
      <c r="G1874" s="1473"/>
      <c r="H1874" s="1501">
        <f t="shared" si="36"/>
        <v>0</v>
      </c>
    </row>
    <row r="1875" spans="1:8">
      <c r="A1875" s="1586"/>
      <c r="B1875" s="1587"/>
      <c r="C1875" s="2783"/>
      <c r="D1875" s="1595"/>
      <c r="E1875" s="1591"/>
      <c r="F1875" s="1591"/>
      <c r="G1875" s="1473"/>
      <c r="H1875" s="1501" t="str">
        <f t="shared" si="36"/>
        <v/>
      </c>
    </row>
    <row r="1876" spans="1:8">
      <c r="A1876" s="1586"/>
      <c r="B1876" s="1587" t="s">
        <v>2168</v>
      </c>
      <c r="C1876" s="1588" t="s">
        <v>2368</v>
      </c>
      <c r="D1876" s="1595" t="s">
        <v>2460</v>
      </c>
      <c r="E1876" s="1591" t="s">
        <v>691</v>
      </c>
      <c r="F1876" s="1591">
        <v>2</v>
      </c>
      <c r="G1876" s="1473"/>
      <c r="H1876" s="1501">
        <f t="shared" si="36"/>
        <v>0</v>
      </c>
    </row>
    <row r="1877" spans="1:8">
      <c r="A1877" s="1586"/>
      <c r="B1877" s="1587"/>
      <c r="C1877" s="1588"/>
      <c r="D1877" s="1589"/>
      <c r="E1877" s="1590"/>
      <c r="F1877" s="1591"/>
      <c r="G1877" s="1473"/>
      <c r="H1877" s="1501" t="str">
        <f t="shared" si="36"/>
        <v/>
      </c>
    </row>
    <row r="1878" spans="1:8">
      <c r="A1878" s="2684">
        <f>$A$4</f>
        <v>19</v>
      </c>
      <c r="B1878" s="2684">
        <v>14.19</v>
      </c>
      <c r="C1878" s="2783"/>
      <c r="D1878" s="937" t="s">
        <v>2397</v>
      </c>
      <c r="E1878" s="2726"/>
      <c r="F1878" s="1609"/>
      <c r="G1878" s="1473"/>
      <c r="H1878" s="1501" t="str">
        <f t="shared" si="36"/>
        <v/>
      </c>
    </row>
    <row r="1879" spans="1:8">
      <c r="A1879" s="1586"/>
      <c r="B1879" s="2684"/>
      <c r="C1879" s="2783"/>
      <c r="D1879" s="937"/>
      <c r="E1879" s="2726"/>
      <c r="F1879" s="1609"/>
      <c r="G1879" s="1473"/>
      <c r="H1879" s="1501" t="str">
        <f t="shared" si="36"/>
        <v/>
      </c>
    </row>
    <row r="1880" spans="1:8" ht="26.4">
      <c r="A1880" s="1586"/>
      <c r="B1880" s="1587" t="s">
        <v>2162</v>
      </c>
      <c r="C1880" s="1588" t="s">
        <v>2368</v>
      </c>
      <c r="D1880" s="1595" t="s">
        <v>2461</v>
      </c>
      <c r="E1880" s="1590" t="s">
        <v>691</v>
      </c>
      <c r="F1880" s="2724">
        <v>3</v>
      </c>
      <c r="G1880" s="1473"/>
      <c r="H1880" s="1501">
        <f t="shared" si="36"/>
        <v>0</v>
      </c>
    </row>
    <row r="1881" spans="1:8">
      <c r="A1881" s="1586"/>
      <c r="B1881" s="1593"/>
      <c r="C1881" s="1603"/>
      <c r="D1881" s="1595"/>
      <c r="E1881" s="1590"/>
      <c r="F1881" s="2730"/>
      <c r="G1881" s="1473"/>
      <c r="H1881" s="1501" t="str">
        <f t="shared" si="36"/>
        <v/>
      </c>
    </row>
    <row r="1882" spans="1:8" ht="26.4">
      <c r="A1882" s="1586"/>
      <c r="B1882" s="1587" t="s">
        <v>2164</v>
      </c>
      <c r="C1882" s="1588" t="s">
        <v>2368</v>
      </c>
      <c r="D1882" s="1595" t="s">
        <v>2462</v>
      </c>
      <c r="E1882" s="1590" t="s">
        <v>691</v>
      </c>
      <c r="F1882" s="1597">
        <v>1</v>
      </c>
      <c r="G1882" s="1473"/>
      <c r="H1882" s="1501">
        <f t="shared" si="36"/>
        <v>0</v>
      </c>
    </row>
    <row r="1883" spans="1:8">
      <c r="A1883" s="1586"/>
      <c r="B1883" s="1271"/>
      <c r="C1883" s="1792"/>
      <c r="D1883" s="2647"/>
      <c r="E1883" s="882"/>
      <c r="F1883" s="1577"/>
      <c r="G1883" s="1476"/>
      <c r="H1883" s="902"/>
    </row>
    <row r="1884" spans="1:8">
      <c r="A1884" s="2333"/>
      <c r="B1884" s="822"/>
      <c r="C1884" s="1158"/>
      <c r="D1884" s="840"/>
      <c r="E1884" s="837"/>
      <c r="F1884" s="838"/>
      <c r="G1884" s="2748"/>
      <c r="H1884" s="2749"/>
    </row>
    <row r="1885" spans="1:8">
      <c r="A1885" s="2336"/>
      <c r="B1885" s="823"/>
      <c r="C1885" s="1159"/>
      <c r="D1885" s="774" t="s">
        <v>289</v>
      </c>
      <c r="E1885" s="426"/>
      <c r="F1885" s="24"/>
      <c r="G1885" s="1477"/>
      <c r="H1885" s="2652">
        <f>SUM(H1818:H1883)</f>
        <v>0</v>
      </c>
    </row>
    <row r="1886" spans="1:8">
      <c r="A1886" s="1586"/>
      <c r="B1886" s="1271"/>
      <c r="C1886" s="2797"/>
      <c r="D1886" s="2754" t="s">
        <v>290</v>
      </c>
      <c r="E1886" s="147"/>
      <c r="F1886" s="1577"/>
      <c r="G1886" s="1478"/>
      <c r="H1886" s="885">
        <f>H1885</f>
        <v>0</v>
      </c>
    </row>
    <row r="1887" spans="1:8">
      <c r="A1887" s="1586"/>
      <c r="B1887" s="1271"/>
      <c r="C1887" s="1792"/>
      <c r="D1887" s="2751"/>
      <c r="E1887" s="147"/>
      <c r="F1887" s="1577"/>
      <c r="G1887" s="1478"/>
      <c r="H1887" s="885"/>
    </row>
    <row r="1888" spans="1:8">
      <c r="A1888" s="2684">
        <f>$A$4</f>
        <v>19</v>
      </c>
      <c r="B1888" s="2786">
        <v>14.2</v>
      </c>
      <c r="C1888" s="1603"/>
      <c r="D1888" s="2823" t="s">
        <v>2463</v>
      </c>
      <c r="E1888" s="907"/>
      <c r="F1888" s="1604"/>
      <c r="G1888" s="1473"/>
      <c r="H1888" s="2747"/>
    </row>
    <row r="1889" spans="1:8">
      <c r="A1889" s="2760"/>
      <c r="B1889" s="2786"/>
      <c r="C1889" s="1603"/>
      <c r="D1889" s="2823"/>
      <c r="E1889" s="907"/>
      <c r="F1889" s="1604"/>
      <c r="G1889" s="1473"/>
      <c r="H1889" s="2747"/>
    </row>
    <row r="1890" spans="1:8">
      <c r="A1890" s="1586"/>
      <c r="B1890" s="1587" t="s">
        <v>2162</v>
      </c>
      <c r="C1890" s="1588" t="s">
        <v>2368</v>
      </c>
      <c r="D1890" s="1600" t="s">
        <v>2464</v>
      </c>
      <c r="E1890" s="916" t="s">
        <v>691</v>
      </c>
      <c r="F1890" s="1609">
        <v>1</v>
      </c>
      <c r="G1890" s="1473"/>
      <c r="H1890" s="1501">
        <f t="shared" ref="H1890:H1945" si="37">IF(E1890="","",ROUND(F1890*G1890,2))</f>
        <v>0</v>
      </c>
    </row>
    <row r="1891" spans="1:8">
      <c r="A1891" s="1586"/>
      <c r="B1891" s="1271"/>
      <c r="C1891" s="1792"/>
      <c r="D1891" s="2751"/>
      <c r="E1891" s="147"/>
      <c r="F1891" s="1577"/>
      <c r="G1891" s="1478"/>
      <c r="H1891" s="1501" t="str">
        <f t="shared" si="37"/>
        <v/>
      </c>
    </row>
    <row r="1892" spans="1:8">
      <c r="A1892" s="2684">
        <f>$A$4</f>
        <v>19</v>
      </c>
      <c r="B1892" s="2684">
        <v>14.21</v>
      </c>
      <c r="C1892" s="1594"/>
      <c r="D1892" s="2823" t="s">
        <v>2399</v>
      </c>
      <c r="E1892" s="925"/>
      <c r="F1892" s="1591"/>
      <c r="G1892" s="1473"/>
      <c r="H1892" s="1501" t="str">
        <f t="shared" si="37"/>
        <v/>
      </c>
    </row>
    <row r="1893" spans="1:8">
      <c r="A1893" s="1586"/>
      <c r="B1893" s="2807"/>
      <c r="C1893" s="1594"/>
      <c r="D1893" s="937"/>
      <c r="E1893" s="2672"/>
      <c r="F1893" s="1591"/>
      <c r="G1893" s="1473"/>
      <c r="H1893" s="1501" t="str">
        <f t="shared" si="37"/>
        <v/>
      </c>
    </row>
    <row r="1894" spans="1:8" ht="26.4">
      <c r="A1894" s="1586"/>
      <c r="B1894" s="1604" t="s">
        <v>2162</v>
      </c>
      <c r="C1894" s="1588" t="s">
        <v>2368</v>
      </c>
      <c r="D1894" s="1595" t="s">
        <v>2479</v>
      </c>
      <c r="E1894" s="1596" t="s">
        <v>691</v>
      </c>
      <c r="F1894" s="1591">
        <v>4</v>
      </c>
      <c r="G1894" s="1473"/>
      <c r="H1894" s="1501">
        <f t="shared" si="37"/>
        <v>0</v>
      </c>
    </row>
    <row r="1895" spans="1:8">
      <c r="A1895" s="1586"/>
      <c r="B1895" s="2807"/>
      <c r="C1895" s="2738"/>
      <c r="D1895" s="1595"/>
      <c r="E1895" s="2672"/>
      <c r="F1895" s="1607"/>
      <c r="G1895" s="1473"/>
      <c r="H1895" s="1501" t="str">
        <f t="shared" si="37"/>
        <v/>
      </c>
    </row>
    <row r="1896" spans="1:8">
      <c r="A1896" s="2684">
        <f>$A$4</f>
        <v>19</v>
      </c>
      <c r="B1896" s="2684">
        <v>14.22</v>
      </c>
      <c r="C1896" s="1588"/>
      <c r="D1896" s="937" t="s">
        <v>2401</v>
      </c>
      <c r="E1896" s="2726"/>
      <c r="F1896" s="1607"/>
      <c r="G1896" s="1473"/>
      <c r="H1896" s="1501" t="str">
        <f t="shared" si="37"/>
        <v/>
      </c>
    </row>
    <row r="1897" spans="1:8">
      <c r="A1897" s="1586"/>
      <c r="B1897" s="1587"/>
      <c r="C1897" s="1588"/>
      <c r="D1897" s="937"/>
      <c r="E1897" s="2726"/>
      <c r="F1897" s="1607"/>
      <c r="G1897" s="1473"/>
      <c r="H1897" s="1501" t="str">
        <f t="shared" si="37"/>
        <v/>
      </c>
    </row>
    <row r="1898" spans="1:8">
      <c r="A1898" s="1586"/>
      <c r="B1898" s="1587"/>
      <c r="C1898" s="1588" t="s">
        <v>2368</v>
      </c>
      <c r="D1898" s="1595" t="s">
        <v>2402</v>
      </c>
      <c r="E1898" s="2726"/>
      <c r="F1898" s="1607"/>
      <c r="G1898" s="1473"/>
      <c r="H1898" s="1501" t="str">
        <f t="shared" si="37"/>
        <v/>
      </c>
    </row>
    <row r="1899" spans="1:8">
      <c r="A1899" s="1586"/>
      <c r="B1899" s="1593"/>
      <c r="C1899" s="1603"/>
      <c r="D1899" s="1595"/>
      <c r="E1899" s="2726"/>
      <c r="F1899" s="1609"/>
      <c r="G1899" s="1473"/>
      <c r="H1899" s="1501" t="str">
        <f t="shared" si="37"/>
        <v/>
      </c>
    </row>
    <row r="1900" spans="1:8" ht="15.6">
      <c r="A1900" s="1586"/>
      <c r="B1900" s="1587" t="s">
        <v>2162</v>
      </c>
      <c r="C1900" s="1588" t="s">
        <v>2368</v>
      </c>
      <c r="D1900" s="1595" t="s">
        <v>2403</v>
      </c>
      <c r="E1900" s="1590" t="s">
        <v>561</v>
      </c>
      <c r="F1900" s="1609">
        <v>150</v>
      </c>
      <c r="G1900" s="1473"/>
      <c r="H1900" s="1501">
        <f t="shared" si="37"/>
        <v>0</v>
      </c>
    </row>
    <row r="1901" spans="1:8">
      <c r="A1901" s="1586"/>
      <c r="B1901" s="1587"/>
      <c r="C1901" s="1588"/>
      <c r="D1901" s="1595"/>
      <c r="E1901" s="1590"/>
      <c r="F1901" s="1609"/>
      <c r="G1901" s="1473"/>
      <c r="H1901" s="1501" t="str">
        <f t="shared" si="37"/>
        <v/>
      </c>
    </row>
    <row r="1902" spans="1:8" ht="15.6">
      <c r="A1902" s="1586"/>
      <c r="B1902" s="2703" t="s">
        <v>2164</v>
      </c>
      <c r="C1902" s="1588" t="s">
        <v>2368</v>
      </c>
      <c r="D1902" s="1595" t="s">
        <v>2404</v>
      </c>
      <c r="E1902" s="1590" t="s">
        <v>561</v>
      </c>
      <c r="F1902" s="1609">
        <v>75</v>
      </c>
      <c r="G1902" s="1473"/>
      <c r="H1902" s="1501">
        <f t="shared" si="37"/>
        <v>0</v>
      </c>
    </row>
    <row r="1903" spans="1:8">
      <c r="A1903" s="1586"/>
      <c r="B1903" s="2809"/>
      <c r="C1903" s="2808"/>
      <c r="D1903" s="1595"/>
      <c r="E1903" s="1590"/>
      <c r="F1903" s="1609"/>
      <c r="G1903" s="1473"/>
      <c r="H1903" s="1501" t="str">
        <f t="shared" si="37"/>
        <v/>
      </c>
    </row>
    <row r="1904" spans="1:8">
      <c r="A1904" s="2684">
        <f>$A$4</f>
        <v>19</v>
      </c>
      <c r="B1904" s="2684">
        <v>14.23</v>
      </c>
      <c r="C1904" s="2808"/>
      <c r="D1904" s="937" t="s">
        <v>2405</v>
      </c>
      <c r="E1904" s="1590"/>
      <c r="F1904" s="1607"/>
      <c r="G1904" s="1473"/>
      <c r="H1904" s="1501" t="str">
        <f t="shared" si="37"/>
        <v/>
      </c>
    </row>
    <row r="1905" spans="1:8">
      <c r="A1905" s="1586"/>
      <c r="B1905" s="2684"/>
      <c r="C1905" s="2808"/>
      <c r="D1905" s="937"/>
      <c r="E1905" s="1590"/>
      <c r="F1905" s="1607"/>
      <c r="G1905" s="1473"/>
      <c r="H1905" s="1501" t="str">
        <f t="shared" si="37"/>
        <v/>
      </c>
    </row>
    <row r="1906" spans="1:8">
      <c r="A1906" s="1586"/>
      <c r="B1906" s="2809"/>
      <c r="C1906" s="1588" t="s">
        <v>2368</v>
      </c>
      <c r="D1906" s="1595" t="s">
        <v>2466</v>
      </c>
      <c r="E1906" s="2795"/>
      <c r="F1906" s="1607"/>
      <c r="G1906" s="1473"/>
      <c r="H1906" s="1501" t="str">
        <f t="shared" si="37"/>
        <v/>
      </c>
    </row>
    <row r="1907" spans="1:8">
      <c r="A1907" s="1586"/>
      <c r="B1907" s="2809"/>
      <c r="C1907" s="2808"/>
      <c r="D1907" s="1595"/>
      <c r="E1907" s="2795"/>
      <c r="F1907" s="1607"/>
      <c r="G1907" s="1473"/>
      <c r="H1907" s="1501" t="str">
        <f t="shared" si="37"/>
        <v/>
      </c>
    </row>
    <row r="1908" spans="1:8" ht="15.6">
      <c r="A1908" s="1586"/>
      <c r="B1908" s="2703" t="s">
        <v>2162</v>
      </c>
      <c r="C1908" s="1588" t="s">
        <v>2368</v>
      </c>
      <c r="D1908" s="1595" t="s">
        <v>2404</v>
      </c>
      <c r="E1908" s="2726" t="s">
        <v>561</v>
      </c>
      <c r="F1908" s="1609">
        <v>225</v>
      </c>
      <c r="G1908" s="1473"/>
      <c r="H1908" s="1501">
        <f t="shared" si="37"/>
        <v>0</v>
      </c>
    </row>
    <row r="1909" spans="1:8">
      <c r="A1909" s="1586"/>
      <c r="B1909" s="2703"/>
      <c r="C1909" s="2808"/>
      <c r="D1909" s="904"/>
      <c r="E1909" s="2726"/>
      <c r="F1909" s="1609"/>
      <c r="G1909" s="1473"/>
      <c r="H1909" s="1501" t="str">
        <f t="shared" si="37"/>
        <v/>
      </c>
    </row>
    <row r="1910" spans="1:8" ht="27">
      <c r="A1910" s="2684">
        <f>$A$4</f>
        <v>19</v>
      </c>
      <c r="B1910" s="2684">
        <v>15</v>
      </c>
      <c r="C1910" s="2743"/>
      <c r="D1910" s="2710" t="s">
        <v>2137</v>
      </c>
      <c r="E1910" s="2674"/>
      <c r="F1910" s="2831"/>
      <c r="G1910" s="2832"/>
      <c r="H1910" s="1501" t="str">
        <f t="shared" si="37"/>
        <v/>
      </c>
    </row>
    <row r="1911" spans="1:8">
      <c r="A1911" s="1586"/>
      <c r="B1911" s="1593"/>
      <c r="C1911" s="1594"/>
      <c r="D1911" s="2668"/>
      <c r="E1911" s="2674"/>
      <c r="F1911" s="2831"/>
      <c r="G1911" s="2833"/>
      <c r="H1911" s="1501" t="str">
        <f t="shared" si="37"/>
        <v/>
      </c>
    </row>
    <row r="1912" spans="1:8">
      <c r="A1912" s="2684">
        <f>$A$4</f>
        <v>19</v>
      </c>
      <c r="B1912" s="1604">
        <v>15.1</v>
      </c>
      <c r="C1912" s="1594"/>
      <c r="D1912" s="2668" t="s">
        <v>2141</v>
      </c>
      <c r="E1912" s="2674" t="s">
        <v>252</v>
      </c>
      <c r="F1912" s="2831">
        <v>1</v>
      </c>
      <c r="G1912" s="2834">
        <v>2000000</v>
      </c>
      <c r="H1912" s="1501">
        <f t="shared" si="37"/>
        <v>2000000</v>
      </c>
    </row>
    <row r="1913" spans="1:8">
      <c r="A1913" s="1586"/>
      <c r="B1913" s="1593"/>
      <c r="C1913" s="1594"/>
      <c r="D1913" s="2668"/>
      <c r="E1913" s="2674"/>
      <c r="F1913" s="2831"/>
      <c r="G1913" s="2833"/>
      <c r="H1913" s="1501" t="str">
        <f t="shared" si="37"/>
        <v/>
      </c>
    </row>
    <row r="1914" spans="1:8">
      <c r="A1914" s="2684">
        <f>$A$4</f>
        <v>19</v>
      </c>
      <c r="B1914" s="1604">
        <v>15.2</v>
      </c>
      <c r="C1914" s="1594"/>
      <c r="D1914" s="2668" t="s">
        <v>2143</v>
      </c>
      <c r="E1914" s="2674" t="s">
        <v>252</v>
      </c>
      <c r="F1914" s="2831">
        <v>1</v>
      </c>
      <c r="G1914" s="2834">
        <v>1000000</v>
      </c>
      <c r="H1914" s="1501">
        <f t="shared" si="37"/>
        <v>1000000</v>
      </c>
    </row>
    <row r="1915" spans="1:8">
      <c r="A1915" s="1586"/>
      <c r="B1915" s="1593"/>
      <c r="C1915" s="1594"/>
      <c r="D1915" s="2668"/>
      <c r="E1915" s="2674"/>
      <c r="F1915" s="2831"/>
      <c r="G1915" s="2833"/>
      <c r="H1915" s="1501" t="str">
        <f t="shared" si="37"/>
        <v/>
      </c>
    </row>
    <row r="1916" spans="1:8">
      <c r="A1916" s="2684">
        <f>$A$4</f>
        <v>19</v>
      </c>
      <c r="B1916" s="1604">
        <v>15.3</v>
      </c>
      <c r="C1916" s="1594"/>
      <c r="D1916" s="2668" t="s">
        <v>2145</v>
      </c>
      <c r="E1916" s="2674" t="s">
        <v>252</v>
      </c>
      <c r="F1916" s="2831">
        <v>1</v>
      </c>
      <c r="G1916" s="2834">
        <v>1500000</v>
      </c>
      <c r="H1916" s="1501">
        <f t="shared" si="37"/>
        <v>1500000</v>
      </c>
    </row>
    <row r="1917" spans="1:8">
      <c r="A1917" s="1586"/>
      <c r="B1917" s="1593"/>
      <c r="C1917" s="1594"/>
      <c r="D1917" s="2668"/>
      <c r="E1917" s="2674"/>
      <c r="F1917" s="2831"/>
      <c r="G1917" s="2833"/>
      <c r="H1917" s="1501" t="str">
        <f t="shared" si="37"/>
        <v/>
      </c>
    </row>
    <row r="1918" spans="1:8">
      <c r="A1918" s="2684">
        <f>$A$4</f>
        <v>19</v>
      </c>
      <c r="B1918" s="1604">
        <v>15.4</v>
      </c>
      <c r="C1918" s="1594"/>
      <c r="D1918" s="2668" t="s">
        <v>2480</v>
      </c>
      <c r="E1918" s="2674" t="s">
        <v>252</v>
      </c>
      <c r="F1918" s="2831">
        <v>1</v>
      </c>
      <c r="G1918" s="2834">
        <v>500000</v>
      </c>
      <c r="H1918" s="1501">
        <f t="shared" si="37"/>
        <v>500000</v>
      </c>
    </row>
    <row r="1919" spans="1:8">
      <c r="A1919" s="1586"/>
      <c r="B1919" s="1593"/>
      <c r="C1919" s="1594"/>
      <c r="D1919" s="2668"/>
      <c r="E1919" s="2674"/>
      <c r="F1919" s="2831"/>
      <c r="G1919" s="2833"/>
      <c r="H1919" s="1501" t="str">
        <f t="shared" si="37"/>
        <v/>
      </c>
    </row>
    <row r="1920" spans="1:8">
      <c r="A1920" s="2684">
        <f>$A$4</f>
        <v>19</v>
      </c>
      <c r="B1920" s="1604">
        <v>15.5</v>
      </c>
      <c r="C1920" s="1594"/>
      <c r="D1920" s="2668" t="s">
        <v>2149</v>
      </c>
      <c r="E1920" s="2674" t="s">
        <v>252</v>
      </c>
      <c r="F1920" s="2831">
        <v>1</v>
      </c>
      <c r="G1920" s="2834">
        <v>2000000</v>
      </c>
      <c r="H1920" s="1501">
        <f t="shared" si="37"/>
        <v>2000000</v>
      </c>
    </row>
    <row r="1921" spans="1:8">
      <c r="A1921" s="1586"/>
      <c r="B1921" s="1593"/>
      <c r="C1921" s="1594"/>
      <c r="D1921" s="2668"/>
      <c r="E1921" s="2674"/>
      <c r="F1921" s="2831"/>
      <c r="G1921" s="2833"/>
      <c r="H1921" s="1501" t="str">
        <f t="shared" si="37"/>
        <v/>
      </c>
    </row>
    <row r="1922" spans="1:8">
      <c r="A1922" s="2684">
        <f>$A$4</f>
        <v>19</v>
      </c>
      <c r="B1922" s="1604">
        <v>15.6</v>
      </c>
      <c r="C1922" s="1594"/>
      <c r="D1922" s="2668" t="s">
        <v>2153</v>
      </c>
      <c r="E1922" s="2674" t="s">
        <v>252</v>
      </c>
      <c r="F1922" s="2831">
        <v>1</v>
      </c>
      <c r="G1922" s="2834">
        <v>1969720</v>
      </c>
      <c r="H1922" s="1501">
        <f t="shared" si="37"/>
        <v>1969720</v>
      </c>
    </row>
    <row r="1923" spans="1:8">
      <c r="A1923" s="1586"/>
      <c r="B1923" s="2703"/>
      <c r="C1923" s="2808"/>
      <c r="D1923" s="904"/>
      <c r="E1923" s="2726"/>
      <c r="F1923" s="1609"/>
      <c r="G1923" s="1473"/>
      <c r="H1923" s="1501" t="str">
        <f t="shared" si="37"/>
        <v/>
      </c>
    </row>
    <row r="1924" spans="1:8">
      <c r="A1924" s="1586"/>
      <c r="B1924" s="2703"/>
      <c r="C1924" s="2808"/>
      <c r="D1924" s="904"/>
      <c r="E1924" s="2726"/>
      <c r="F1924" s="1609"/>
      <c r="G1924" s="1473"/>
      <c r="H1924" s="1501" t="str">
        <f t="shared" si="37"/>
        <v/>
      </c>
    </row>
    <row r="1925" spans="1:8">
      <c r="A1925" s="1586"/>
      <c r="B1925" s="2703"/>
      <c r="C1925" s="2808"/>
      <c r="D1925" s="904"/>
      <c r="E1925" s="2726"/>
      <c r="F1925" s="1609"/>
      <c r="G1925" s="1473"/>
      <c r="H1925" s="1501" t="str">
        <f t="shared" si="37"/>
        <v/>
      </c>
    </row>
    <row r="1926" spans="1:8">
      <c r="A1926" s="1586"/>
      <c r="B1926" s="2703"/>
      <c r="C1926" s="2808"/>
      <c r="D1926" s="904"/>
      <c r="E1926" s="2726"/>
      <c r="F1926" s="1609"/>
      <c r="G1926" s="1473"/>
      <c r="H1926" s="1501" t="str">
        <f t="shared" si="37"/>
        <v/>
      </c>
    </row>
    <row r="1927" spans="1:8">
      <c r="A1927" s="1586"/>
      <c r="B1927" s="2703"/>
      <c r="C1927" s="2808"/>
      <c r="D1927" s="904"/>
      <c r="E1927" s="2726"/>
      <c r="F1927" s="1609"/>
      <c r="G1927" s="1473"/>
      <c r="H1927" s="1501" t="str">
        <f t="shared" si="37"/>
        <v/>
      </c>
    </row>
    <row r="1928" spans="1:8">
      <c r="A1928" s="1586"/>
      <c r="B1928" s="2703"/>
      <c r="C1928" s="2808"/>
      <c r="D1928" s="904"/>
      <c r="E1928" s="2726"/>
      <c r="F1928" s="1609"/>
      <c r="G1928" s="1473"/>
      <c r="H1928" s="1501" t="str">
        <f t="shared" si="37"/>
        <v/>
      </c>
    </row>
    <row r="1929" spans="1:8">
      <c r="A1929" s="1586"/>
      <c r="B1929" s="2703"/>
      <c r="C1929" s="2808"/>
      <c r="D1929" s="904"/>
      <c r="E1929" s="2726"/>
      <c r="F1929" s="1609"/>
      <c r="G1929" s="1473"/>
      <c r="H1929" s="1501" t="str">
        <f t="shared" si="37"/>
        <v/>
      </c>
    </row>
    <row r="1930" spans="1:8">
      <c r="A1930" s="1586"/>
      <c r="B1930" s="2703"/>
      <c r="C1930" s="2808"/>
      <c r="D1930" s="904"/>
      <c r="E1930" s="2726"/>
      <c r="F1930" s="1609"/>
      <c r="G1930" s="1473"/>
      <c r="H1930" s="1501" t="str">
        <f t="shared" si="37"/>
        <v/>
      </c>
    </row>
    <row r="1931" spans="1:8">
      <c r="A1931" s="1586"/>
      <c r="B1931" s="2703"/>
      <c r="C1931" s="2808"/>
      <c r="D1931" s="904"/>
      <c r="E1931" s="2726"/>
      <c r="F1931" s="1609"/>
      <c r="G1931" s="1473"/>
      <c r="H1931" s="1501" t="str">
        <f t="shared" si="37"/>
        <v/>
      </c>
    </row>
    <row r="1932" spans="1:8">
      <c r="A1932" s="1586"/>
      <c r="B1932" s="2703"/>
      <c r="C1932" s="2808"/>
      <c r="D1932" s="904"/>
      <c r="E1932" s="2726"/>
      <c r="F1932" s="1609"/>
      <c r="G1932" s="1473"/>
      <c r="H1932" s="1501" t="str">
        <f t="shared" si="37"/>
        <v/>
      </c>
    </row>
    <row r="1933" spans="1:8">
      <c r="A1933" s="1586"/>
      <c r="B1933" s="2703"/>
      <c r="C1933" s="2808"/>
      <c r="D1933" s="904"/>
      <c r="E1933" s="2726"/>
      <c r="F1933" s="1609"/>
      <c r="G1933" s="1473"/>
      <c r="H1933" s="1501" t="str">
        <f t="shared" si="37"/>
        <v/>
      </c>
    </row>
    <row r="1934" spans="1:8">
      <c r="A1934" s="1586"/>
      <c r="B1934" s="2703"/>
      <c r="C1934" s="2808"/>
      <c r="D1934" s="904"/>
      <c r="E1934" s="2726"/>
      <c r="F1934" s="1609"/>
      <c r="G1934" s="1473"/>
      <c r="H1934" s="1501" t="str">
        <f t="shared" si="37"/>
        <v/>
      </c>
    </row>
    <row r="1935" spans="1:8">
      <c r="A1935" s="1586"/>
      <c r="B1935" s="2703"/>
      <c r="C1935" s="2808"/>
      <c r="D1935" s="904"/>
      <c r="E1935" s="2726"/>
      <c r="F1935" s="1609"/>
      <c r="G1935" s="1473"/>
      <c r="H1935" s="1501" t="str">
        <f t="shared" si="37"/>
        <v/>
      </c>
    </row>
    <row r="1936" spans="1:8">
      <c r="A1936" s="1586"/>
      <c r="B1936" s="2703"/>
      <c r="C1936" s="2808"/>
      <c r="D1936" s="904"/>
      <c r="E1936" s="2726"/>
      <c r="F1936" s="1609"/>
      <c r="G1936" s="1473"/>
      <c r="H1936" s="1501" t="str">
        <f t="shared" si="37"/>
        <v/>
      </c>
    </row>
    <row r="1937" spans="1:8">
      <c r="A1937" s="1586"/>
      <c r="B1937" s="2703"/>
      <c r="C1937" s="2808"/>
      <c r="D1937" s="904"/>
      <c r="E1937" s="2726"/>
      <c r="F1937" s="1609"/>
      <c r="G1937" s="1473"/>
      <c r="H1937" s="1501" t="str">
        <f t="shared" si="37"/>
        <v/>
      </c>
    </row>
    <row r="1938" spans="1:8">
      <c r="A1938" s="1586"/>
      <c r="B1938" s="2703"/>
      <c r="C1938" s="2808"/>
      <c r="D1938" s="904"/>
      <c r="E1938" s="2726"/>
      <c r="F1938" s="1609"/>
      <c r="G1938" s="1473"/>
      <c r="H1938" s="1501" t="str">
        <f t="shared" si="37"/>
        <v/>
      </c>
    </row>
    <row r="1939" spans="1:8">
      <c r="A1939" s="1586"/>
      <c r="B1939" s="2703"/>
      <c r="C1939" s="2808"/>
      <c r="D1939" s="904"/>
      <c r="E1939" s="2726"/>
      <c r="F1939" s="1609"/>
      <c r="G1939" s="1473"/>
      <c r="H1939" s="1501" t="str">
        <f t="shared" si="37"/>
        <v/>
      </c>
    </row>
    <row r="1940" spans="1:8">
      <c r="A1940" s="1586"/>
      <c r="B1940" s="2703"/>
      <c r="C1940" s="2808"/>
      <c r="D1940" s="904"/>
      <c r="E1940" s="2726"/>
      <c r="F1940" s="1609"/>
      <c r="G1940" s="1473"/>
      <c r="H1940" s="1501" t="str">
        <f t="shared" si="37"/>
        <v/>
      </c>
    </row>
    <row r="1941" spans="1:8">
      <c r="A1941" s="1586"/>
      <c r="B1941" s="2703"/>
      <c r="C1941" s="2808"/>
      <c r="D1941" s="904"/>
      <c r="E1941" s="2726"/>
      <c r="F1941" s="1609"/>
      <c r="G1941" s="1473"/>
      <c r="H1941" s="1501" t="str">
        <f t="shared" si="37"/>
        <v/>
      </c>
    </row>
    <row r="1942" spans="1:8">
      <c r="A1942" s="1586"/>
      <c r="B1942" s="2703"/>
      <c r="C1942" s="2808"/>
      <c r="D1942" s="904"/>
      <c r="E1942" s="2726"/>
      <c r="F1942" s="1609"/>
      <c r="G1942" s="1473"/>
      <c r="H1942" s="1501" t="str">
        <f t="shared" si="37"/>
        <v/>
      </c>
    </row>
    <row r="1943" spans="1:8">
      <c r="A1943" s="1586"/>
      <c r="B1943" s="2703"/>
      <c r="C1943" s="2808"/>
      <c r="D1943" s="904"/>
      <c r="E1943" s="2726"/>
      <c r="F1943" s="1609"/>
      <c r="G1943" s="1473"/>
      <c r="H1943" s="1501" t="str">
        <f t="shared" si="37"/>
        <v/>
      </c>
    </row>
    <row r="1944" spans="1:8">
      <c r="A1944" s="1586"/>
      <c r="B1944" s="2703"/>
      <c r="C1944" s="2808"/>
      <c r="D1944" s="904"/>
      <c r="E1944" s="2726"/>
      <c r="F1944" s="1609"/>
      <c r="G1944" s="1473"/>
      <c r="H1944" s="1501" t="str">
        <f t="shared" si="37"/>
        <v/>
      </c>
    </row>
    <row r="1945" spans="1:8">
      <c r="A1945" s="1586"/>
      <c r="B1945" s="2703"/>
      <c r="C1945" s="2808"/>
      <c r="D1945" s="904"/>
      <c r="E1945" s="2726"/>
      <c r="F1945" s="1609"/>
      <c r="G1945" s="1473"/>
      <c r="H1945" s="1501" t="str">
        <f t="shared" si="37"/>
        <v/>
      </c>
    </row>
    <row r="1946" spans="1:8">
      <c r="A1946" s="1586"/>
      <c r="B1946" s="2703"/>
      <c r="C1946" s="2808"/>
      <c r="D1946" s="904"/>
      <c r="E1946" s="2726"/>
      <c r="F1946" s="1609"/>
      <c r="G1946" s="1473"/>
      <c r="H1946" s="2747"/>
    </row>
    <row r="1947" spans="1:8">
      <c r="A1947" s="1586"/>
      <c r="B1947" s="2703"/>
      <c r="C1947" s="2808"/>
      <c r="D1947" s="904"/>
      <c r="E1947" s="2726"/>
      <c r="F1947" s="1609"/>
      <c r="G1947" s="1473"/>
      <c r="H1947" s="2747"/>
    </row>
    <row r="1948" spans="1:8">
      <c r="A1948" s="1586"/>
      <c r="B1948" s="2703"/>
      <c r="C1948" s="2808"/>
      <c r="D1948" s="904"/>
      <c r="E1948" s="2726"/>
      <c r="F1948" s="1609"/>
      <c r="G1948" s="1473"/>
      <c r="H1948" s="2747"/>
    </row>
    <row r="1949" spans="1:8">
      <c r="A1949" s="1586"/>
      <c r="B1949" s="2703"/>
      <c r="C1949" s="2808"/>
      <c r="D1949" s="904"/>
      <c r="E1949" s="2726"/>
      <c r="F1949" s="1609"/>
      <c r="G1949" s="1473"/>
      <c r="H1949" s="2747"/>
    </row>
    <row r="1950" spans="1:8">
      <c r="A1950" s="1586"/>
      <c r="B1950" s="2703"/>
      <c r="C1950" s="2808"/>
      <c r="D1950" s="904"/>
      <c r="E1950" s="2726"/>
      <c r="F1950" s="1609"/>
      <c r="G1950" s="1473"/>
      <c r="H1950" s="2747"/>
    </row>
    <row r="1951" spans="1:8">
      <c r="A1951" s="1586"/>
      <c r="B1951" s="2703"/>
      <c r="C1951" s="2808"/>
      <c r="D1951" s="904"/>
      <c r="E1951" s="2726"/>
      <c r="F1951" s="1609"/>
      <c r="G1951" s="1473"/>
      <c r="H1951" s="2747"/>
    </row>
    <row r="1952" spans="1:8">
      <c r="A1952" s="1586"/>
      <c r="B1952" s="2703"/>
      <c r="C1952" s="2808"/>
      <c r="D1952" s="904"/>
      <c r="E1952" s="2726"/>
      <c r="F1952" s="1609"/>
      <c r="G1952" s="1473"/>
      <c r="H1952" s="2747"/>
    </row>
    <row r="1953" spans="1:8">
      <c r="A1953" s="1586"/>
      <c r="B1953" s="2703"/>
      <c r="C1953" s="2808"/>
      <c r="D1953" s="904"/>
      <c r="E1953" s="2726"/>
      <c r="F1953" s="1609"/>
      <c r="G1953" s="1473"/>
      <c r="H1953" s="2747"/>
    </row>
    <row r="1954" spans="1:8">
      <c r="A1954" s="1586"/>
      <c r="B1954" s="2703"/>
      <c r="C1954" s="2808"/>
      <c r="D1954" s="904"/>
      <c r="E1954" s="2726"/>
      <c r="F1954" s="1609"/>
      <c r="G1954" s="1473"/>
      <c r="H1954" s="2747"/>
    </row>
    <row r="1955" spans="1:8">
      <c r="A1955" s="1586"/>
      <c r="B1955" s="2703"/>
      <c r="C1955" s="2808"/>
      <c r="D1955" s="904"/>
      <c r="E1955" s="2726"/>
      <c r="F1955" s="1609"/>
      <c r="G1955" s="1482"/>
      <c r="H1955" s="2747"/>
    </row>
    <row r="1956" spans="1:8">
      <c r="A1956" s="1586"/>
      <c r="B1956" s="2703"/>
      <c r="C1956" s="2808"/>
      <c r="D1956" s="904"/>
      <c r="E1956" s="2726"/>
      <c r="F1956" s="1609"/>
      <c r="G1956" s="1482"/>
      <c r="H1956" s="2747"/>
    </row>
    <row r="1957" spans="1:8">
      <c r="A1957" s="1586"/>
      <c r="B1957" s="2703"/>
      <c r="C1957" s="2808"/>
      <c r="D1957" s="904"/>
      <c r="E1957" s="2726"/>
      <c r="F1957" s="1609"/>
      <c r="G1957" s="1482"/>
      <c r="H1957" s="2747"/>
    </row>
    <row r="1958" spans="1:8">
      <c r="A1958" s="1586"/>
      <c r="B1958" s="2703"/>
      <c r="C1958" s="2808"/>
      <c r="D1958" s="904"/>
      <c r="E1958" s="2726"/>
      <c r="F1958" s="1609"/>
      <c r="G1958" s="1482"/>
      <c r="H1958" s="2747"/>
    </row>
    <row r="1959" spans="1:8">
      <c r="A1959" s="1586"/>
      <c r="B1959" s="2703"/>
      <c r="C1959" s="2808"/>
      <c r="D1959" s="904"/>
      <c r="E1959" s="2726"/>
      <c r="F1959" s="1609"/>
      <c r="G1959" s="1482"/>
      <c r="H1959" s="2747"/>
    </row>
    <row r="1960" spans="1:8">
      <c r="A1960" s="2835"/>
      <c r="B1960" s="843"/>
      <c r="C1960" s="1157"/>
      <c r="D1960" s="778"/>
      <c r="E1960" s="777"/>
      <c r="F1960" s="779"/>
      <c r="G1960" s="1483"/>
      <c r="H1960" s="2836"/>
    </row>
    <row r="1961" spans="1:8">
      <c r="A1961" s="2837"/>
      <c r="B1961" s="844"/>
      <c r="C1961" s="841"/>
      <c r="D1961" s="3044" t="s">
        <v>2154</v>
      </c>
      <c r="E1961" s="3044"/>
      <c r="F1961" s="3044"/>
      <c r="G1961" s="1484"/>
      <c r="H1961" s="2838">
        <f>SUM(H1886:H1959)</f>
        <v>8969720</v>
      </c>
    </row>
    <row r="1962" spans="1:8">
      <c r="A1962" s="845"/>
      <c r="B1962" s="845"/>
      <c r="C1962" s="846"/>
      <c r="D1962" s="847"/>
      <c r="E1962" s="847"/>
      <c r="F1962" s="847"/>
      <c r="G1962" s="767"/>
      <c r="H1962" s="848"/>
    </row>
    <row r="1963" spans="1:8">
      <c r="A1963" s="845"/>
      <c r="B1963" s="845"/>
      <c r="C1963" s="846"/>
      <c r="D1963" s="847"/>
      <c r="E1963" s="847"/>
      <c r="F1963" s="847"/>
      <c r="G1963" s="767"/>
      <c r="H1963" s="848"/>
    </row>
    <row r="1964" spans="1:8">
      <c r="A1964" s="845"/>
      <c r="B1964" s="845"/>
      <c r="C1964" s="846"/>
      <c r="D1964" s="847"/>
      <c r="E1964" s="847"/>
      <c r="F1964" s="847"/>
      <c r="G1964" s="767"/>
      <c r="H1964" s="848"/>
    </row>
    <row r="1965" spans="1:8">
      <c r="A1965" s="845"/>
      <c r="B1965" s="845"/>
      <c r="C1965" s="846"/>
      <c r="D1965" s="847"/>
      <c r="E1965" s="847"/>
      <c r="F1965" s="847"/>
      <c r="G1965" s="767"/>
      <c r="H1965" s="848"/>
    </row>
    <row r="1966" spans="1:8">
      <c r="A1966" s="845"/>
      <c r="B1966" s="845"/>
      <c r="C1966" s="846"/>
      <c r="D1966" s="847"/>
      <c r="E1966" s="847"/>
      <c r="F1966" s="847"/>
      <c r="G1966" s="767"/>
      <c r="H1966" s="848"/>
    </row>
  </sheetData>
  <mergeCells count="2">
    <mergeCell ref="A1:H1"/>
    <mergeCell ref="D1961:F1961"/>
  </mergeCells>
  <phoneticPr fontId="33" type="noConversion"/>
  <pageMargins left="0.59055118110236227" right="0.59055118110236227" top="1.1023622047244095" bottom="0.78740157480314965" header="0.27559055118110237" footer="0.27559055118110237"/>
  <pageSetup paperSize="9" scale="65" firstPageNumber="109" fitToHeight="0" orientation="portrait" useFirstPageNumber="1" r:id="rId1"/>
  <headerFooter>
    <oddHeader>&amp;L&amp;G&amp;CContract JW14425
Bushkoppie Wastewater Treatment Works:
Infrastructure Renewal Plan
Volume 1 
C 2.2 Bill of Quantities&amp;R&amp;G</oddHeader>
    <oddFooter>&amp;C&amp;G
C.&amp;P</oddFooter>
  </headerFooter>
  <rowBreaks count="27" manualBreakCount="27">
    <brk id="63" max="7" man="1"/>
    <brk id="127" max="16383" man="1"/>
    <brk id="187" max="16383" man="1"/>
    <brk id="246" max="16383" man="1"/>
    <brk id="318" max="16383" man="1"/>
    <brk id="392" max="16383" man="1"/>
    <brk id="460" max="16383" man="1"/>
    <brk id="530" max="16383" man="1"/>
    <brk id="604" max="16383" man="1"/>
    <brk id="673" max="16383" man="1"/>
    <brk id="748" max="16383" man="1"/>
    <brk id="816" max="16383" man="1"/>
    <brk id="894" max="16383" man="1"/>
    <brk id="944" max="16383" man="1"/>
    <brk id="1016" max="16383" man="1"/>
    <brk id="1086" max="16383" man="1"/>
    <brk id="1158" max="16383" man="1"/>
    <brk id="1236" max="16383" man="1"/>
    <brk id="1313" max="16383" man="1"/>
    <brk id="1381" max="16383" man="1"/>
    <brk id="1455" max="16383" man="1"/>
    <brk id="1519" max="16383" man="1"/>
    <brk id="1595" max="16383" man="1"/>
    <brk id="1672" max="16383" man="1"/>
    <brk id="1745" max="16383" man="1"/>
    <brk id="1817" max="16383" man="1"/>
    <brk id="1885" max="16383" man="1"/>
  </rowBreaks>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BE17E-B0E2-4924-94B7-324319BBF2CC}">
  <sheetPr codeName="Sheet19">
    <pageSetUpPr fitToPage="1"/>
  </sheetPr>
  <dimension ref="A1:H987"/>
  <sheetViews>
    <sheetView view="pageBreakPreview" zoomScaleNormal="100" zoomScaleSheetLayoutView="100" workbookViewId="0">
      <selection activeCell="K18" sqref="K18"/>
    </sheetView>
  </sheetViews>
  <sheetFormatPr defaultColWidth="6.109375" defaultRowHeight="13.2"/>
  <cols>
    <col min="1" max="1" width="9.109375" style="335" customWidth="1"/>
    <col min="2" max="2" width="8.88671875" style="420" customWidth="1"/>
    <col min="3" max="3" width="9.88671875" style="420" customWidth="1"/>
    <col min="4" max="4" width="58.88671875" style="31" customWidth="1"/>
    <col min="5" max="5" width="8.88671875" style="335" customWidth="1"/>
    <col min="6" max="6" width="10.88671875" style="337" customWidth="1"/>
    <col min="7" max="7" width="14.88671875" style="213" customWidth="1"/>
    <col min="8" max="8" width="20.88671875" style="354" customWidth="1"/>
    <col min="9" max="9" width="6.109375" style="31" customWidth="1"/>
    <col min="10" max="10" width="8" style="31" customWidth="1"/>
    <col min="11" max="16384" width="6.109375" style="31"/>
  </cols>
  <sheetData>
    <row r="1" spans="1:8" ht="13.8">
      <c r="A1" s="3036" t="s">
        <v>2481</v>
      </c>
      <c r="B1" s="3036"/>
      <c r="C1" s="3036"/>
      <c r="D1" s="3036"/>
      <c r="E1" s="3036"/>
      <c r="F1" s="3036"/>
      <c r="G1" s="3036"/>
      <c r="H1" s="3036"/>
    </row>
    <row r="2" spans="1:8" s="1" customFormat="1" ht="25.5" customHeight="1">
      <c r="A2" s="849" t="s">
        <v>541</v>
      </c>
      <c r="B2" s="853" t="s">
        <v>217</v>
      </c>
      <c r="C2" s="453" t="s">
        <v>218</v>
      </c>
      <c r="D2" s="417" t="s">
        <v>219</v>
      </c>
      <c r="E2" s="414" t="s">
        <v>220</v>
      </c>
      <c r="F2" s="415" t="s">
        <v>221</v>
      </c>
      <c r="G2" s="416" t="s">
        <v>222</v>
      </c>
      <c r="H2" s="525" t="s">
        <v>223</v>
      </c>
    </row>
    <row r="3" spans="1:8">
      <c r="A3" s="1791"/>
      <c r="B3" s="2839"/>
      <c r="C3" s="1687"/>
      <c r="D3" s="2030"/>
      <c r="E3" s="1669"/>
      <c r="F3" s="1816"/>
      <c r="G3" s="2840"/>
      <c r="H3" s="2841"/>
    </row>
    <row r="4" spans="1:8" s="513" customFormat="1" ht="13.8">
      <c r="A4" s="2578">
        <v>20</v>
      </c>
      <c r="B4" s="2578"/>
      <c r="C4" s="2579"/>
      <c r="D4" s="2842" t="s">
        <v>1456</v>
      </c>
      <c r="E4" s="2616"/>
      <c r="F4" s="2581"/>
      <c r="G4" s="2843"/>
      <c r="H4" s="2844"/>
    </row>
    <row r="5" spans="1:8" s="513" customFormat="1" ht="13.8">
      <c r="A5" s="2845"/>
      <c r="B5" s="2578"/>
      <c r="C5" s="2579"/>
      <c r="D5" s="2842"/>
      <c r="E5" s="2616"/>
      <c r="F5" s="2581"/>
      <c r="G5" s="2843"/>
      <c r="H5" s="2844"/>
    </row>
    <row r="6" spans="1:8">
      <c r="A6" s="2846">
        <f>$A$4</f>
        <v>20</v>
      </c>
      <c r="B6" s="1623">
        <v>1</v>
      </c>
      <c r="C6" s="1623"/>
      <c r="D6" s="2847" t="s">
        <v>2482</v>
      </c>
      <c r="E6" s="1610"/>
      <c r="F6" s="2848"/>
      <c r="G6" s="2199"/>
      <c r="H6" s="1614"/>
    </row>
    <row r="7" spans="1:8">
      <c r="A7" s="1791"/>
      <c r="B7" s="1610"/>
      <c r="C7" s="1610"/>
      <c r="D7" s="2849"/>
      <c r="E7" s="1610"/>
      <c r="F7" s="2848"/>
      <c r="G7" s="2199"/>
      <c r="H7" s="1614"/>
    </row>
    <row r="8" spans="1:8" s="32" customFormat="1">
      <c r="A8" s="1791"/>
      <c r="B8" s="1623" t="s">
        <v>543</v>
      </c>
      <c r="C8" s="1610"/>
      <c r="D8" s="854" t="s">
        <v>1097</v>
      </c>
      <c r="E8" s="1610"/>
      <c r="F8" s="1613"/>
      <c r="G8" s="2199"/>
      <c r="H8" s="1614"/>
    </row>
    <row r="9" spans="1:8">
      <c r="A9" s="1791"/>
      <c r="B9" s="2850"/>
      <c r="C9" s="1610"/>
      <c r="D9" s="855"/>
      <c r="E9" s="1610"/>
      <c r="F9" s="2851"/>
      <c r="G9" s="2199"/>
      <c r="H9" s="1614"/>
    </row>
    <row r="10" spans="1:8" ht="26.4">
      <c r="A10" s="1791">
        <f>$A$4</f>
        <v>20</v>
      </c>
      <c r="B10" s="1610">
        <v>1.1000000000000001</v>
      </c>
      <c r="C10" s="1610" t="s">
        <v>2483</v>
      </c>
      <c r="D10" s="1646" t="s">
        <v>2484</v>
      </c>
      <c r="E10" s="1610" t="s">
        <v>2485</v>
      </c>
      <c r="F10" s="2852">
        <v>2</v>
      </c>
      <c r="G10" s="2199"/>
      <c r="H10" s="1501">
        <f t="shared" ref="H10:H67" si="0">IF(E10="","",ROUND(F10*G10,2))</f>
        <v>0</v>
      </c>
    </row>
    <row r="11" spans="1:8">
      <c r="A11" s="1791"/>
      <c r="B11" s="2850"/>
      <c r="C11" s="1610"/>
      <c r="D11" s="856"/>
      <c r="E11" s="1610"/>
      <c r="F11" s="2853"/>
      <c r="G11" s="2199"/>
      <c r="H11" s="1501" t="str">
        <f t="shared" si="0"/>
        <v/>
      </c>
    </row>
    <row r="12" spans="1:8" s="422" customFormat="1" ht="26.4">
      <c r="A12" s="1791">
        <f>$A$4</f>
        <v>20</v>
      </c>
      <c r="B12" s="1610">
        <v>1.2</v>
      </c>
      <c r="C12" s="1610" t="s">
        <v>2486</v>
      </c>
      <c r="D12" s="2854" t="s">
        <v>2487</v>
      </c>
      <c r="E12" s="1610" t="s">
        <v>2485</v>
      </c>
      <c r="F12" s="2855">
        <v>2</v>
      </c>
      <c r="G12" s="2856"/>
      <c r="H12" s="1501">
        <f t="shared" si="0"/>
        <v>0</v>
      </c>
    </row>
    <row r="13" spans="1:8">
      <c r="A13" s="1791"/>
      <c r="B13" s="2850"/>
      <c r="C13" s="1610"/>
      <c r="D13" s="857"/>
      <c r="E13" s="1610"/>
      <c r="F13" s="2855"/>
      <c r="G13" s="2199"/>
      <c r="H13" s="1501" t="str">
        <f t="shared" si="0"/>
        <v/>
      </c>
    </row>
    <row r="14" spans="1:8" ht="26.4">
      <c r="A14" s="1791">
        <f>$A$4</f>
        <v>20</v>
      </c>
      <c r="B14" s="1610">
        <v>1.3</v>
      </c>
      <c r="C14" s="1610" t="s">
        <v>2488</v>
      </c>
      <c r="D14" s="857" t="s">
        <v>1103</v>
      </c>
      <c r="E14" s="1610" t="s">
        <v>2485</v>
      </c>
      <c r="F14" s="1618">
        <v>7</v>
      </c>
      <c r="G14" s="2857"/>
      <c r="H14" s="1501">
        <f t="shared" si="0"/>
        <v>0</v>
      </c>
    </row>
    <row r="15" spans="1:8">
      <c r="A15" s="1791"/>
      <c r="B15" s="2850"/>
      <c r="C15" s="1610"/>
      <c r="D15" s="856"/>
      <c r="E15" s="1610"/>
      <c r="F15" s="1618"/>
      <c r="G15" s="2858"/>
      <c r="H15" s="1501" t="str">
        <f t="shared" si="0"/>
        <v/>
      </c>
    </row>
    <row r="16" spans="1:8" ht="26.4">
      <c r="A16" s="1791">
        <f>$A$4</f>
        <v>20</v>
      </c>
      <c r="B16" s="1610">
        <v>1.4</v>
      </c>
      <c r="C16" s="1610" t="s">
        <v>2486</v>
      </c>
      <c r="D16" s="2859" t="s">
        <v>2489</v>
      </c>
      <c r="E16" s="1610" t="s">
        <v>2485</v>
      </c>
      <c r="F16" s="1618">
        <v>7</v>
      </c>
      <c r="G16" s="2858"/>
      <c r="H16" s="1501">
        <f t="shared" si="0"/>
        <v>0</v>
      </c>
    </row>
    <row r="17" spans="1:8">
      <c r="A17" s="1791"/>
      <c r="B17" s="2850"/>
      <c r="C17" s="1610"/>
      <c r="D17" s="857"/>
      <c r="E17" s="1610"/>
      <c r="F17" s="1618"/>
      <c r="G17" s="2858"/>
      <c r="H17" s="1501" t="str">
        <f t="shared" si="0"/>
        <v/>
      </c>
    </row>
    <row r="18" spans="1:8">
      <c r="A18" s="1791">
        <f>$A$4</f>
        <v>20</v>
      </c>
      <c r="B18" s="1610">
        <v>1.5</v>
      </c>
      <c r="C18" s="1610" t="s">
        <v>2490</v>
      </c>
      <c r="D18" s="2859" t="s">
        <v>2491</v>
      </c>
      <c r="E18" s="1783"/>
      <c r="F18" s="2860"/>
      <c r="G18" s="2858"/>
      <c r="H18" s="1501" t="str">
        <f t="shared" si="0"/>
        <v/>
      </c>
    </row>
    <row r="19" spans="1:8">
      <c r="A19" s="1791"/>
      <c r="B19" s="2850"/>
      <c r="C19" s="1610"/>
      <c r="D19" s="856"/>
      <c r="E19" s="1610"/>
      <c r="F19" s="2855"/>
      <c r="G19" s="2858"/>
      <c r="H19" s="1501" t="str">
        <f t="shared" si="0"/>
        <v/>
      </c>
    </row>
    <row r="20" spans="1:8" ht="26.4">
      <c r="A20" s="1791">
        <f>$A$4</f>
        <v>20</v>
      </c>
      <c r="B20" s="1610">
        <v>1.6</v>
      </c>
      <c r="C20" s="1610" t="s">
        <v>2486</v>
      </c>
      <c r="D20" s="2859" t="s">
        <v>2492</v>
      </c>
      <c r="E20" s="1783" t="s">
        <v>2485</v>
      </c>
      <c r="F20" s="2860">
        <v>6</v>
      </c>
      <c r="G20" s="2199"/>
      <c r="H20" s="1501">
        <f t="shared" si="0"/>
        <v>0</v>
      </c>
    </row>
    <row r="21" spans="1:8">
      <c r="A21" s="1791"/>
      <c r="B21" s="2850"/>
      <c r="C21" s="1610"/>
      <c r="D21" s="857"/>
      <c r="E21" s="1783"/>
      <c r="F21" s="2860"/>
      <c r="G21" s="2858"/>
      <c r="H21" s="1501" t="str">
        <f t="shared" si="0"/>
        <v/>
      </c>
    </row>
    <row r="22" spans="1:8" ht="26.4">
      <c r="A22" s="1791">
        <f>$A$4</f>
        <v>20</v>
      </c>
      <c r="B22" s="1610">
        <v>1.7</v>
      </c>
      <c r="C22" s="1610" t="s">
        <v>2483</v>
      </c>
      <c r="D22" s="2861" t="s">
        <v>2493</v>
      </c>
      <c r="E22" s="1610" t="s">
        <v>2485</v>
      </c>
      <c r="F22" s="2855">
        <v>1</v>
      </c>
      <c r="G22" s="2858"/>
      <c r="H22" s="1501">
        <f t="shared" si="0"/>
        <v>0</v>
      </c>
    </row>
    <row r="23" spans="1:8">
      <c r="A23" s="1791"/>
      <c r="B23" s="2850"/>
      <c r="C23" s="1610"/>
      <c r="D23" s="856"/>
      <c r="E23" s="1610"/>
      <c r="F23" s="2855"/>
      <c r="G23" s="2858"/>
      <c r="H23" s="1501" t="str">
        <f t="shared" si="0"/>
        <v/>
      </c>
    </row>
    <row r="24" spans="1:8" ht="26.4">
      <c r="A24" s="1791">
        <f>$A$4</f>
        <v>20</v>
      </c>
      <c r="B24" s="1610">
        <v>1.8</v>
      </c>
      <c r="C24" s="1610" t="s">
        <v>2486</v>
      </c>
      <c r="D24" s="2859" t="s">
        <v>2494</v>
      </c>
      <c r="E24" s="1783" t="s">
        <v>2485</v>
      </c>
      <c r="F24" s="2860">
        <v>1</v>
      </c>
      <c r="G24" s="2199"/>
      <c r="H24" s="1501">
        <f t="shared" si="0"/>
        <v>0</v>
      </c>
    </row>
    <row r="25" spans="1:8">
      <c r="A25" s="1791"/>
      <c r="B25" s="2850"/>
      <c r="C25" s="1610"/>
      <c r="D25" s="857"/>
      <c r="E25" s="1783"/>
      <c r="F25" s="2860"/>
      <c r="G25" s="2858"/>
      <c r="H25" s="1501" t="str">
        <f t="shared" si="0"/>
        <v/>
      </c>
    </row>
    <row r="26" spans="1:8">
      <c r="A26" s="1791">
        <f>$A$4</f>
        <v>20</v>
      </c>
      <c r="B26" s="1610">
        <v>1.9</v>
      </c>
      <c r="C26" s="1610" t="s">
        <v>2490</v>
      </c>
      <c r="D26" s="857" t="s">
        <v>2495</v>
      </c>
      <c r="E26" s="1783"/>
      <c r="F26" s="2860"/>
      <c r="G26" s="2858"/>
      <c r="H26" s="1501" t="str">
        <f t="shared" si="0"/>
        <v/>
      </c>
    </row>
    <row r="27" spans="1:8">
      <c r="A27" s="1791"/>
      <c r="B27" s="2850"/>
      <c r="C27" s="1610"/>
      <c r="D27" s="857"/>
      <c r="E27" s="1783"/>
      <c r="F27" s="2860"/>
      <c r="G27" s="2858"/>
      <c r="H27" s="1501" t="str">
        <f t="shared" si="0"/>
        <v/>
      </c>
    </row>
    <row r="28" spans="1:8">
      <c r="A28" s="1791">
        <f>$A$4</f>
        <v>20</v>
      </c>
      <c r="B28" s="2862">
        <v>1.1000000000000001</v>
      </c>
      <c r="C28" s="1610" t="s">
        <v>2490</v>
      </c>
      <c r="D28" s="857" t="s">
        <v>2496</v>
      </c>
      <c r="E28" s="1783"/>
      <c r="F28" s="2860"/>
      <c r="G28" s="2858"/>
      <c r="H28" s="1501" t="str">
        <f t="shared" si="0"/>
        <v/>
      </c>
    </row>
    <row r="29" spans="1:8">
      <c r="A29" s="1791"/>
      <c r="B29" s="2850"/>
      <c r="C29" s="1610"/>
      <c r="D29" s="857"/>
      <c r="E29" s="1783"/>
      <c r="F29" s="2860"/>
      <c r="G29" s="2858"/>
      <c r="H29" s="1501" t="str">
        <f t="shared" si="0"/>
        <v/>
      </c>
    </row>
    <row r="30" spans="1:8" ht="26.4">
      <c r="A30" s="1791">
        <f>$A$4</f>
        <v>20</v>
      </c>
      <c r="B30" s="1610">
        <v>1.1100000000000001</v>
      </c>
      <c r="C30" s="1610" t="s">
        <v>2486</v>
      </c>
      <c r="D30" s="857" t="s">
        <v>2497</v>
      </c>
      <c r="E30" s="1783" t="s">
        <v>2485</v>
      </c>
      <c r="F30" s="2860">
        <v>2</v>
      </c>
      <c r="G30" s="2858"/>
      <c r="H30" s="1501">
        <f t="shared" si="0"/>
        <v>0</v>
      </c>
    </row>
    <row r="31" spans="1:8">
      <c r="A31" s="1791"/>
      <c r="B31" s="2850"/>
      <c r="C31" s="1610"/>
      <c r="D31" s="857"/>
      <c r="E31" s="1783"/>
      <c r="F31" s="2860"/>
      <c r="G31" s="2858"/>
      <c r="H31" s="1501" t="str">
        <f t="shared" si="0"/>
        <v/>
      </c>
    </row>
    <row r="32" spans="1:8" ht="26.4">
      <c r="A32" s="1791">
        <f>$A$4</f>
        <v>20</v>
      </c>
      <c r="B32" s="1610">
        <v>1.1200000000000001</v>
      </c>
      <c r="C32" s="1610" t="s">
        <v>2498</v>
      </c>
      <c r="D32" s="857" t="s">
        <v>2499</v>
      </c>
      <c r="E32" s="1783" t="s">
        <v>2485</v>
      </c>
      <c r="F32" s="2860">
        <v>4</v>
      </c>
      <c r="G32" s="2858"/>
      <c r="H32" s="1501">
        <f t="shared" si="0"/>
        <v>0</v>
      </c>
    </row>
    <row r="33" spans="1:8">
      <c r="A33" s="1791"/>
      <c r="B33" s="2850"/>
      <c r="C33" s="1610"/>
      <c r="D33" s="857"/>
      <c r="E33" s="1783"/>
      <c r="F33" s="2860"/>
      <c r="G33" s="2858"/>
      <c r="H33" s="1501" t="str">
        <f t="shared" si="0"/>
        <v/>
      </c>
    </row>
    <row r="34" spans="1:8">
      <c r="A34" s="1791">
        <f>$A$4</f>
        <v>20</v>
      </c>
      <c r="B34" s="1610">
        <v>1.1299999999999999</v>
      </c>
      <c r="C34" s="1610" t="s">
        <v>2490</v>
      </c>
      <c r="D34" s="857" t="s">
        <v>2500</v>
      </c>
      <c r="E34" s="1783" t="s">
        <v>2485</v>
      </c>
      <c r="F34" s="2860">
        <v>1</v>
      </c>
      <c r="G34" s="2858"/>
      <c r="H34" s="1501">
        <f t="shared" si="0"/>
        <v>0</v>
      </c>
    </row>
    <row r="35" spans="1:8" s="32" customFormat="1">
      <c r="A35" s="1791"/>
      <c r="B35" s="2850"/>
      <c r="C35" s="1610"/>
      <c r="D35" s="857"/>
      <c r="E35" s="1783"/>
      <c r="F35" s="2860"/>
      <c r="G35" s="2858"/>
      <c r="H35" s="1501" t="str">
        <f t="shared" si="0"/>
        <v/>
      </c>
    </row>
    <row r="36" spans="1:8" ht="26.4">
      <c r="A36" s="1791">
        <f>$A$4</f>
        <v>20</v>
      </c>
      <c r="B36" s="1610">
        <v>1.1399999999999999</v>
      </c>
      <c r="C36" s="1610" t="s">
        <v>2486</v>
      </c>
      <c r="D36" s="2859" t="s">
        <v>2501</v>
      </c>
      <c r="E36" s="1783" t="s">
        <v>2485</v>
      </c>
      <c r="F36" s="2860">
        <v>1</v>
      </c>
      <c r="G36" s="2858"/>
      <c r="H36" s="1501">
        <f t="shared" si="0"/>
        <v>0</v>
      </c>
    </row>
    <row r="37" spans="1:8">
      <c r="A37" s="1791"/>
      <c r="B37" s="2850"/>
      <c r="C37" s="1610"/>
      <c r="D37" s="857"/>
      <c r="E37" s="1783"/>
      <c r="F37" s="2860"/>
      <c r="G37" s="2858"/>
      <c r="H37" s="1501" t="str">
        <f t="shared" si="0"/>
        <v/>
      </c>
    </row>
    <row r="38" spans="1:8" s="32" customFormat="1" ht="14.25" customHeight="1">
      <c r="A38" s="1791">
        <f>$A$4</f>
        <v>20</v>
      </c>
      <c r="B38" s="1610">
        <v>1.1499999999999999</v>
      </c>
      <c r="C38" s="1610" t="s">
        <v>2502</v>
      </c>
      <c r="D38" s="858" t="s">
        <v>2503</v>
      </c>
      <c r="E38" s="1783"/>
      <c r="F38" s="2860"/>
      <c r="G38" s="2858"/>
      <c r="H38" s="1501" t="str">
        <f t="shared" si="0"/>
        <v/>
      </c>
    </row>
    <row r="39" spans="1:8">
      <c r="A39" s="1791"/>
      <c r="B39" s="2850"/>
      <c r="C39" s="1610"/>
      <c r="D39" s="857"/>
      <c r="E39" s="1783"/>
      <c r="F39" s="2860"/>
      <c r="G39" s="2858"/>
      <c r="H39" s="1501" t="str">
        <f t="shared" si="0"/>
        <v/>
      </c>
    </row>
    <row r="40" spans="1:8" ht="26.4">
      <c r="A40" s="1791">
        <f>$A$4</f>
        <v>20</v>
      </c>
      <c r="B40" s="1610">
        <v>1.1599999999999999</v>
      </c>
      <c r="C40" s="1610" t="s">
        <v>2486</v>
      </c>
      <c r="D40" s="2859" t="s">
        <v>2504</v>
      </c>
      <c r="E40" s="1783" t="s">
        <v>2485</v>
      </c>
      <c r="F40" s="2860">
        <v>1</v>
      </c>
      <c r="G40" s="2858"/>
      <c r="H40" s="1501">
        <f t="shared" si="0"/>
        <v>0</v>
      </c>
    </row>
    <row r="41" spans="1:8">
      <c r="A41" s="1791"/>
      <c r="B41" s="2850"/>
      <c r="C41" s="1610"/>
      <c r="D41" s="857"/>
      <c r="E41" s="1783"/>
      <c r="F41" s="2860"/>
      <c r="G41" s="2858"/>
      <c r="H41" s="1501" t="str">
        <f t="shared" si="0"/>
        <v/>
      </c>
    </row>
    <row r="42" spans="1:8" s="32" customFormat="1" ht="15.6" customHeight="1">
      <c r="A42" s="1791">
        <f>$A$4</f>
        <v>20</v>
      </c>
      <c r="B42" s="1610">
        <v>1.17</v>
      </c>
      <c r="C42" s="1610" t="s">
        <v>2502</v>
      </c>
      <c r="D42" s="857" t="s">
        <v>2505</v>
      </c>
      <c r="E42" s="1783"/>
      <c r="F42" s="2860"/>
      <c r="G42" s="2858"/>
      <c r="H42" s="1501" t="str">
        <f t="shared" si="0"/>
        <v/>
      </c>
    </row>
    <row r="43" spans="1:8">
      <c r="A43" s="1791"/>
      <c r="B43" s="2850"/>
      <c r="C43" s="1610"/>
      <c r="D43" s="857"/>
      <c r="E43" s="1783"/>
      <c r="F43" s="2860"/>
      <c r="G43" s="2858"/>
      <c r="H43" s="1501" t="str">
        <f t="shared" si="0"/>
        <v/>
      </c>
    </row>
    <row r="44" spans="1:8" ht="26.4">
      <c r="A44" s="1791">
        <f>$A$4</f>
        <v>20</v>
      </c>
      <c r="B44" s="1610">
        <v>1.18</v>
      </c>
      <c r="C44" s="1610" t="s">
        <v>2486</v>
      </c>
      <c r="D44" s="2859" t="s">
        <v>2506</v>
      </c>
      <c r="E44" s="1783" t="s">
        <v>2485</v>
      </c>
      <c r="F44" s="2860">
        <v>18</v>
      </c>
      <c r="G44" s="2858"/>
      <c r="H44" s="1501">
        <f t="shared" si="0"/>
        <v>0</v>
      </c>
    </row>
    <row r="45" spans="1:8">
      <c r="A45" s="1791"/>
      <c r="B45" s="2850"/>
      <c r="C45" s="1610"/>
      <c r="D45" s="857"/>
      <c r="E45" s="1783"/>
      <c r="F45" s="2860"/>
      <c r="G45" s="2858"/>
      <c r="H45" s="1501" t="str">
        <f t="shared" si="0"/>
        <v/>
      </c>
    </row>
    <row r="46" spans="1:8">
      <c r="A46" s="1791">
        <f>$A$4</f>
        <v>20</v>
      </c>
      <c r="B46" s="2863">
        <v>1.19</v>
      </c>
      <c r="C46" s="1610" t="s">
        <v>2502</v>
      </c>
      <c r="D46" s="857" t="s">
        <v>2507</v>
      </c>
      <c r="E46" s="1783"/>
      <c r="F46" s="2860"/>
      <c r="G46" s="2858"/>
      <c r="H46" s="1501" t="str">
        <f t="shared" si="0"/>
        <v/>
      </c>
    </row>
    <row r="47" spans="1:8">
      <c r="A47" s="1791"/>
      <c r="B47" s="2864"/>
      <c r="C47" s="1610"/>
      <c r="D47" s="857"/>
      <c r="E47" s="1783"/>
      <c r="F47" s="2860"/>
      <c r="G47" s="2858"/>
      <c r="H47" s="1501" t="str">
        <f t="shared" si="0"/>
        <v/>
      </c>
    </row>
    <row r="48" spans="1:8" ht="26.4">
      <c r="A48" s="1791">
        <f>$A$4</f>
        <v>20</v>
      </c>
      <c r="B48" s="2865">
        <v>1.2</v>
      </c>
      <c r="C48" s="1610" t="s">
        <v>2486</v>
      </c>
      <c r="D48" s="2859" t="s">
        <v>2508</v>
      </c>
      <c r="E48" s="1783" t="s">
        <v>2485</v>
      </c>
      <c r="F48" s="2860">
        <v>2</v>
      </c>
      <c r="G48" s="2858"/>
      <c r="H48" s="1501">
        <f t="shared" si="0"/>
        <v>0</v>
      </c>
    </row>
    <row r="49" spans="1:8">
      <c r="A49" s="1791"/>
      <c r="B49" s="2850"/>
      <c r="C49" s="1610"/>
      <c r="D49" s="857"/>
      <c r="E49" s="1783"/>
      <c r="F49" s="2860"/>
      <c r="G49" s="2858"/>
      <c r="H49" s="1501" t="str">
        <f t="shared" si="0"/>
        <v/>
      </c>
    </row>
    <row r="50" spans="1:8">
      <c r="A50" s="1791">
        <f>$A$4</f>
        <v>20</v>
      </c>
      <c r="B50" s="2863">
        <v>1.21</v>
      </c>
      <c r="C50" s="1610" t="s">
        <v>2502</v>
      </c>
      <c r="D50" s="857" t="s">
        <v>2509</v>
      </c>
      <c r="E50" s="1783"/>
      <c r="F50" s="2860"/>
      <c r="G50" s="2858"/>
      <c r="H50" s="1501" t="str">
        <f t="shared" si="0"/>
        <v/>
      </c>
    </row>
    <row r="51" spans="1:8">
      <c r="A51" s="1791"/>
      <c r="B51" s="2850"/>
      <c r="C51" s="1610"/>
      <c r="D51" s="857"/>
      <c r="E51" s="1783"/>
      <c r="F51" s="2860"/>
      <c r="G51" s="2858"/>
      <c r="H51" s="1501" t="str">
        <f t="shared" si="0"/>
        <v/>
      </c>
    </row>
    <row r="52" spans="1:8" ht="26.4">
      <c r="A52" s="1791">
        <f>$A$4</f>
        <v>20</v>
      </c>
      <c r="B52" s="2863">
        <v>1.22</v>
      </c>
      <c r="C52" s="1610" t="s">
        <v>2486</v>
      </c>
      <c r="D52" s="2859" t="s">
        <v>2510</v>
      </c>
      <c r="E52" s="1783" t="s">
        <v>2485</v>
      </c>
      <c r="F52" s="2860">
        <v>36</v>
      </c>
      <c r="G52" s="2858"/>
      <c r="H52" s="1501">
        <f t="shared" si="0"/>
        <v>0</v>
      </c>
    </row>
    <row r="53" spans="1:8">
      <c r="A53" s="1791"/>
      <c r="B53" s="2850"/>
      <c r="C53" s="1610"/>
      <c r="D53" s="857"/>
      <c r="E53" s="1783"/>
      <c r="F53" s="2860"/>
      <c r="G53" s="2858"/>
      <c r="H53" s="1501" t="str">
        <f t="shared" si="0"/>
        <v/>
      </c>
    </row>
    <row r="54" spans="1:8" ht="26.4">
      <c r="A54" s="1791">
        <f>$A$4</f>
        <v>20</v>
      </c>
      <c r="B54" s="1610">
        <v>1.23</v>
      </c>
      <c r="C54" s="859" t="s">
        <v>2511</v>
      </c>
      <c r="D54" s="2859" t="s">
        <v>2512</v>
      </c>
      <c r="E54" s="1783" t="s">
        <v>2485</v>
      </c>
      <c r="F54" s="2860">
        <v>1</v>
      </c>
      <c r="G54" s="2858"/>
      <c r="H54" s="1501">
        <f t="shared" si="0"/>
        <v>0</v>
      </c>
    </row>
    <row r="55" spans="1:8">
      <c r="A55" s="1791"/>
      <c r="B55" s="2850"/>
      <c r="C55" s="859"/>
      <c r="D55" s="2859"/>
      <c r="E55" s="1783"/>
      <c r="F55" s="2860"/>
      <c r="G55" s="2858"/>
      <c r="H55" s="1501" t="str">
        <f t="shared" si="0"/>
        <v/>
      </c>
    </row>
    <row r="56" spans="1:8">
      <c r="A56" s="1791"/>
      <c r="B56" s="1623" t="s">
        <v>549</v>
      </c>
      <c r="C56" s="859"/>
      <c r="D56" s="2866" t="s">
        <v>2513</v>
      </c>
      <c r="E56" s="1783"/>
      <c r="F56" s="2860"/>
      <c r="G56" s="2858"/>
      <c r="H56" s="1501" t="str">
        <f t="shared" si="0"/>
        <v/>
      </c>
    </row>
    <row r="57" spans="1:8">
      <c r="A57" s="1791"/>
      <c r="B57" s="1623"/>
      <c r="C57" s="859"/>
      <c r="D57" s="2867" t="s">
        <v>2514</v>
      </c>
      <c r="E57" s="1610"/>
      <c r="F57" s="1613"/>
      <c r="G57" s="2199"/>
      <c r="H57" s="1501" t="str">
        <f t="shared" si="0"/>
        <v/>
      </c>
    </row>
    <row r="58" spans="1:8">
      <c r="A58" s="1791"/>
      <c r="B58" s="1610"/>
      <c r="C58" s="1610"/>
      <c r="D58" s="2868"/>
      <c r="E58" s="1610"/>
      <c r="F58" s="1613"/>
      <c r="G58" s="2199"/>
      <c r="H58" s="1501" t="str">
        <f t="shared" si="0"/>
        <v/>
      </c>
    </row>
    <row r="59" spans="1:8">
      <c r="A59" s="1791">
        <f>$A$4</f>
        <v>20</v>
      </c>
      <c r="B59" s="1610">
        <v>1.24</v>
      </c>
      <c r="C59" s="2869" t="s">
        <v>2515</v>
      </c>
      <c r="D59" s="1611" t="s">
        <v>1124</v>
      </c>
      <c r="E59" s="1610" t="s">
        <v>561</v>
      </c>
      <c r="F59" s="1613">
        <v>420</v>
      </c>
      <c r="G59" s="2870"/>
      <c r="H59" s="1501">
        <f t="shared" si="0"/>
        <v>0</v>
      </c>
    </row>
    <row r="60" spans="1:8">
      <c r="A60" s="1791"/>
      <c r="B60" s="2850"/>
      <c r="C60" s="860"/>
      <c r="D60" s="1611"/>
      <c r="E60" s="1610"/>
      <c r="F60" s="1613"/>
      <c r="G60" s="2870"/>
      <c r="H60" s="1501" t="str">
        <f t="shared" si="0"/>
        <v/>
      </c>
    </row>
    <row r="61" spans="1:8">
      <c r="A61" s="1791">
        <f>$A$4</f>
        <v>20</v>
      </c>
      <c r="B61" s="1610">
        <v>1.25</v>
      </c>
      <c r="C61" s="2869" t="s">
        <v>2515</v>
      </c>
      <c r="D61" s="1611" t="s">
        <v>1126</v>
      </c>
      <c r="E61" s="1612" t="s">
        <v>561</v>
      </c>
      <c r="F61" s="1613">
        <v>7531</v>
      </c>
      <c r="G61" s="2199"/>
      <c r="H61" s="1501">
        <f t="shared" si="0"/>
        <v>0</v>
      </c>
    </row>
    <row r="62" spans="1:8">
      <c r="A62" s="1791"/>
      <c r="B62" s="2850"/>
      <c r="C62" s="859"/>
      <c r="D62" s="2859"/>
      <c r="E62" s="1783"/>
      <c r="F62" s="2860"/>
      <c r="G62" s="2858"/>
      <c r="H62" s="1501" t="str">
        <f t="shared" si="0"/>
        <v/>
      </c>
    </row>
    <row r="63" spans="1:8">
      <c r="A63" s="1791">
        <f>$A$4</f>
        <v>20</v>
      </c>
      <c r="B63" s="1610">
        <v>1.26</v>
      </c>
      <c r="C63" s="2869" t="s">
        <v>2515</v>
      </c>
      <c r="D63" s="1611" t="s">
        <v>2516</v>
      </c>
      <c r="E63" s="1612" t="s">
        <v>561</v>
      </c>
      <c r="F63" s="1613">
        <v>1</v>
      </c>
      <c r="G63" s="2199"/>
      <c r="H63" s="1501">
        <f t="shared" si="0"/>
        <v>0</v>
      </c>
    </row>
    <row r="64" spans="1:8">
      <c r="A64" s="1791"/>
      <c r="B64" s="1610"/>
      <c r="C64" s="859"/>
      <c r="D64" s="2868"/>
      <c r="E64" s="1610"/>
      <c r="F64" s="1613"/>
      <c r="G64" s="2199"/>
      <c r="H64" s="1501" t="str">
        <f t="shared" si="0"/>
        <v/>
      </c>
    </row>
    <row r="65" spans="1:8">
      <c r="A65" s="1791">
        <f>$A$4</f>
        <v>20</v>
      </c>
      <c r="B65" s="1610">
        <v>1.27</v>
      </c>
      <c r="C65" s="2869" t="s">
        <v>2515</v>
      </c>
      <c r="D65" s="1611" t="s">
        <v>1128</v>
      </c>
      <c r="E65" s="1612" t="s">
        <v>561</v>
      </c>
      <c r="F65" s="1613">
        <v>9853</v>
      </c>
      <c r="G65" s="2199"/>
      <c r="H65" s="1501">
        <f t="shared" si="0"/>
        <v>0</v>
      </c>
    </row>
    <row r="66" spans="1:8">
      <c r="A66" s="1791"/>
      <c r="B66" s="1610"/>
      <c r="C66" s="1612"/>
      <c r="D66" s="2868"/>
      <c r="E66" s="1610"/>
      <c r="F66" s="1613"/>
      <c r="G66" s="2199"/>
      <c r="H66" s="1501" t="str">
        <f t="shared" si="0"/>
        <v/>
      </c>
    </row>
    <row r="67" spans="1:8">
      <c r="A67" s="1791">
        <f>$A$4</f>
        <v>20</v>
      </c>
      <c r="B67" s="1610">
        <v>1.28</v>
      </c>
      <c r="C67" s="2869" t="s">
        <v>2515</v>
      </c>
      <c r="D67" s="1611" t="s">
        <v>2517</v>
      </c>
      <c r="E67" s="1612" t="s">
        <v>561</v>
      </c>
      <c r="F67" s="1613">
        <v>8174</v>
      </c>
      <c r="G67" s="2199"/>
      <c r="H67" s="1501">
        <f t="shared" si="0"/>
        <v>0</v>
      </c>
    </row>
    <row r="68" spans="1:8">
      <c r="A68" s="1791"/>
      <c r="B68" s="1610"/>
      <c r="C68" s="860"/>
      <c r="D68" s="1611"/>
      <c r="E68" s="1612"/>
      <c r="F68" s="1613"/>
      <c r="G68" s="2199"/>
      <c r="H68" s="1614"/>
    </row>
    <row r="69" spans="1:8">
      <c r="A69" s="1791"/>
      <c r="B69" s="1610"/>
      <c r="C69" s="860"/>
      <c r="D69" s="1611"/>
      <c r="E69" s="1612"/>
      <c r="F69" s="1613"/>
      <c r="G69" s="2199"/>
      <c r="H69" s="1614"/>
    </row>
    <row r="70" spans="1:8">
      <c r="A70" s="1791"/>
      <c r="B70" s="2850"/>
      <c r="C70" s="860"/>
      <c r="D70" s="1611"/>
      <c r="E70" s="1610"/>
      <c r="F70" s="1613"/>
      <c r="G70" s="2870"/>
      <c r="H70" s="1614"/>
    </row>
    <row r="71" spans="1:8">
      <c r="A71" s="2871"/>
      <c r="B71" s="850"/>
      <c r="C71" s="861"/>
      <c r="D71" s="862"/>
      <c r="E71" s="800"/>
      <c r="F71" s="800"/>
      <c r="G71" s="1485"/>
      <c r="H71" s="2872"/>
    </row>
    <row r="72" spans="1:8">
      <c r="A72" s="2873"/>
      <c r="B72" s="851"/>
      <c r="C72" s="419"/>
      <c r="D72" s="413" t="s">
        <v>289</v>
      </c>
      <c r="E72" s="425"/>
      <c r="F72" s="425"/>
      <c r="G72" s="1486"/>
      <c r="H72" s="2874">
        <f>SUM(H3:H70)</f>
        <v>0</v>
      </c>
    </row>
    <row r="73" spans="1:8">
      <c r="A73" s="1791"/>
      <c r="B73" s="1783"/>
      <c r="C73" s="2869"/>
      <c r="D73" s="1552" t="s">
        <v>290</v>
      </c>
      <c r="E73" s="2196"/>
      <c r="F73" s="1550"/>
      <c r="G73" s="2199"/>
      <c r="H73" s="1614">
        <f>H72</f>
        <v>0</v>
      </c>
    </row>
    <row r="74" spans="1:8">
      <c r="A74" s="1791"/>
      <c r="B74" s="1610"/>
      <c r="C74" s="1616"/>
      <c r="D74" s="863"/>
      <c r="E74" s="1612"/>
      <c r="F74" s="1613" t="s">
        <v>2518</v>
      </c>
      <c r="G74" s="2875"/>
      <c r="H74" s="1614"/>
    </row>
    <row r="75" spans="1:8">
      <c r="A75" s="1791">
        <f>$A$4</f>
        <v>20</v>
      </c>
      <c r="B75" s="1610">
        <v>1.29</v>
      </c>
      <c r="C75" s="2869" t="s">
        <v>2515</v>
      </c>
      <c r="D75" s="1611" t="s">
        <v>1130</v>
      </c>
      <c r="E75" s="1612" t="s">
        <v>561</v>
      </c>
      <c r="F75" s="1613">
        <v>3560</v>
      </c>
      <c r="G75" s="2876"/>
      <c r="H75" s="1501">
        <f t="shared" ref="H75:H138" si="1">IF(E75="","",ROUND(F75*G75,2))</f>
        <v>0</v>
      </c>
    </row>
    <row r="76" spans="1:8">
      <c r="A76" s="1791"/>
      <c r="B76" s="1610"/>
      <c r="C76" s="1616"/>
      <c r="D76" s="863"/>
      <c r="E76" s="1612"/>
      <c r="F76" s="1613" t="s">
        <v>2518</v>
      </c>
      <c r="G76" s="2875"/>
      <c r="H76" s="1501" t="str">
        <f t="shared" si="1"/>
        <v/>
      </c>
    </row>
    <row r="77" spans="1:8" ht="15.6">
      <c r="A77" s="1791">
        <f>$A$4</f>
        <v>20</v>
      </c>
      <c r="B77" s="2862">
        <v>1.3</v>
      </c>
      <c r="C77" s="2869" t="s">
        <v>2515</v>
      </c>
      <c r="D77" s="863" t="s">
        <v>2519</v>
      </c>
      <c r="E77" s="1612" t="s">
        <v>561</v>
      </c>
      <c r="F77" s="1613">
        <v>4386</v>
      </c>
      <c r="G77" s="2876"/>
      <c r="H77" s="1501">
        <f t="shared" si="1"/>
        <v>0</v>
      </c>
    </row>
    <row r="78" spans="1:8">
      <c r="A78" s="1791"/>
      <c r="B78" s="1610"/>
      <c r="C78" s="1616"/>
      <c r="D78" s="863"/>
      <c r="E78" s="1612"/>
      <c r="F78" s="1613"/>
      <c r="G78" s="2875"/>
      <c r="H78" s="1501" t="str">
        <f t="shared" si="1"/>
        <v/>
      </c>
    </row>
    <row r="79" spans="1:8" ht="15.6">
      <c r="A79" s="1791">
        <f>$A$4</f>
        <v>20</v>
      </c>
      <c r="B79" s="1610">
        <v>1.31</v>
      </c>
      <c r="C79" s="2869" t="s">
        <v>2515</v>
      </c>
      <c r="D79" s="863" t="s">
        <v>2520</v>
      </c>
      <c r="E79" s="1612" t="s">
        <v>561</v>
      </c>
      <c r="F79" s="1613">
        <v>227</v>
      </c>
      <c r="G79" s="2876"/>
      <c r="H79" s="1501">
        <f t="shared" si="1"/>
        <v>0</v>
      </c>
    </row>
    <row r="80" spans="1:8">
      <c r="A80" s="1791"/>
      <c r="B80" s="1610"/>
      <c r="C80" s="1610"/>
      <c r="D80" s="1552"/>
      <c r="E80" s="1550"/>
      <c r="F80" s="1613"/>
      <c r="G80" s="2199"/>
      <c r="H80" s="1501" t="str">
        <f t="shared" si="1"/>
        <v/>
      </c>
    </row>
    <row r="81" spans="1:8" ht="15.6">
      <c r="A81" s="1791">
        <f>$A$4</f>
        <v>20</v>
      </c>
      <c r="B81" s="1610">
        <v>1.32</v>
      </c>
      <c r="C81" s="2869" t="s">
        <v>2515</v>
      </c>
      <c r="D81" s="863" t="s">
        <v>2521</v>
      </c>
      <c r="E81" s="1612" t="s">
        <v>561</v>
      </c>
      <c r="F81" s="1613">
        <v>1</v>
      </c>
      <c r="G81" s="2199"/>
      <c r="H81" s="1501">
        <f t="shared" si="1"/>
        <v>0</v>
      </c>
    </row>
    <row r="82" spans="1:8">
      <c r="A82" s="1791"/>
      <c r="B82" s="1610"/>
      <c r="C82" s="2877"/>
      <c r="D82" s="2165"/>
      <c r="E82" s="1550"/>
      <c r="F82" s="1613"/>
      <c r="G82" s="2199"/>
      <c r="H82" s="1501" t="str">
        <f t="shared" si="1"/>
        <v/>
      </c>
    </row>
    <row r="83" spans="1:8">
      <c r="A83" s="1791">
        <f>$A$4</f>
        <v>20</v>
      </c>
      <c r="B83" s="1610">
        <v>1.33</v>
      </c>
      <c r="C83" s="2869" t="s">
        <v>2515</v>
      </c>
      <c r="D83" s="1611" t="s">
        <v>2522</v>
      </c>
      <c r="E83" s="1612" t="s">
        <v>561</v>
      </c>
      <c r="F83" s="1613">
        <v>15</v>
      </c>
      <c r="G83" s="2199"/>
      <c r="H83" s="1501">
        <f t="shared" si="1"/>
        <v>0</v>
      </c>
    </row>
    <row r="84" spans="1:8">
      <c r="A84" s="1791"/>
      <c r="B84" s="2877"/>
      <c r="C84" s="1620"/>
      <c r="D84" s="2854"/>
      <c r="E84" s="1612"/>
      <c r="F84" s="2878"/>
      <c r="G84" s="2870"/>
      <c r="H84" s="1501" t="str">
        <f t="shared" si="1"/>
        <v/>
      </c>
    </row>
    <row r="85" spans="1:8">
      <c r="A85" s="1791"/>
      <c r="B85" s="2877" t="s">
        <v>558</v>
      </c>
      <c r="C85" s="1620"/>
      <c r="D85" s="2879" t="s">
        <v>1139</v>
      </c>
      <c r="E85" s="2880"/>
      <c r="F85" s="2881"/>
      <c r="G85" s="2199"/>
      <c r="H85" s="1501" t="str">
        <f t="shared" si="1"/>
        <v/>
      </c>
    </row>
    <row r="86" spans="1:8">
      <c r="A86" s="1791"/>
      <c r="B86" s="2877"/>
      <c r="C86" s="1620"/>
      <c r="D86" s="2879"/>
      <c r="E86" s="2880"/>
      <c r="F86" s="2881"/>
      <c r="G86" s="2199"/>
      <c r="H86" s="1501" t="str">
        <f t="shared" si="1"/>
        <v/>
      </c>
    </row>
    <row r="87" spans="1:8">
      <c r="A87" s="1791"/>
      <c r="B87" s="1620"/>
      <c r="C87" s="1620"/>
      <c r="D87" s="2882" t="s">
        <v>2523</v>
      </c>
      <c r="E87" s="2880"/>
      <c r="F87" s="2881"/>
      <c r="G87" s="2199"/>
      <c r="H87" s="1501" t="str">
        <f t="shared" si="1"/>
        <v/>
      </c>
    </row>
    <row r="88" spans="1:8">
      <c r="A88" s="1791"/>
      <c r="B88" s="1620"/>
      <c r="C88" s="1620"/>
      <c r="D88" s="2883"/>
      <c r="E88" s="2880"/>
      <c r="F88" s="2881"/>
      <c r="G88" s="2199"/>
      <c r="H88" s="1501" t="str">
        <f t="shared" si="1"/>
        <v/>
      </c>
    </row>
    <row r="89" spans="1:8">
      <c r="A89" s="1791">
        <f>$A$4</f>
        <v>20</v>
      </c>
      <c r="B89" s="1610">
        <v>1.34</v>
      </c>
      <c r="C89" s="2869" t="s">
        <v>2515</v>
      </c>
      <c r="D89" s="2035" t="s">
        <v>1142</v>
      </c>
      <c r="E89" s="2884" t="s">
        <v>561</v>
      </c>
      <c r="F89" s="2885">
        <v>1</v>
      </c>
      <c r="G89" s="2199"/>
      <c r="H89" s="1501">
        <f t="shared" si="1"/>
        <v>0</v>
      </c>
    </row>
    <row r="90" spans="1:8">
      <c r="A90" s="1791"/>
      <c r="B90" s="1620"/>
      <c r="C90" s="1620"/>
      <c r="D90" s="2035"/>
      <c r="E90" s="2884"/>
      <c r="F90" s="2885"/>
      <c r="G90" s="2199"/>
      <c r="H90" s="1501" t="str">
        <f t="shared" si="1"/>
        <v/>
      </c>
    </row>
    <row r="91" spans="1:8">
      <c r="A91" s="1791">
        <f>$A$4</f>
        <v>20</v>
      </c>
      <c r="B91" s="1610">
        <v>1.35</v>
      </c>
      <c r="C91" s="2869" t="s">
        <v>2515</v>
      </c>
      <c r="D91" s="2035" t="s">
        <v>1144</v>
      </c>
      <c r="E91" s="2884" t="s">
        <v>561</v>
      </c>
      <c r="F91" s="2885">
        <v>1</v>
      </c>
      <c r="G91" s="2199"/>
      <c r="H91" s="1501">
        <f t="shared" si="1"/>
        <v>0</v>
      </c>
    </row>
    <row r="92" spans="1:8">
      <c r="A92" s="1791"/>
      <c r="B92" s="1620"/>
      <c r="C92" s="1620"/>
      <c r="D92" s="2035"/>
      <c r="E92" s="2884"/>
      <c r="F92" s="2885"/>
      <c r="G92" s="2199"/>
      <c r="H92" s="1501" t="str">
        <f t="shared" si="1"/>
        <v/>
      </c>
    </row>
    <row r="93" spans="1:8">
      <c r="A93" s="1791">
        <f>$A$4</f>
        <v>20</v>
      </c>
      <c r="B93" s="1610">
        <v>1.36</v>
      </c>
      <c r="C93" s="2869" t="s">
        <v>2515</v>
      </c>
      <c r="D93" s="2035" t="s">
        <v>1146</v>
      </c>
      <c r="E93" s="2884" t="s">
        <v>561</v>
      </c>
      <c r="F93" s="2885">
        <v>1</v>
      </c>
      <c r="G93" s="2199"/>
      <c r="H93" s="1501">
        <f t="shared" si="1"/>
        <v>0</v>
      </c>
    </row>
    <row r="94" spans="1:8">
      <c r="A94" s="1791"/>
      <c r="B94" s="1620"/>
      <c r="C94" s="2877"/>
      <c r="D94" s="2035"/>
      <c r="E94" s="2884"/>
      <c r="F94" s="2885"/>
      <c r="G94" s="2199"/>
      <c r="H94" s="1501" t="str">
        <f t="shared" si="1"/>
        <v/>
      </c>
    </row>
    <row r="95" spans="1:8">
      <c r="A95" s="1791">
        <f>$A$4</f>
        <v>20</v>
      </c>
      <c r="B95" s="1610">
        <v>1.37</v>
      </c>
      <c r="C95" s="2869" t="s">
        <v>2515</v>
      </c>
      <c r="D95" s="2886" t="s">
        <v>1148</v>
      </c>
      <c r="E95" s="1550" t="s">
        <v>561</v>
      </c>
      <c r="F95" s="2885">
        <v>60</v>
      </c>
      <c r="G95" s="2199"/>
      <c r="H95" s="1501">
        <f t="shared" si="1"/>
        <v>0</v>
      </c>
    </row>
    <row r="96" spans="1:8">
      <c r="A96" s="1791"/>
      <c r="B96" s="1620"/>
      <c r="C96" s="1620"/>
      <c r="D96" s="2886"/>
      <c r="E96" s="1550"/>
      <c r="F96" s="2885"/>
      <c r="G96" s="2199"/>
      <c r="H96" s="1501" t="str">
        <f t="shared" si="1"/>
        <v/>
      </c>
    </row>
    <row r="97" spans="1:8">
      <c r="A97" s="1791">
        <f>$A$4</f>
        <v>20</v>
      </c>
      <c r="B97" s="1610">
        <v>1.38</v>
      </c>
      <c r="C97" s="2869" t="s">
        <v>2515</v>
      </c>
      <c r="D97" s="2886" t="s">
        <v>1150</v>
      </c>
      <c r="E97" s="2884" t="s">
        <v>561</v>
      </c>
      <c r="F97" s="2885">
        <v>50</v>
      </c>
      <c r="G97" s="2199"/>
      <c r="H97" s="1501">
        <f t="shared" si="1"/>
        <v>0</v>
      </c>
    </row>
    <row r="98" spans="1:8">
      <c r="A98" s="1791"/>
      <c r="B98" s="1620"/>
      <c r="C98" s="2877"/>
      <c r="D98" s="2886"/>
      <c r="E98" s="2884"/>
      <c r="F98" s="2885"/>
      <c r="G98" s="2199"/>
      <c r="H98" s="1501" t="str">
        <f t="shared" si="1"/>
        <v/>
      </c>
    </row>
    <row r="99" spans="1:8">
      <c r="A99" s="1791">
        <f>$A$4</f>
        <v>20</v>
      </c>
      <c r="B99" s="1610">
        <v>1.39</v>
      </c>
      <c r="C99" s="2869" t="s">
        <v>2515</v>
      </c>
      <c r="D99" s="2035" t="s">
        <v>1152</v>
      </c>
      <c r="E99" s="2884" t="s">
        <v>2485</v>
      </c>
      <c r="F99" s="2885">
        <v>1</v>
      </c>
      <c r="G99" s="2199"/>
      <c r="H99" s="1501">
        <f t="shared" si="1"/>
        <v>0</v>
      </c>
    </row>
    <row r="100" spans="1:8">
      <c r="A100" s="1791"/>
      <c r="B100" s="1620"/>
      <c r="C100" s="1620"/>
      <c r="D100" s="2035"/>
      <c r="E100" s="2884"/>
      <c r="F100" s="2885"/>
      <c r="G100" s="2199"/>
      <c r="H100" s="1501" t="str">
        <f t="shared" si="1"/>
        <v/>
      </c>
    </row>
    <row r="101" spans="1:8">
      <c r="A101" s="1791">
        <f>$A$4</f>
        <v>20</v>
      </c>
      <c r="B101" s="1610">
        <v>1.4</v>
      </c>
      <c r="C101" s="2869" t="s">
        <v>2515</v>
      </c>
      <c r="D101" s="2035" t="s">
        <v>1155</v>
      </c>
      <c r="E101" s="2884" t="s">
        <v>2485</v>
      </c>
      <c r="F101" s="2885">
        <v>1</v>
      </c>
      <c r="G101" s="2199"/>
      <c r="H101" s="1501">
        <f t="shared" si="1"/>
        <v>0</v>
      </c>
    </row>
    <row r="102" spans="1:8">
      <c r="A102" s="1791"/>
      <c r="B102" s="1620"/>
      <c r="C102" s="1620"/>
      <c r="D102" s="2035"/>
      <c r="E102" s="2884"/>
      <c r="F102" s="2885"/>
      <c r="G102" s="2199"/>
      <c r="H102" s="1501" t="str">
        <f t="shared" si="1"/>
        <v/>
      </c>
    </row>
    <row r="103" spans="1:8">
      <c r="A103" s="1791">
        <f>$A$4</f>
        <v>20</v>
      </c>
      <c r="B103" s="1610">
        <v>1.41</v>
      </c>
      <c r="C103" s="2869" t="s">
        <v>2515</v>
      </c>
      <c r="D103" s="2035" t="s">
        <v>1157</v>
      </c>
      <c r="E103" s="2884" t="s">
        <v>2485</v>
      </c>
      <c r="F103" s="2885">
        <v>1</v>
      </c>
      <c r="G103" s="2199"/>
      <c r="H103" s="1501">
        <f t="shared" si="1"/>
        <v>0</v>
      </c>
    </row>
    <row r="104" spans="1:8">
      <c r="A104" s="1791"/>
      <c r="B104" s="1620"/>
      <c r="C104" s="2877"/>
      <c r="D104" s="2035"/>
      <c r="E104" s="2884"/>
      <c r="F104" s="2885"/>
      <c r="G104" s="2199"/>
      <c r="H104" s="1501" t="str">
        <f t="shared" si="1"/>
        <v/>
      </c>
    </row>
    <row r="105" spans="1:8">
      <c r="A105" s="1791">
        <f>$A$4</f>
        <v>20</v>
      </c>
      <c r="B105" s="1610">
        <v>1.42</v>
      </c>
      <c r="C105" s="2869" t="s">
        <v>2515</v>
      </c>
      <c r="D105" s="2035" t="s">
        <v>1159</v>
      </c>
      <c r="E105" s="2884" t="s">
        <v>2485</v>
      </c>
      <c r="F105" s="2885">
        <v>1</v>
      </c>
      <c r="G105" s="2199"/>
      <c r="H105" s="1501">
        <f t="shared" si="1"/>
        <v>0</v>
      </c>
    </row>
    <row r="106" spans="1:8">
      <c r="A106" s="1791"/>
      <c r="B106" s="1620"/>
      <c r="C106" s="2869"/>
      <c r="D106" s="2035"/>
      <c r="E106" s="2884"/>
      <c r="F106" s="2885"/>
      <c r="G106" s="2199"/>
      <c r="H106" s="1501" t="str">
        <f t="shared" si="1"/>
        <v/>
      </c>
    </row>
    <row r="107" spans="1:8">
      <c r="A107" s="1791">
        <f>$A$4</f>
        <v>20</v>
      </c>
      <c r="B107" s="1610">
        <v>1.43</v>
      </c>
      <c r="C107" s="2869" t="s">
        <v>2515</v>
      </c>
      <c r="D107" s="2035" t="s">
        <v>1161</v>
      </c>
      <c r="E107" s="2884" t="s">
        <v>2485</v>
      </c>
      <c r="F107" s="2885">
        <v>1</v>
      </c>
      <c r="G107" s="2199"/>
      <c r="H107" s="1501">
        <f t="shared" si="1"/>
        <v>0</v>
      </c>
    </row>
    <row r="108" spans="1:8">
      <c r="A108" s="1791"/>
      <c r="B108" s="1620"/>
      <c r="C108" s="1620"/>
      <c r="D108" s="2035"/>
      <c r="E108" s="2884"/>
      <c r="F108" s="2885"/>
      <c r="G108" s="2199"/>
      <c r="H108" s="1501" t="str">
        <f t="shared" si="1"/>
        <v/>
      </c>
    </row>
    <row r="109" spans="1:8">
      <c r="A109" s="1791">
        <f>$A$4</f>
        <v>20</v>
      </c>
      <c r="B109" s="1610">
        <v>1.44</v>
      </c>
      <c r="C109" s="2869" t="s">
        <v>2515</v>
      </c>
      <c r="D109" s="2035" t="s">
        <v>1163</v>
      </c>
      <c r="E109" s="2884" t="s">
        <v>2485</v>
      </c>
      <c r="F109" s="2885">
        <v>1</v>
      </c>
      <c r="G109" s="2199"/>
      <c r="H109" s="1501">
        <f t="shared" si="1"/>
        <v>0</v>
      </c>
    </row>
    <row r="110" spans="1:8">
      <c r="A110" s="1791"/>
      <c r="B110" s="1620"/>
      <c r="C110" s="1612"/>
      <c r="D110" s="2035"/>
      <c r="E110" s="2884"/>
      <c r="F110" s="2885"/>
      <c r="G110" s="2199"/>
      <c r="H110" s="1501" t="str">
        <f t="shared" si="1"/>
        <v/>
      </c>
    </row>
    <row r="111" spans="1:8">
      <c r="A111" s="1791">
        <f>$A$4</f>
        <v>20</v>
      </c>
      <c r="B111" s="1610">
        <v>1.45</v>
      </c>
      <c r="C111" s="2869" t="s">
        <v>2515</v>
      </c>
      <c r="D111" s="2035" t="s">
        <v>1165</v>
      </c>
      <c r="E111" s="2884" t="s">
        <v>2485</v>
      </c>
      <c r="F111" s="2885">
        <v>1</v>
      </c>
      <c r="G111" s="2199"/>
      <c r="H111" s="1501">
        <f t="shared" si="1"/>
        <v>0</v>
      </c>
    </row>
    <row r="112" spans="1:8">
      <c r="A112" s="1791"/>
      <c r="B112" s="1620"/>
      <c r="C112" s="1612"/>
      <c r="D112" s="2035"/>
      <c r="E112" s="2884"/>
      <c r="F112" s="2885"/>
      <c r="G112" s="2199"/>
      <c r="H112" s="1501" t="str">
        <f t="shared" si="1"/>
        <v/>
      </c>
    </row>
    <row r="113" spans="1:8">
      <c r="A113" s="1791">
        <f>$A$4</f>
        <v>20</v>
      </c>
      <c r="B113" s="1610">
        <v>1.46</v>
      </c>
      <c r="C113" s="2869" t="s">
        <v>2515</v>
      </c>
      <c r="D113" s="2035" t="s">
        <v>1167</v>
      </c>
      <c r="E113" s="2884" t="s">
        <v>2485</v>
      </c>
      <c r="F113" s="2885">
        <v>1</v>
      </c>
      <c r="G113" s="2199"/>
      <c r="H113" s="1501">
        <f t="shared" si="1"/>
        <v>0</v>
      </c>
    </row>
    <row r="114" spans="1:8">
      <c r="A114" s="1791"/>
      <c r="B114" s="1620"/>
      <c r="C114" s="2877"/>
      <c r="D114" s="2035"/>
      <c r="E114" s="2884"/>
      <c r="F114" s="2885"/>
      <c r="G114" s="2199"/>
      <c r="H114" s="1501" t="str">
        <f t="shared" si="1"/>
        <v/>
      </c>
    </row>
    <row r="115" spans="1:8" ht="15" customHeight="1">
      <c r="A115" s="1791">
        <f>$A$4</f>
        <v>20</v>
      </c>
      <c r="B115" s="1610">
        <v>1.47</v>
      </c>
      <c r="C115" s="2869" t="s">
        <v>2515</v>
      </c>
      <c r="D115" s="2035" t="s">
        <v>1169</v>
      </c>
      <c r="E115" s="2884" t="s">
        <v>2485</v>
      </c>
      <c r="F115" s="2885">
        <v>1</v>
      </c>
      <c r="G115" s="2199"/>
      <c r="H115" s="1501">
        <f t="shared" si="1"/>
        <v>0</v>
      </c>
    </row>
    <row r="116" spans="1:8">
      <c r="A116" s="1791"/>
      <c r="B116" s="1620"/>
      <c r="C116" s="1612"/>
      <c r="D116" s="2035"/>
      <c r="E116" s="2884"/>
      <c r="F116" s="2885"/>
      <c r="G116" s="2199"/>
      <c r="H116" s="1501" t="str">
        <f t="shared" si="1"/>
        <v/>
      </c>
    </row>
    <row r="117" spans="1:8">
      <c r="A117" s="1791">
        <f>$A$4</f>
        <v>20</v>
      </c>
      <c r="B117" s="1610">
        <v>1.48</v>
      </c>
      <c r="C117" s="2869" t="s">
        <v>2515</v>
      </c>
      <c r="D117" s="2035" t="s">
        <v>1171</v>
      </c>
      <c r="E117" s="2884" t="s">
        <v>2485</v>
      </c>
      <c r="F117" s="2885">
        <v>1</v>
      </c>
      <c r="G117" s="2199"/>
      <c r="H117" s="1501">
        <f t="shared" si="1"/>
        <v>0</v>
      </c>
    </row>
    <row r="118" spans="1:8">
      <c r="A118" s="1791"/>
      <c r="B118" s="1783"/>
      <c r="C118" s="2869"/>
      <c r="D118" s="1552"/>
      <c r="E118" s="2196"/>
      <c r="F118" s="1550"/>
      <c r="G118" s="2199"/>
      <c r="H118" s="1501" t="str">
        <f t="shared" si="1"/>
        <v/>
      </c>
    </row>
    <row r="119" spans="1:8" ht="26.4">
      <c r="A119" s="1791"/>
      <c r="B119" s="2887" t="s">
        <v>562</v>
      </c>
      <c r="C119" s="2869"/>
      <c r="D119" s="2888" t="s">
        <v>2524</v>
      </c>
      <c r="E119" s="2889"/>
      <c r="F119" s="2890"/>
      <c r="G119" s="2199"/>
      <c r="H119" s="1501" t="str">
        <f t="shared" si="1"/>
        <v/>
      </c>
    </row>
    <row r="120" spans="1:8" ht="12" customHeight="1">
      <c r="A120" s="1791"/>
      <c r="B120" s="2869"/>
      <c r="C120" s="2869"/>
      <c r="D120" s="2891"/>
      <c r="E120" s="2889"/>
      <c r="F120" s="2890"/>
      <c r="G120" s="2199"/>
      <c r="H120" s="1501" t="str">
        <f t="shared" si="1"/>
        <v/>
      </c>
    </row>
    <row r="121" spans="1:8" ht="32.25" customHeight="1">
      <c r="A121" s="1791"/>
      <c r="B121" s="2892"/>
      <c r="C121" s="2869"/>
      <c r="D121" s="2893" t="s">
        <v>2525</v>
      </c>
      <c r="E121" s="2889"/>
      <c r="F121" s="1622"/>
      <c r="G121" s="2199"/>
      <c r="H121" s="1501" t="str">
        <f t="shared" si="1"/>
        <v/>
      </c>
    </row>
    <row r="122" spans="1:8" ht="12" customHeight="1">
      <c r="A122" s="1791"/>
      <c r="B122" s="2892"/>
      <c r="C122" s="2869"/>
      <c r="D122" s="2894"/>
      <c r="E122" s="2889"/>
      <c r="F122" s="2895"/>
      <c r="G122" s="2199"/>
      <c r="H122" s="1501" t="str">
        <f t="shared" si="1"/>
        <v/>
      </c>
    </row>
    <row r="123" spans="1:8" s="32" customFormat="1" ht="26.4">
      <c r="A123" s="1791">
        <f>$A$4</f>
        <v>20</v>
      </c>
      <c r="B123" s="1610">
        <v>1.49</v>
      </c>
      <c r="C123" s="1610" t="s">
        <v>2483</v>
      </c>
      <c r="D123" s="1647" t="s">
        <v>2484</v>
      </c>
      <c r="E123" s="1610" t="s">
        <v>2485</v>
      </c>
      <c r="F123" s="2852">
        <v>2</v>
      </c>
      <c r="G123" s="2199"/>
      <c r="H123" s="1501">
        <f t="shared" si="1"/>
        <v>0</v>
      </c>
    </row>
    <row r="124" spans="1:8">
      <c r="A124" s="1791"/>
      <c r="B124" s="1783"/>
      <c r="C124" s="2869"/>
      <c r="D124" s="1552"/>
      <c r="E124" s="2196"/>
      <c r="F124" s="1550"/>
      <c r="G124" s="2199"/>
      <c r="H124" s="1501" t="str">
        <f t="shared" si="1"/>
        <v/>
      </c>
    </row>
    <row r="125" spans="1:8" ht="12" customHeight="1">
      <c r="A125" s="1791">
        <f>$A$4</f>
        <v>20</v>
      </c>
      <c r="B125" s="2862">
        <v>1.5</v>
      </c>
      <c r="C125" s="1610" t="s">
        <v>2486</v>
      </c>
      <c r="D125" s="2859" t="s">
        <v>2487</v>
      </c>
      <c r="E125" s="1610" t="s">
        <v>2485</v>
      </c>
      <c r="F125" s="2855">
        <v>2</v>
      </c>
      <c r="G125" s="2199"/>
      <c r="H125" s="1501">
        <f t="shared" si="1"/>
        <v>0</v>
      </c>
    </row>
    <row r="126" spans="1:8" ht="12" customHeight="1">
      <c r="A126" s="1791"/>
      <c r="B126" s="2850"/>
      <c r="C126" s="1610"/>
      <c r="D126" s="857"/>
      <c r="E126" s="1610"/>
      <c r="F126" s="2855"/>
      <c r="G126" s="2199"/>
      <c r="H126" s="1501" t="str">
        <f t="shared" si="1"/>
        <v/>
      </c>
    </row>
    <row r="127" spans="1:8" s="32" customFormat="1" ht="26.4">
      <c r="A127" s="1791">
        <f>$A$4</f>
        <v>20</v>
      </c>
      <c r="B127" s="1610">
        <v>1.51</v>
      </c>
      <c r="C127" s="1610" t="s">
        <v>2488</v>
      </c>
      <c r="D127" s="864" t="s">
        <v>1103</v>
      </c>
      <c r="E127" s="1610" t="s">
        <v>2485</v>
      </c>
      <c r="F127" s="1618">
        <v>7</v>
      </c>
      <c r="G127" s="2199"/>
      <c r="H127" s="1501">
        <f t="shared" si="1"/>
        <v>0</v>
      </c>
    </row>
    <row r="128" spans="1:8">
      <c r="A128" s="1791"/>
      <c r="B128" s="2892"/>
      <c r="C128" s="1610"/>
      <c r="D128" s="856"/>
      <c r="E128" s="1610"/>
      <c r="F128" s="1618"/>
      <c r="G128" s="2199"/>
      <c r="H128" s="1501" t="str">
        <f t="shared" si="1"/>
        <v/>
      </c>
    </row>
    <row r="129" spans="1:8" ht="26.4">
      <c r="A129" s="1791">
        <f>$A$4</f>
        <v>20</v>
      </c>
      <c r="B129" s="1610">
        <v>1.52</v>
      </c>
      <c r="C129" s="1610" t="s">
        <v>2486</v>
      </c>
      <c r="D129" s="2859" t="s">
        <v>2489</v>
      </c>
      <c r="E129" s="1610" t="s">
        <v>2485</v>
      </c>
      <c r="F129" s="1618">
        <v>7</v>
      </c>
      <c r="G129" s="2199"/>
      <c r="H129" s="1501">
        <f t="shared" si="1"/>
        <v>0</v>
      </c>
    </row>
    <row r="130" spans="1:8" ht="12" customHeight="1">
      <c r="A130" s="1791"/>
      <c r="B130" s="2892"/>
      <c r="C130" s="1610"/>
      <c r="D130" s="857"/>
      <c r="E130" s="1610"/>
      <c r="F130" s="1618"/>
      <c r="G130" s="2199"/>
      <c r="H130" s="1501" t="str">
        <f t="shared" si="1"/>
        <v/>
      </c>
    </row>
    <row r="131" spans="1:8">
      <c r="A131" s="1791">
        <f>$A$4</f>
        <v>20</v>
      </c>
      <c r="B131" s="1610">
        <v>1.53</v>
      </c>
      <c r="C131" s="1610" t="s">
        <v>2490</v>
      </c>
      <c r="D131" s="2859" t="s">
        <v>2526</v>
      </c>
      <c r="E131" s="1783"/>
      <c r="F131" s="2860"/>
      <c r="G131" s="2199"/>
      <c r="H131" s="1501" t="str">
        <f t="shared" si="1"/>
        <v/>
      </c>
    </row>
    <row r="132" spans="1:8" ht="12" customHeight="1">
      <c r="A132" s="1791"/>
      <c r="B132" s="2892"/>
      <c r="C132" s="1610"/>
      <c r="D132" s="856"/>
      <c r="E132" s="1610"/>
      <c r="F132" s="2853"/>
      <c r="G132" s="2199"/>
      <c r="H132" s="1501" t="str">
        <f t="shared" si="1"/>
        <v/>
      </c>
    </row>
    <row r="133" spans="1:8" ht="12" customHeight="1">
      <c r="A133" s="1791">
        <f>$A$4</f>
        <v>20</v>
      </c>
      <c r="B133" s="1610">
        <v>1.54</v>
      </c>
      <c r="C133" s="1610" t="s">
        <v>2486</v>
      </c>
      <c r="D133" s="2859" t="s">
        <v>2492</v>
      </c>
      <c r="E133" s="1783" t="s">
        <v>2485</v>
      </c>
      <c r="F133" s="2860">
        <v>6</v>
      </c>
      <c r="G133" s="2199"/>
      <c r="H133" s="1501">
        <f t="shared" si="1"/>
        <v>0</v>
      </c>
    </row>
    <row r="134" spans="1:8" ht="12" customHeight="1">
      <c r="A134" s="1791"/>
      <c r="B134" s="2850"/>
      <c r="C134" s="1610"/>
      <c r="D134" s="857"/>
      <c r="E134" s="1783"/>
      <c r="F134" s="2896"/>
      <c r="G134" s="2199"/>
      <c r="H134" s="1501" t="str">
        <f t="shared" si="1"/>
        <v/>
      </c>
    </row>
    <row r="135" spans="1:8" s="32" customFormat="1" ht="26.4">
      <c r="A135" s="1791">
        <f>$A$4</f>
        <v>20</v>
      </c>
      <c r="B135" s="1610">
        <v>1.55</v>
      </c>
      <c r="C135" s="1610" t="s">
        <v>2483</v>
      </c>
      <c r="D135" s="1648" t="s">
        <v>2493</v>
      </c>
      <c r="E135" s="1610" t="s">
        <v>2485</v>
      </c>
      <c r="F135" s="2855">
        <v>1</v>
      </c>
      <c r="G135" s="2199"/>
      <c r="H135" s="1501">
        <f t="shared" si="1"/>
        <v>0</v>
      </c>
    </row>
    <row r="136" spans="1:8" ht="12" customHeight="1">
      <c r="A136" s="1791"/>
      <c r="B136" s="2892"/>
      <c r="C136" s="1610"/>
      <c r="D136" s="856"/>
      <c r="E136" s="1610"/>
      <c r="F136" s="2855"/>
      <c r="G136" s="2199"/>
      <c r="H136" s="1501" t="str">
        <f t="shared" si="1"/>
        <v/>
      </c>
    </row>
    <row r="137" spans="1:8" ht="26.4">
      <c r="A137" s="1791">
        <f>$A$4</f>
        <v>20</v>
      </c>
      <c r="B137" s="1610">
        <v>1.56</v>
      </c>
      <c r="C137" s="1610" t="s">
        <v>2486</v>
      </c>
      <c r="D137" s="2859" t="s">
        <v>2494</v>
      </c>
      <c r="E137" s="1783" t="s">
        <v>2485</v>
      </c>
      <c r="F137" s="2860">
        <v>1</v>
      </c>
      <c r="G137" s="2199"/>
      <c r="H137" s="1501">
        <f t="shared" si="1"/>
        <v>0</v>
      </c>
    </row>
    <row r="138" spans="1:8" ht="12" customHeight="1">
      <c r="A138" s="1791"/>
      <c r="B138" s="2892"/>
      <c r="C138" s="1610"/>
      <c r="D138" s="857"/>
      <c r="E138" s="1783"/>
      <c r="F138" s="2860"/>
      <c r="G138" s="2199"/>
      <c r="H138" s="1501" t="str">
        <f t="shared" si="1"/>
        <v/>
      </c>
    </row>
    <row r="139" spans="1:8">
      <c r="A139" s="1791">
        <f>$A$4</f>
        <v>20</v>
      </c>
      <c r="B139" s="1610">
        <v>1.57</v>
      </c>
      <c r="C139" s="1610" t="s">
        <v>2490</v>
      </c>
      <c r="D139" s="857" t="s">
        <v>2495</v>
      </c>
      <c r="E139" s="1783"/>
      <c r="F139" s="2860"/>
      <c r="G139" s="2199"/>
      <c r="H139" s="1501" t="str">
        <f t="shared" ref="H139:H144" si="2">IF(E139="","",ROUND(F139*G139,2))</f>
        <v/>
      </c>
    </row>
    <row r="140" spans="1:8" ht="12" customHeight="1">
      <c r="A140" s="1791"/>
      <c r="B140" s="2892"/>
      <c r="C140" s="1610"/>
      <c r="D140" s="857"/>
      <c r="E140" s="1783"/>
      <c r="F140" s="2860"/>
      <c r="G140" s="2199"/>
      <c r="H140" s="1501" t="str">
        <f t="shared" si="2"/>
        <v/>
      </c>
    </row>
    <row r="141" spans="1:8">
      <c r="A141" s="1791">
        <f>$A$4</f>
        <v>20</v>
      </c>
      <c r="B141" s="1610">
        <v>1.58</v>
      </c>
      <c r="C141" s="1610" t="s">
        <v>2490</v>
      </c>
      <c r="D141" s="857" t="s">
        <v>2496</v>
      </c>
      <c r="E141" s="1783"/>
      <c r="F141" s="2860"/>
      <c r="G141" s="2199"/>
      <c r="H141" s="1501" t="str">
        <f t="shared" si="2"/>
        <v/>
      </c>
    </row>
    <row r="142" spans="1:8" ht="12" customHeight="1">
      <c r="A142" s="1791"/>
      <c r="B142" s="2892"/>
      <c r="C142" s="1610"/>
      <c r="D142" s="857"/>
      <c r="E142" s="1783"/>
      <c r="F142" s="2860"/>
      <c r="G142" s="2199"/>
      <c r="H142" s="1501" t="str">
        <f t="shared" si="2"/>
        <v/>
      </c>
    </row>
    <row r="143" spans="1:8" ht="26.4">
      <c r="A143" s="1791">
        <f>$A$4</f>
        <v>20</v>
      </c>
      <c r="B143" s="1610">
        <v>1.59</v>
      </c>
      <c r="C143" s="1610" t="s">
        <v>2486</v>
      </c>
      <c r="D143" s="857" t="s">
        <v>2527</v>
      </c>
      <c r="E143" s="1783" t="s">
        <v>2485</v>
      </c>
      <c r="F143" s="2860">
        <v>2</v>
      </c>
      <c r="G143" s="2199"/>
      <c r="H143" s="1501">
        <f t="shared" si="2"/>
        <v>0</v>
      </c>
    </row>
    <row r="144" spans="1:8">
      <c r="A144" s="1791"/>
      <c r="B144" s="2892"/>
      <c r="C144" s="1610"/>
      <c r="D144" s="857"/>
      <c r="E144" s="1783"/>
      <c r="F144" s="2860"/>
      <c r="G144" s="2199"/>
      <c r="H144" s="1501" t="str">
        <f t="shared" si="2"/>
        <v/>
      </c>
    </row>
    <row r="145" spans="1:8">
      <c r="A145" s="1791"/>
      <c r="B145" s="2892"/>
      <c r="C145" s="1610"/>
      <c r="D145" s="857"/>
      <c r="E145" s="1783"/>
      <c r="F145" s="2896"/>
      <c r="G145" s="2199"/>
      <c r="H145" s="1614"/>
    </row>
    <row r="146" spans="1:8">
      <c r="A146" s="1791"/>
      <c r="B146" s="2850"/>
      <c r="C146" s="1610"/>
      <c r="D146" s="857"/>
      <c r="E146" s="1783"/>
      <c r="F146" s="2896"/>
      <c r="G146" s="2199"/>
      <c r="H146" s="1614"/>
    </row>
    <row r="147" spans="1:8">
      <c r="A147" s="2871"/>
      <c r="B147" s="850"/>
      <c r="C147" s="861"/>
      <c r="D147" s="862"/>
      <c r="E147" s="800"/>
      <c r="F147" s="800"/>
      <c r="G147" s="1485"/>
      <c r="H147" s="2872"/>
    </row>
    <row r="148" spans="1:8">
      <c r="A148" s="2873"/>
      <c r="B148" s="851"/>
      <c r="C148" s="419"/>
      <c r="D148" s="413" t="s">
        <v>289</v>
      </c>
      <c r="E148" s="425"/>
      <c r="F148" s="425"/>
      <c r="G148" s="1486"/>
      <c r="H148" s="2874">
        <f>SUM(H73:H146)</f>
        <v>0</v>
      </c>
    </row>
    <row r="149" spans="1:8">
      <c r="A149" s="1791"/>
      <c r="B149" s="1783"/>
      <c r="C149" s="2869"/>
      <c r="D149" s="2162" t="s">
        <v>290</v>
      </c>
      <c r="E149" s="2196"/>
      <c r="F149" s="1550"/>
      <c r="G149" s="2199"/>
      <c r="H149" s="1614">
        <f>H148</f>
        <v>0</v>
      </c>
    </row>
    <row r="150" spans="1:8">
      <c r="A150" s="1791"/>
      <c r="B150" s="1783"/>
      <c r="C150" s="2869"/>
      <c r="D150" s="1552"/>
      <c r="E150" s="2196"/>
      <c r="F150" s="1550"/>
      <c r="G150" s="2199"/>
      <c r="H150" s="1614"/>
    </row>
    <row r="151" spans="1:8" ht="26.4">
      <c r="A151" s="1791">
        <f>$A$4</f>
        <v>20</v>
      </c>
      <c r="B151" s="1610">
        <v>1.6</v>
      </c>
      <c r="C151" s="1610" t="s">
        <v>2498</v>
      </c>
      <c r="D151" s="2859" t="s">
        <v>2499</v>
      </c>
      <c r="E151" s="2368" t="s">
        <v>2485</v>
      </c>
      <c r="F151" s="2860">
        <v>4</v>
      </c>
      <c r="G151" s="2199"/>
      <c r="H151" s="1501">
        <f t="shared" ref="H151:H214" si="3">IF(E151="","",ROUND(F151*G151,2))</f>
        <v>0</v>
      </c>
    </row>
    <row r="152" spans="1:8">
      <c r="A152" s="1791"/>
      <c r="B152" s="2892"/>
      <c r="C152" s="1610"/>
      <c r="D152" s="857"/>
      <c r="E152" s="1783"/>
      <c r="F152" s="2860"/>
      <c r="G152" s="2199"/>
      <c r="H152" s="1501" t="str">
        <f t="shared" si="3"/>
        <v/>
      </c>
    </row>
    <row r="153" spans="1:8">
      <c r="A153" s="1791">
        <f>$A$4</f>
        <v>20</v>
      </c>
      <c r="B153" s="1610">
        <v>1.61</v>
      </c>
      <c r="C153" s="1610" t="s">
        <v>2490</v>
      </c>
      <c r="D153" s="857" t="s">
        <v>2500</v>
      </c>
      <c r="E153" s="1783" t="s">
        <v>2485</v>
      </c>
      <c r="F153" s="2860">
        <v>1</v>
      </c>
      <c r="G153" s="2199"/>
      <c r="H153" s="1501">
        <f t="shared" si="3"/>
        <v>0</v>
      </c>
    </row>
    <row r="154" spans="1:8">
      <c r="A154" s="1791"/>
      <c r="B154" s="2892"/>
      <c r="C154" s="1610"/>
      <c r="D154" s="857"/>
      <c r="E154" s="1783"/>
      <c r="F154" s="2860"/>
      <c r="G154" s="2199"/>
      <c r="H154" s="1501" t="str">
        <f t="shared" si="3"/>
        <v/>
      </c>
    </row>
    <row r="155" spans="1:8" ht="26.4">
      <c r="A155" s="1791">
        <f>$A$4</f>
        <v>20</v>
      </c>
      <c r="B155" s="1610">
        <v>1.62</v>
      </c>
      <c r="C155" s="1610" t="s">
        <v>2486</v>
      </c>
      <c r="D155" s="2859" t="s">
        <v>2501</v>
      </c>
      <c r="E155" s="1783" t="s">
        <v>2485</v>
      </c>
      <c r="F155" s="2860">
        <v>1</v>
      </c>
      <c r="G155" s="2199"/>
      <c r="H155" s="1501">
        <f t="shared" si="3"/>
        <v>0</v>
      </c>
    </row>
    <row r="156" spans="1:8">
      <c r="A156" s="1791"/>
      <c r="B156" s="2892"/>
      <c r="C156" s="1610"/>
      <c r="D156" s="857"/>
      <c r="E156" s="1783"/>
      <c r="F156" s="2860"/>
      <c r="G156" s="2199"/>
      <c r="H156" s="1501" t="str">
        <f t="shared" si="3"/>
        <v/>
      </c>
    </row>
    <row r="157" spans="1:8" ht="18.75" customHeight="1">
      <c r="A157" s="1791">
        <f>$A$4</f>
        <v>20</v>
      </c>
      <c r="B157" s="1610">
        <v>1.63</v>
      </c>
      <c r="C157" s="1610"/>
      <c r="D157" s="857" t="s">
        <v>2503</v>
      </c>
      <c r="E157" s="1783"/>
      <c r="F157" s="2860"/>
      <c r="G157" s="2199"/>
      <c r="H157" s="1501" t="str">
        <f t="shared" si="3"/>
        <v/>
      </c>
    </row>
    <row r="158" spans="1:8">
      <c r="A158" s="1791"/>
      <c r="B158" s="2892"/>
      <c r="C158" s="1610"/>
      <c r="D158" s="857"/>
      <c r="E158" s="1783"/>
      <c r="F158" s="2860"/>
      <c r="G158" s="2199"/>
      <c r="H158" s="1501" t="str">
        <f t="shared" si="3"/>
        <v/>
      </c>
    </row>
    <row r="159" spans="1:8" ht="26.4">
      <c r="A159" s="1791">
        <f>$A$4</f>
        <v>20</v>
      </c>
      <c r="B159" s="1610">
        <v>1.64</v>
      </c>
      <c r="C159" s="1610" t="s">
        <v>2486</v>
      </c>
      <c r="D159" s="2859" t="s">
        <v>2504</v>
      </c>
      <c r="E159" s="1783" t="s">
        <v>2485</v>
      </c>
      <c r="F159" s="2860">
        <v>1</v>
      </c>
      <c r="G159" s="2199"/>
      <c r="H159" s="1501">
        <f t="shared" si="3"/>
        <v>0</v>
      </c>
    </row>
    <row r="160" spans="1:8">
      <c r="A160" s="1791"/>
      <c r="B160" s="2892"/>
      <c r="C160" s="1610"/>
      <c r="D160" s="857"/>
      <c r="E160" s="1783"/>
      <c r="F160" s="2860"/>
      <c r="G160" s="2199"/>
      <c r="H160" s="1501" t="str">
        <f t="shared" si="3"/>
        <v/>
      </c>
    </row>
    <row r="161" spans="1:8" ht="26.4">
      <c r="A161" s="1791">
        <f>$A$4</f>
        <v>20</v>
      </c>
      <c r="B161" s="1610">
        <v>1.65</v>
      </c>
      <c r="C161" s="1610" t="s">
        <v>2486</v>
      </c>
      <c r="D161" s="2859" t="s">
        <v>2504</v>
      </c>
      <c r="E161" s="1783" t="s">
        <v>2485</v>
      </c>
      <c r="F161" s="2860">
        <v>1</v>
      </c>
      <c r="G161" s="2199"/>
      <c r="H161" s="1501">
        <f t="shared" si="3"/>
        <v>0</v>
      </c>
    </row>
    <row r="162" spans="1:8">
      <c r="A162" s="1791"/>
      <c r="B162" s="2892"/>
      <c r="C162" s="1610"/>
      <c r="D162" s="857"/>
      <c r="E162" s="1783"/>
      <c r="F162" s="2860"/>
      <c r="G162" s="2199"/>
      <c r="H162" s="1501" t="str">
        <f t="shared" si="3"/>
        <v/>
      </c>
    </row>
    <row r="163" spans="1:8" ht="17.25" customHeight="1">
      <c r="A163" s="1791">
        <f>$A$4</f>
        <v>20</v>
      </c>
      <c r="B163" s="1610">
        <v>1.66</v>
      </c>
      <c r="C163" s="1610" t="s">
        <v>2502</v>
      </c>
      <c r="D163" s="857" t="s">
        <v>2505</v>
      </c>
      <c r="E163" s="1783"/>
      <c r="F163" s="2860"/>
      <c r="G163" s="2199"/>
      <c r="H163" s="1501" t="str">
        <f t="shared" si="3"/>
        <v/>
      </c>
    </row>
    <row r="164" spans="1:8">
      <c r="A164" s="1791"/>
      <c r="B164" s="2892"/>
      <c r="C164" s="1610"/>
      <c r="D164" s="857"/>
      <c r="E164" s="1783"/>
      <c r="F164" s="2860"/>
      <c r="G164" s="2199"/>
      <c r="H164" s="1501" t="str">
        <f t="shared" si="3"/>
        <v/>
      </c>
    </row>
    <row r="165" spans="1:8" ht="26.4">
      <c r="A165" s="1791">
        <f>$A$4</f>
        <v>20</v>
      </c>
      <c r="B165" s="1610">
        <v>1.67</v>
      </c>
      <c r="C165" s="1610" t="s">
        <v>2486</v>
      </c>
      <c r="D165" s="2859" t="s">
        <v>2506</v>
      </c>
      <c r="E165" s="1783" t="s">
        <v>2485</v>
      </c>
      <c r="F165" s="2860">
        <v>18</v>
      </c>
      <c r="G165" s="2199"/>
      <c r="H165" s="1501">
        <f t="shared" si="3"/>
        <v>0</v>
      </c>
    </row>
    <row r="166" spans="1:8">
      <c r="A166" s="1791"/>
      <c r="B166" s="2892"/>
      <c r="C166" s="1610"/>
      <c r="D166" s="857"/>
      <c r="E166" s="1783"/>
      <c r="F166" s="2860"/>
      <c r="G166" s="2199"/>
      <c r="H166" s="1501" t="str">
        <f t="shared" si="3"/>
        <v/>
      </c>
    </row>
    <row r="167" spans="1:8">
      <c r="A167" s="1791">
        <f>$A$4</f>
        <v>20</v>
      </c>
      <c r="B167" s="1610">
        <v>1.68</v>
      </c>
      <c r="C167" s="1610" t="s">
        <v>2502</v>
      </c>
      <c r="D167" s="857" t="s">
        <v>2507</v>
      </c>
      <c r="E167" s="1783"/>
      <c r="F167" s="2860"/>
      <c r="G167" s="2199"/>
      <c r="H167" s="1501" t="str">
        <f t="shared" si="3"/>
        <v/>
      </c>
    </row>
    <row r="168" spans="1:8">
      <c r="A168" s="1791"/>
      <c r="B168" s="2892"/>
      <c r="C168" s="1610"/>
      <c r="D168" s="857"/>
      <c r="E168" s="1783"/>
      <c r="F168" s="2860"/>
      <c r="G168" s="2199"/>
      <c r="H168" s="1501" t="str">
        <f t="shared" si="3"/>
        <v/>
      </c>
    </row>
    <row r="169" spans="1:8" ht="36" customHeight="1">
      <c r="A169" s="1791">
        <f>$A$4</f>
        <v>20</v>
      </c>
      <c r="B169" s="1610">
        <v>1.69</v>
      </c>
      <c r="C169" s="1610" t="s">
        <v>2486</v>
      </c>
      <c r="D169" s="2859" t="s">
        <v>2508</v>
      </c>
      <c r="E169" s="1783" t="s">
        <v>2485</v>
      </c>
      <c r="F169" s="2860">
        <v>2</v>
      </c>
      <c r="G169" s="2199"/>
      <c r="H169" s="1501">
        <f t="shared" si="3"/>
        <v>0</v>
      </c>
    </row>
    <row r="170" spans="1:8">
      <c r="A170" s="1791"/>
      <c r="B170" s="2892"/>
      <c r="C170" s="1610"/>
      <c r="D170" s="857"/>
      <c r="E170" s="1783"/>
      <c r="F170" s="2860"/>
      <c r="G170" s="2199"/>
      <c r="H170" s="1501" t="str">
        <f t="shared" si="3"/>
        <v/>
      </c>
    </row>
    <row r="171" spans="1:8">
      <c r="A171" s="1791">
        <f>$A$4</f>
        <v>20</v>
      </c>
      <c r="B171" s="2862">
        <v>1.7</v>
      </c>
      <c r="C171" s="1610" t="s">
        <v>2502</v>
      </c>
      <c r="D171" s="857" t="s">
        <v>2509</v>
      </c>
      <c r="E171" s="1783"/>
      <c r="F171" s="2860"/>
      <c r="G171" s="2199"/>
      <c r="H171" s="1501" t="str">
        <f t="shared" si="3"/>
        <v/>
      </c>
    </row>
    <row r="172" spans="1:8">
      <c r="A172" s="1791"/>
      <c r="B172" s="2892"/>
      <c r="C172" s="1610"/>
      <c r="D172" s="857"/>
      <c r="E172" s="1783"/>
      <c r="F172" s="2860"/>
      <c r="G172" s="2199"/>
      <c r="H172" s="1501" t="str">
        <f t="shared" si="3"/>
        <v/>
      </c>
    </row>
    <row r="173" spans="1:8" ht="26.4">
      <c r="A173" s="1791">
        <f>$A$4</f>
        <v>20</v>
      </c>
      <c r="B173" s="1610">
        <v>1.71</v>
      </c>
      <c r="C173" s="1610" t="s">
        <v>2486</v>
      </c>
      <c r="D173" s="2859" t="s">
        <v>2528</v>
      </c>
      <c r="E173" s="1783" t="s">
        <v>2485</v>
      </c>
      <c r="F173" s="2860">
        <v>36</v>
      </c>
      <c r="G173" s="2199"/>
      <c r="H173" s="1501">
        <f t="shared" si="3"/>
        <v>0</v>
      </c>
    </row>
    <row r="174" spans="1:8">
      <c r="A174" s="1791"/>
      <c r="B174" s="2892"/>
      <c r="C174" s="1623"/>
      <c r="D174" s="857"/>
      <c r="E174" s="1783"/>
      <c r="F174" s="2860"/>
      <c r="G174" s="2199"/>
      <c r="H174" s="1501" t="str">
        <f t="shared" si="3"/>
        <v/>
      </c>
    </row>
    <row r="175" spans="1:8" ht="26.4">
      <c r="A175" s="1791">
        <f>$A$4</f>
        <v>20</v>
      </c>
      <c r="B175" s="1610">
        <v>1.72</v>
      </c>
      <c r="C175" s="859" t="s">
        <v>2511</v>
      </c>
      <c r="D175" s="2859" t="s">
        <v>2512</v>
      </c>
      <c r="E175" s="1783" t="s">
        <v>2485</v>
      </c>
      <c r="F175" s="2860">
        <v>1</v>
      </c>
      <c r="G175" s="2199"/>
      <c r="H175" s="1501">
        <f t="shared" si="3"/>
        <v>0</v>
      </c>
    </row>
    <row r="176" spans="1:8">
      <c r="A176" s="1791"/>
      <c r="B176" s="2892"/>
      <c r="C176" s="2869"/>
      <c r="D176" s="857"/>
      <c r="E176" s="1783"/>
      <c r="F176" s="2860"/>
      <c r="G176" s="2199"/>
      <c r="H176" s="1501" t="str">
        <f t="shared" si="3"/>
        <v/>
      </c>
    </row>
    <row r="177" spans="1:8">
      <c r="A177" s="1791"/>
      <c r="B177" s="1623" t="s">
        <v>580</v>
      </c>
      <c r="C177" s="859"/>
      <c r="D177" s="2879" t="s">
        <v>1121</v>
      </c>
      <c r="E177" s="1610"/>
      <c r="F177" s="1613"/>
      <c r="G177" s="2199"/>
      <c r="H177" s="1501" t="str">
        <f t="shared" si="3"/>
        <v/>
      </c>
    </row>
    <row r="178" spans="1:8">
      <c r="A178" s="1791"/>
      <c r="B178" s="1623"/>
      <c r="C178" s="859"/>
      <c r="D178" s="2879"/>
      <c r="E178" s="1610"/>
      <c r="F178" s="1613"/>
      <c r="G178" s="2199"/>
      <c r="H178" s="1501" t="str">
        <f t="shared" si="3"/>
        <v/>
      </c>
    </row>
    <row r="179" spans="1:8">
      <c r="A179" s="1791"/>
      <c r="B179" s="1610"/>
      <c r="C179" s="859"/>
      <c r="D179" s="2897" t="s">
        <v>2529</v>
      </c>
      <c r="E179" s="1610"/>
      <c r="F179" s="1613"/>
      <c r="G179" s="2199"/>
      <c r="H179" s="1501" t="str">
        <f t="shared" si="3"/>
        <v/>
      </c>
    </row>
    <row r="180" spans="1:8">
      <c r="A180" s="1791"/>
      <c r="B180" s="1610"/>
      <c r="C180" s="1610"/>
      <c r="D180" s="2868"/>
      <c r="E180" s="1610"/>
      <c r="F180" s="1613"/>
      <c r="G180" s="2199"/>
      <c r="H180" s="1501" t="str">
        <f t="shared" si="3"/>
        <v/>
      </c>
    </row>
    <row r="181" spans="1:8">
      <c r="A181" s="1791">
        <f>$A$4</f>
        <v>20</v>
      </c>
      <c r="B181" s="1610">
        <v>1.73</v>
      </c>
      <c r="C181" s="2869" t="s">
        <v>2515</v>
      </c>
      <c r="D181" s="1611" t="s">
        <v>1124</v>
      </c>
      <c r="E181" s="1610" t="s">
        <v>561</v>
      </c>
      <c r="F181" s="1613">
        <v>420</v>
      </c>
      <c r="G181" s="2199"/>
      <c r="H181" s="1501">
        <f t="shared" si="3"/>
        <v>0</v>
      </c>
    </row>
    <row r="182" spans="1:8">
      <c r="A182" s="1791"/>
      <c r="B182" s="1610"/>
      <c r="C182" s="859"/>
      <c r="D182" s="2868"/>
      <c r="E182" s="1610"/>
      <c r="F182" s="1613"/>
      <c r="G182" s="2199"/>
      <c r="H182" s="1501" t="str">
        <f t="shared" si="3"/>
        <v/>
      </c>
    </row>
    <row r="183" spans="1:8">
      <c r="A183" s="1791">
        <f>$A$4</f>
        <v>20</v>
      </c>
      <c r="B183" s="1610">
        <v>1.74</v>
      </c>
      <c r="C183" s="2869" t="s">
        <v>2515</v>
      </c>
      <c r="D183" s="1611" t="s">
        <v>1126</v>
      </c>
      <c r="E183" s="1612" t="s">
        <v>561</v>
      </c>
      <c r="F183" s="1613">
        <v>7531</v>
      </c>
      <c r="G183" s="2857"/>
      <c r="H183" s="1501">
        <f t="shared" si="3"/>
        <v>0</v>
      </c>
    </row>
    <row r="184" spans="1:8">
      <c r="A184" s="1791"/>
      <c r="B184" s="1610"/>
      <c r="C184" s="859"/>
      <c r="D184" s="2868"/>
      <c r="E184" s="1610"/>
      <c r="F184" s="1613"/>
      <c r="G184" s="2199"/>
      <c r="H184" s="1501" t="str">
        <f t="shared" si="3"/>
        <v/>
      </c>
    </row>
    <row r="185" spans="1:8">
      <c r="A185" s="1791">
        <f>$A$4</f>
        <v>20</v>
      </c>
      <c r="B185" s="1610">
        <v>1.75</v>
      </c>
      <c r="C185" s="2869" t="s">
        <v>2515</v>
      </c>
      <c r="D185" s="1611" t="s">
        <v>2516</v>
      </c>
      <c r="E185" s="1612" t="s">
        <v>561</v>
      </c>
      <c r="F185" s="1613">
        <v>1</v>
      </c>
      <c r="G185" s="2199"/>
      <c r="H185" s="1501">
        <f t="shared" si="3"/>
        <v>0</v>
      </c>
    </row>
    <row r="186" spans="1:8">
      <c r="A186" s="1791"/>
      <c r="B186" s="1610"/>
      <c r="C186" s="1610"/>
      <c r="D186" s="2868"/>
      <c r="E186" s="1610"/>
      <c r="F186" s="1613"/>
      <c r="G186" s="2199"/>
      <c r="H186" s="1501" t="str">
        <f t="shared" si="3"/>
        <v/>
      </c>
    </row>
    <row r="187" spans="1:8">
      <c r="A187" s="1791">
        <f>$A$4</f>
        <v>20</v>
      </c>
      <c r="B187" s="1610">
        <v>1.76</v>
      </c>
      <c r="C187" s="2869" t="s">
        <v>2515</v>
      </c>
      <c r="D187" s="1611" t="s">
        <v>1128</v>
      </c>
      <c r="E187" s="1612" t="s">
        <v>561</v>
      </c>
      <c r="F187" s="1613">
        <v>9853</v>
      </c>
      <c r="G187" s="2199"/>
      <c r="H187" s="1501">
        <f t="shared" si="3"/>
        <v>0</v>
      </c>
    </row>
    <row r="188" spans="1:8">
      <c r="A188" s="1791"/>
      <c r="B188" s="1610"/>
      <c r="C188" s="1612"/>
      <c r="D188" s="2868"/>
      <c r="E188" s="1610"/>
      <c r="F188" s="1613"/>
      <c r="G188" s="2199"/>
      <c r="H188" s="1501" t="str">
        <f t="shared" si="3"/>
        <v/>
      </c>
    </row>
    <row r="189" spans="1:8">
      <c r="A189" s="1791">
        <f>$A$4</f>
        <v>20</v>
      </c>
      <c r="B189" s="1610">
        <v>1.77</v>
      </c>
      <c r="C189" s="2869" t="s">
        <v>2515</v>
      </c>
      <c r="D189" s="1611" t="s">
        <v>2517</v>
      </c>
      <c r="E189" s="1612" t="s">
        <v>561</v>
      </c>
      <c r="F189" s="1613">
        <v>8174</v>
      </c>
      <c r="G189" s="2199"/>
      <c r="H189" s="1501">
        <f t="shared" si="3"/>
        <v>0</v>
      </c>
    </row>
    <row r="190" spans="1:8" ht="15.75" customHeight="1">
      <c r="A190" s="1791"/>
      <c r="B190" s="1610"/>
      <c r="C190" s="1612"/>
      <c r="D190" s="2868"/>
      <c r="E190" s="1610"/>
      <c r="F190" s="1613"/>
      <c r="G190" s="2199"/>
      <c r="H190" s="1501" t="str">
        <f t="shared" si="3"/>
        <v/>
      </c>
    </row>
    <row r="191" spans="1:8">
      <c r="A191" s="1791">
        <f>$A$4</f>
        <v>20</v>
      </c>
      <c r="B191" s="1610">
        <v>1.78</v>
      </c>
      <c r="C191" s="2869" t="s">
        <v>2515</v>
      </c>
      <c r="D191" s="1611" t="s">
        <v>1130</v>
      </c>
      <c r="E191" s="1612" t="s">
        <v>561</v>
      </c>
      <c r="F191" s="1613">
        <v>3560</v>
      </c>
      <c r="G191" s="2199"/>
      <c r="H191" s="1501">
        <f t="shared" si="3"/>
        <v>0</v>
      </c>
    </row>
    <row r="192" spans="1:8">
      <c r="A192" s="1791"/>
      <c r="B192" s="1610"/>
      <c r="C192" s="1616"/>
      <c r="D192" s="863"/>
      <c r="E192" s="1612"/>
      <c r="F192" s="1613" t="s">
        <v>2518</v>
      </c>
      <c r="G192" s="2199"/>
      <c r="H192" s="1501" t="str">
        <f t="shared" si="3"/>
        <v/>
      </c>
    </row>
    <row r="193" spans="1:8" ht="15.6">
      <c r="A193" s="1791">
        <f>$A$4</f>
        <v>20</v>
      </c>
      <c r="B193" s="1610">
        <v>1.79</v>
      </c>
      <c r="C193" s="2869" t="s">
        <v>2515</v>
      </c>
      <c r="D193" s="863" t="s">
        <v>2519</v>
      </c>
      <c r="E193" s="1612" t="s">
        <v>561</v>
      </c>
      <c r="F193" s="1613">
        <v>4386</v>
      </c>
      <c r="G193" s="2199"/>
      <c r="H193" s="1501">
        <f t="shared" si="3"/>
        <v>0</v>
      </c>
    </row>
    <row r="194" spans="1:8">
      <c r="A194" s="1791"/>
      <c r="B194" s="1610"/>
      <c r="C194" s="1616"/>
      <c r="D194" s="863"/>
      <c r="E194" s="1612"/>
      <c r="F194" s="1613"/>
      <c r="G194" s="2199"/>
      <c r="H194" s="1501" t="str">
        <f t="shared" si="3"/>
        <v/>
      </c>
    </row>
    <row r="195" spans="1:8" ht="15.6">
      <c r="A195" s="1791">
        <f>$A$4</f>
        <v>20</v>
      </c>
      <c r="B195" s="2862">
        <v>1.8</v>
      </c>
      <c r="C195" s="2869" t="s">
        <v>2515</v>
      </c>
      <c r="D195" s="863" t="s">
        <v>2520</v>
      </c>
      <c r="E195" s="1612" t="s">
        <v>561</v>
      </c>
      <c r="F195" s="1613">
        <v>227</v>
      </c>
      <c r="G195" s="2199"/>
      <c r="H195" s="1501">
        <f t="shared" si="3"/>
        <v>0</v>
      </c>
    </row>
    <row r="196" spans="1:8">
      <c r="A196" s="1791"/>
      <c r="B196" s="2850"/>
      <c r="C196" s="2869"/>
      <c r="D196" s="863"/>
      <c r="E196" s="1612"/>
      <c r="F196" s="1613"/>
      <c r="G196" s="2199"/>
      <c r="H196" s="1501" t="str">
        <f t="shared" si="3"/>
        <v/>
      </c>
    </row>
    <row r="197" spans="1:8" ht="15.6">
      <c r="A197" s="1791">
        <f>$A$4</f>
        <v>20</v>
      </c>
      <c r="B197" s="1610">
        <v>1.81</v>
      </c>
      <c r="C197" s="2869" t="s">
        <v>2515</v>
      </c>
      <c r="D197" s="863" t="s">
        <v>2521</v>
      </c>
      <c r="E197" s="1612" t="s">
        <v>561</v>
      </c>
      <c r="F197" s="1613">
        <v>1</v>
      </c>
      <c r="G197" s="2199"/>
      <c r="H197" s="1501">
        <f t="shared" si="3"/>
        <v>0</v>
      </c>
    </row>
    <row r="198" spans="1:8">
      <c r="A198" s="1791"/>
      <c r="B198" s="1610"/>
      <c r="C198" s="2877"/>
      <c r="D198" s="2165"/>
      <c r="E198" s="1550"/>
      <c r="F198" s="1613"/>
      <c r="G198" s="2199"/>
      <c r="H198" s="1501" t="str">
        <f t="shared" si="3"/>
        <v/>
      </c>
    </row>
    <row r="199" spans="1:8">
      <c r="A199" s="1791">
        <f>$A$4</f>
        <v>20</v>
      </c>
      <c r="B199" s="1610">
        <v>1.82</v>
      </c>
      <c r="C199" s="2869" t="s">
        <v>2515</v>
      </c>
      <c r="D199" s="1611" t="s">
        <v>2522</v>
      </c>
      <c r="E199" s="1612" t="s">
        <v>561</v>
      </c>
      <c r="F199" s="1613">
        <v>15</v>
      </c>
      <c r="G199" s="2199"/>
      <c r="H199" s="1501">
        <f t="shared" si="3"/>
        <v>0</v>
      </c>
    </row>
    <row r="200" spans="1:8">
      <c r="A200" s="1791"/>
      <c r="B200" s="2892"/>
      <c r="C200" s="1610"/>
      <c r="D200" s="857"/>
      <c r="E200" s="1783"/>
      <c r="F200" s="2860"/>
      <c r="G200" s="2199"/>
      <c r="H200" s="1501" t="str">
        <f t="shared" si="3"/>
        <v/>
      </c>
    </row>
    <row r="201" spans="1:8">
      <c r="A201" s="1791"/>
      <c r="B201" s="2887" t="s">
        <v>586</v>
      </c>
      <c r="C201" s="2869"/>
      <c r="D201" s="2879" t="s">
        <v>1121</v>
      </c>
      <c r="E201" s="2889"/>
      <c r="F201" s="1622"/>
      <c r="G201" s="2199"/>
      <c r="H201" s="1501" t="str">
        <f t="shared" si="3"/>
        <v/>
      </c>
    </row>
    <row r="202" spans="1:8">
      <c r="A202" s="1791"/>
      <c r="B202" s="2887"/>
      <c r="C202" s="2869"/>
      <c r="D202" s="2879"/>
      <c r="E202" s="2889"/>
      <c r="F202" s="1622"/>
      <c r="G202" s="2199"/>
      <c r="H202" s="1501" t="str">
        <f t="shared" si="3"/>
        <v/>
      </c>
    </row>
    <row r="203" spans="1:8">
      <c r="A203" s="1791"/>
      <c r="B203" s="2869"/>
      <c r="C203" s="2869"/>
      <c r="D203" s="2898" t="s">
        <v>2530</v>
      </c>
      <c r="E203" s="2889"/>
      <c r="F203" s="1622"/>
      <c r="G203" s="2199"/>
      <c r="H203" s="1501" t="str">
        <f t="shared" si="3"/>
        <v/>
      </c>
    </row>
    <row r="204" spans="1:8">
      <c r="A204" s="1791"/>
      <c r="B204" s="2869"/>
      <c r="C204" s="2869"/>
      <c r="D204" s="2899"/>
      <c r="E204" s="2889"/>
      <c r="F204" s="1622"/>
      <c r="G204" s="2199"/>
      <c r="H204" s="1501" t="str">
        <f t="shared" si="3"/>
        <v/>
      </c>
    </row>
    <row r="205" spans="1:8" ht="13.8">
      <c r="A205" s="1791">
        <f>$A$4</f>
        <v>20</v>
      </c>
      <c r="B205" s="1610">
        <v>1.83</v>
      </c>
      <c r="C205" s="2869" t="s">
        <v>2515</v>
      </c>
      <c r="D205" s="1611" t="s">
        <v>1124</v>
      </c>
      <c r="E205" s="2889" t="s">
        <v>2485</v>
      </c>
      <c r="F205" s="1622">
        <v>14</v>
      </c>
      <c r="G205" s="2900"/>
      <c r="H205" s="1501">
        <f t="shared" si="3"/>
        <v>0</v>
      </c>
    </row>
    <row r="206" spans="1:8">
      <c r="A206" s="1791"/>
      <c r="B206" s="2869"/>
      <c r="C206" s="2869"/>
      <c r="D206" s="2899"/>
      <c r="E206" s="2889"/>
      <c r="F206" s="1622"/>
      <c r="G206" s="2199"/>
      <c r="H206" s="1501" t="str">
        <f t="shared" si="3"/>
        <v/>
      </c>
    </row>
    <row r="207" spans="1:8">
      <c r="A207" s="1791">
        <f>$A$4</f>
        <v>20</v>
      </c>
      <c r="B207" s="1610">
        <v>1.84</v>
      </c>
      <c r="C207" s="2869" t="s">
        <v>2515</v>
      </c>
      <c r="D207" s="1611" t="s">
        <v>1126</v>
      </c>
      <c r="E207" s="1617" t="s">
        <v>2485</v>
      </c>
      <c r="F207" s="2901">
        <v>46</v>
      </c>
      <c r="G207" s="2199"/>
      <c r="H207" s="1501">
        <f t="shared" si="3"/>
        <v>0</v>
      </c>
    </row>
    <row r="208" spans="1:8">
      <c r="A208" s="1791"/>
      <c r="B208" s="2869"/>
      <c r="C208" s="2869"/>
      <c r="D208" s="2898"/>
      <c r="E208" s="2889"/>
      <c r="F208" s="1622"/>
      <c r="G208" s="2199"/>
      <c r="H208" s="1501" t="str">
        <f t="shared" si="3"/>
        <v/>
      </c>
    </row>
    <row r="209" spans="1:8">
      <c r="A209" s="1791">
        <f>$A$4</f>
        <v>20</v>
      </c>
      <c r="B209" s="1610">
        <v>1.85</v>
      </c>
      <c r="C209" s="2869" t="s">
        <v>2515</v>
      </c>
      <c r="D209" s="1611" t="s">
        <v>2516</v>
      </c>
      <c r="E209" s="1617" t="s">
        <v>2485</v>
      </c>
      <c r="F209" s="2901">
        <v>1</v>
      </c>
      <c r="G209" s="2199"/>
      <c r="H209" s="1501">
        <f t="shared" si="3"/>
        <v>0</v>
      </c>
    </row>
    <row r="210" spans="1:8">
      <c r="A210" s="1791"/>
      <c r="B210" s="2869"/>
      <c r="C210" s="2869"/>
      <c r="D210" s="2898"/>
      <c r="E210" s="2889"/>
      <c r="F210" s="1622"/>
      <c r="G210" s="2199"/>
      <c r="H210" s="1501" t="str">
        <f t="shared" si="3"/>
        <v/>
      </c>
    </row>
    <row r="211" spans="1:8">
      <c r="A211" s="1791">
        <f>$A$4</f>
        <v>20</v>
      </c>
      <c r="B211" s="1610">
        <v>1.86</v>
      </c>
      <c r="C211" s="2869" t="s">
        <v>2515</v>
      </c>
      <c r="D211" s="1611" t="s">
        <v>1128</v>
      </c>
      <c r="E211" s="1617" t="s">
        <v>2485</v>
      </c>
      <c r="F211" s="1622">
        <v>37</v>
      </c>
      <c r="G211" s="2199"/>
      <c r="H211" s="1501">
        <f t="shared" si="3"/>
        <v>0</v>
      </c>
    </row>
    <row r="212" spans="1:8">
      <c r="A212" s="1791"/>
      <c r="B212" s="2869"/>
      <c r="C212" s="2869"/>
      <c r="D212" s="2898"/>
      <c r="E212" s="2889"/>
      <c r="F212" s="1622"/>
      <c r="G212" s="2199"/>
      <c r="H212" s="1501" t="str">
        <f t="shared" si="3"/>
        <v/>
      </c>
    </row>
    <row r="213" spans="1:8">
      <c r="A213" s="1791">
        <f>$A$4</f>
        <v>20</v>
      </c>
      <c r="B213" s="1610">
        <v>1.87</v>
      </c>
      <c r="C213" s="2869" t="s">
        <v>2515</v>
      </c>
      <c r="D213" s="1611" t="s">
        <v>2517</v>
      </c>
      <c r="E213" s="1617" t="s">
        <v>2485</v>
      </c>
      <c r="F213" s="1622">
        <v>29</v>
      </c>
      <c r="G213" s="2199"/>
      <c r="H213" s="1501">
        <f t="shared" si="3"/>
        <v>0</v>
      </c>
    </row>
    <row r="214" spans="1:8">
      <c r="A214" s="1791"/>
      <c r="B214" s="2869"/>
      <c r="C214" s="1612"/>
      <c r="D214" s="2899"/>
      <c r="E214" s="2889"/>
      <c r="F214" s="1622"/>
      <c r="G214" s="2199"/>
      <c r="H214" s="1501" t="str">
        <f t="shared" si="3"/>
        <v/>
      </c>
    </row>
    <row r="215" spans="1:8">
      <c r="A215" s="1791">
        <f>$A$4</f>
        <v>20</v>
      </c>
      <c r="B215" s="1610">
        <v>1.88</v>
      </c>
      <c r="C215" s="2869" t="s">
        <v>2515</v>
      </c>
      <c r="D215" s="1611" t="s">
        <v>1130</v>
      </c>
      <c r="E215" s="1617" t="s">
        <v>2485</v>
      </c>
      <c r="F215" s="1622">
        <v>16</v>
      </c>
      <c r="G215" s="2199"/>
      <c r="H215" s="1501">
        <f t="shared" ref="H215:H219" si="4">IF(E215="","",ROUND(F215*G215,2))</f>
        <v>0</v>
      </c>
    </row>
    <row r="216" spans="1:8">
      <c r="A216" s="1791"/>
      <c r="B216" s="1610"/>
      <c r="C216" s="2869"/>
      <c r="D216" s="1611"/>
      <c r="E216" s="1617"/>
      <c r="F216" s="1622"/>
      <c r="G216" s="2199"/>
      <c r="H216" s="1501" t="str">
        <f t="shared" si="4"/>
        <v/>
      </c>
    </row>
    <row r="217" spans="1:8" ht="15.6">
      <c r="A217" s="1791">
        <f>$A$4</f>
        <v>20</v>
      </c>
      <c r="B217" s="1610">
        <v>1.89</v>
      </c>
      <c r="C217" s="2869" t="s">
        <v>2515</v>
      </c>
      <c r="D217" s="1611" t="s">
        <v>2519</v>
      </c>
      <c r="E217" s="1617" t="s">
        <v>2485</v>
      </c>
      <c r="F217" s="1622">
        <v>16</v>
      </c>
      <c r="G217" s="2199"/>
      <c r="H217" s="1501">
        <f t="shared" si="4"/>
        <v>0</v>
      </c>
    </row>
    <row r="218" spans="1:8">
      <c r="A218" s="1791"/>
      <c r="B218" s="1610"/>
      <c r="C218" s="2869"/>
      <c r="D218" s="1611"/>
      <c r="E218" s="1617"/>
      <c r="F218" s="1622"/>
      <c r="G218" s="2199"/>
      <c r="H218" s="1501" t="str">
        <f t="shared" si="4"/>
        <v/>
      </c>
    </row>
    <row r="219" spans="1:8" ht="15.6">
      <c r="A219" s="1791">
        <f>$A$4</f>
        <v>20</v>
      </c>
      <c r="B219" s="2862">
        <v>1.9</v>
      </c>
      <c r="C219" s="2869" t="s">
        <v>2515</v>
      </c>
      <c r="D219" s="1611" t="s">
        <v>2520</v>
      </c>
      <c r="E219" s="1617" t="s">
        <v>2485</v>
      </c>
      <c r="F219" s="1622">
        <v>2</v>
      </c>
      <c r="G219" s="2199"/>
      <c r="H219" s="1501">
        <f t="shared" si="4"/>
        <v>0</v>
      </c>
    </row>
    <row r="220" spans="1:8">
      <c r="A220" s="1791"/>
      <c r="B220" s="2850"/>
      <c r="C220" s="2869"/>
      <c r="D220" s="1611"/>
      <c r="E220" s="1612"/>
      <c r="F220" s="1613"/>
      <c r="G220" s="2199"/>
      <c r="H220" s="1614"/>
    </row>
    <row r="221" spans="1:8">
      <c r="A221" s="2871"/>
      <c r="B221" s="850"/>
      <c r="C221" s="861"/>
      <c r="D221" s="862"/>
      <c r="E221" s="800"/>
      <c r="F221" s="800"/>
      <c r="G221" s="1485"/>
      <c r="H221" s="2872"/>
    </row>
    <row r="222" spans="1:8">
      <c r="A222" s="2873"/>
      <c r="B222" s="851"/>
      <c r="C222" s="419"/>
      <c r="D222" s="413" t="s">
        <v>289</v>
      </c>
      <c r="E222" s="425"/>
      <c r="F222" s="425"/>
      <c r="G222" s="1486"/>
      <c r="H222" s="2874">
        <f>SUM(H149:H220)</f>
        <v>0</v>
      </c>
    </row>
    <row r="223" spans="1:8">
      <c r="A223" s="1791"/>
      <c r="B223" s="1783"/>
      <c r="C223" s="2869"/>
      <c r="D223" s="1552" t="s">
        <v>290</v>
      </c>
      <c r="E223" s="2196"/>
      <c r="F223" s="1550"/>
      <c r="G223" s="2199"/>
      <c r="H223" s="1614">
        <f>H222</f>
        <v>0</v>
      </c>
    </row>
    <row r="224" spans="1:8">
      <c r="A224" s="1791"/>
      <c r="B224" s="2869"/>
      <c r="C224" s="1612"/>
      <c r="D224" s="1611"/>
      <c r="E224" s="1617"/>
      <c r="F224" s="1622"/>
      <c r="G224" s="2199"/>
      <c r="H224" s="1614"/>
    </row>
    <row r="225" spans="1:8" ht="15.6">
      <c r="A225" s="1791">
        <f>$A$4</f>
        <v>20</v>
      </c>
      <c r="B225" s="1610">
        <v>1.91</v>
      </c>
      <c r="C225" s="2869" t="s">
        <v>2515</v>
      </c>
      <c r="D225" s="1611" t="s">
        <v>2521</v>
      </c>
      <c r="E225" s="1617" t="s">
        <v>2485</v>
      </c>
      <c r="F225" s="2901">
        <v>1</v>
      </c>
      <c r="G225" s="2199"/>
      <c r="H225" s="1501">
        <f t="shared" ref="H225:H288" si="5">IF(E225="","",ROUND(F225*G225,2))</f>
        <v>0</v>
      </c>
    </row>
    <row r="226" spans="1:8">
      <c r="A226" s="1791"/>
      <c r="B226" s="2869"/>
      <c r="C226" s="2902"/>
      <c r="D226" s="1611"/>
      <c r="E226" s="1617"/>
      <c r="F226" s="2903"/>
      <c r="G226" s="2199"/>
      <c r="H226" s="1501" t="str">
        <f t="shared" si="5"/>
        <v/>
      </c>
    </row>
    <row r="227" spans="1:8">
      <c r="A227" s="1791">
        <f>$A$4</f>
        <v>20</v>
      </c>
      <c r="B227" s="1610">
        <v>1.92</v>
      </c>
      <c r="C227" s="2869" t="s">
        <v>2515</v>
      </c>
      <c r="D227" s="1611" t="s">
        <v>2522</v>
      </c>
      <c r="E227" s="1617" t="s">
        <v>2485</v>
      </c>
      <c r="F227" s="2901">
        <v>1</v>
      </c>
      <c r="G227" s="2199"/>
      <c r="H227" s="1501">
        <f t="shared" si="5"/>
        <v>0</v>
      </c>
    </row>
    <row r="228" spans="1:8">
      <c r="A228" s="1791"/>
      <c r="B228" s="2850"/>
      <c r="C228" s="2869"/>
      <c r="D228" s="1611"/>
      <c r="E228" s="1617"/>
      <c r="F228" s="2901"/>
      <c r="G228" s="2199"/>
      <c r="H228" s="1501" t="str">
        <f t="shared" si="5"/>
        <v/>
      </c>
    </row>
    <row r="229" spans="1:8">
      <c r="A229" s="1791"/>
      <c r="B229" s="2902" t="s">
        <v>597</v>
      </c>
      <c r="C229" s="2904"/>
      <c r="D229" s="2879" t="s">
        <v>1139</v>
      </c>
      <c r="E229" s="2905"/>
      <c r="F229" s="2906"/>
      <c r="G229" s="2199"/>
      <c r="H229" s="1501" t="str">
        <f t="shared" si="5"/>
        <v/>
      </c>
    </row>
    <row r="230" spans="1:8">
      <c r="A230" s="1791"/>
      <c r="B230" s="2902"/>
      <c r="C230" s="2904"/>
      <c r="D230" s="2879"/>
      <c r="E230" s="2905"/>
      <c r="F230" s="2906"/>
      <c r="G230" s="2199"/>
      <c r="H230" s="1501" t="str">
        <f t="shared" si="5"/>
        <v/>
      </c>
    </row>
    <row r="231" spans="1:8">
      <c r="A231" s="1791"/>
      <c r="B231" s="2904"/>
      <c r="C231" s="2904"/>
      <c r="D231" s="2907" t="s">
        <v>2531</v>
      </c>
      <c r="E231" s="2905"/>
      <c r="F231" s="2906"/>
      <c r="G231" s="2199"/>
      <c r="H231" s="1501" t="str">
        <f t="shared" si="5"/>
        <v/>
      </c>
    </row>
    <row r="232" spans="1:8">
      <c r="A232" s="1791"/>
      <c r="B232" s="2904"/>
      <c r="C232" s="2904"/>
      <c r="D232" s="2908"/>
      <c r="E232" s="2905"/>
      <c r="F232" s="2906"/>
      <c r="G232" s="2199"/>
      <c r="H232" s="1501" t="str">
        <f t="shared" si="5"/>
        <v/>
      </c>
    </row>
    <row r="233" spans="1:8">
      <c r="A233" s="1791">
        <f>$A$4</f>
        <v>20</v>
      </c>
      <c r="B233" s="1610">
        <v>1.93</v>
      </c>
      <c r="C233" s="2869" t="s">
        <v>2515</v>
      </c>
      <c r="D233" s="2035" t="s">
        <v>1142</v>
      </c>
      <c r="E233" s="2884" t="s">
        <v>561</v>
      </c>
      <c r="F233" s="2885">
        <v>1</v>
      </c>
      <c r="G233" s="2199"/>
      <c r="H233" s="1501">
        <f t="shared" si="5"/>
        <v>0</v>
      </c>
    </row>
    <row r="234" spans="1:8">
      <c r="A234" s="1791"/>
      <c r="B234" s="2904"/>
      <c r="C234" s="1620"/>
      <c r="D234" s="2035"/>
      <c r="E234" s="2884"/>
      <c r="F234" s="2885"/>
      <c r="G234" s="2199"/>
      <c r="H234" s="1501" t="str">
        <f t="shared" si="5"/>
        <v/>
      </c>
    </row>
    <row r="235" spans="1:8">
      <c r="A235" s="1791">
        <f>$A$4</f>
        <v>20</v>
      </c>
      <c r="B235" s="1610">
        <v>1.94</v>
      </c>
      <c r="C235" s="2869" t="s">
        <v>2515</v>
      </c>
      <c r="D235" s="2035" t="s">
        <v>1144</v>
      </c>
      <c r="E235" s="2884" t="s">
        <v>561</v>
      </c>
      <c r="F235" s="2885">
        <v>1</v>
      </c>
      <c r="G235" s="2199"/>
      <c r="H235" s="1501">
        <f t="shared" si="5"/>
        <v>0</v>
      </c>
    </row>
    <row r="236" spans="1:8">
      <c r="A236" s="1791"/>
      <c r="B236" s="2904"/>
      <c r="C236" s="1620"/>
      <c r="D236" s="2035"/>
      <c r="E236" s="2884"/>
      <c r="F236" s="2885"/>
      <c r="G236" s="2199"/>
      <c r="H236" s="1501" t="str">
        <f t="shared" si="5"/>
        <v/>
      </c>
    </row>
    <row r="237" spans="1:8">
      <c r="A237" s="1791">
        <f>$A$4</f>
        <v>20</v>
      </c>
      <c r="B237" s="1610">
        <v>1.95</v>
      </c>
      <c r="C237" s="2869" t="s">
        <v>2515</v>
      </c>
      <c r="D237" s="2035" t="s">
        <v>1146</v>
      </c>
      <c r="E237" s="2884" t="s">
        <v>561</v>
      </c>
      <c r="F237" s="2885">
        <v>1</v>
      </c>
      <c r="G237" s="2199"/>
      <c r="H237" s="1501">
        <f t="shared" si="5"/>
        <v>0</v>
      </c>
    </row>
    <row r="238" spans="1:8">
      <c r="A238" s="1791"/>
      <c r="B238" s="2904"/>
      <c r="C238" s="2877"/>
      <c r="D238" s="2035"/>
      <c r="E238" s="2884"/>
      <c r="F238" s="2885"/>
      <c r="G238" s="2199"/>
      <c r="H238" s="1501" t="str">
        <f t="shared" si="5"/>
        <v/>
      </c>
    </row>
    <row r="239" spans="1:8">
      <c r="A239" s="1791">
        <f>$A$4</f>
        <v>20</v>
      </c>
      <c r="B239" s="1610">
        <v>1.96</v>
      </c>
      <c r="C239" s="2869" t="s">
        <v>2515</v>
      </c>
      <c r="D239" s="2886" t="s">
        <v>1148</v>
      </c>
      <c r="E239" s="1550" t="s">
        <v>561</v>
      </c>
      <c r="F239" s="2885">
        <v>60</v>
      </c>
      <c r="G239" s="2199"/>
      <c r="H239" s="1501">
        <f t="shared" si="5"/>
        <v>0</v>
      </c>
    </row>
    <row r="240" spans="1:8">
      <c r="A240" s="1791"/>
      <c r="B240" s="2904"/>
      <c r="C240" s="1620"/>
      <c r="D240" s="2886"/>
      <c r="E240" s="1550"/>
      <c r="F240" s="2885"/>
      <c r="G240" s="2199"/>
      <c r="H240" s="1501" t="str">
        <f t="shared" si="5"/>
        <v/>
      </c>
    </row>
    <row r="241" spans="1:8">
      <c r="A241" s="1791">
        <f>$A$4</f>
        <v>20</v>
      </c>
      <c r="B241" s="1610">
        <v>1.97</v>
      </c>
      <c r="C241" s="2869" t="s">
        <v>2515</v>
      </c>
      <c r="D241" s="2886" t="s">
        <v>1150</v>
      </c>
      <c r="E241" s="2884" t="s">
        <v>561</v>
      </c>
      <c r="F241" s="2885">
        <v>50</v>
      </c>
      <c r="G241" s="2199"/>
      <c r="H241" s="1501">
        <f t="shared" si="5"/>
        <v>0</v>
      </c>
    </row>
    <row r="242" spans="1:8">
      <c r="A242" s="1791"/>
      <c r="B242" s="2904"/>
      <c r="C242" s="2877"/>
      <c r="D242" s="2886"/>
      <c r="E242" s="2884"/>
      <c r="F242" s="2885"/>
      <c r="G242" s="2199"/>
      <c r="H242" s="1501" t="str">
        <f t="shared" si="5"/>
        <v/>
      </c>
    </row>
    <row r="243" spans="1:8">
      <c r="A243" s="1791">
        <f>$A$4</f>
        <v>20</v>
      </c>
      <c r="B243" s="1610">
        <v>1.98</v>
      </c>
      <c r="C243" s="2869" t="s">
        <v>2515</v>
      </c>
      <c r="D243" s="2035" t="s">
        <v>1152</v>
      </c>
      <c r="E243" s="2884" t="s">
        <v>2485</v>
      </c>
      <c r="F243" s="2885">
        <v>1</v>
      </c>
      <c r="G243" s="2199"/>
      <c r="H243" s="1501">
        <f t="shared" si="5"/>
        <v>0</v>
      </c>
    </row>
    <row r="244" spans="1:8">
      <c r="A244" s="1791"/>
      <c r="B244" s="2904"/>
      <c r="C244" s="1620"/>
      <c r="D244" s="2035"/>
      <c r="E244" s="2884"/>
      <c r="F244" s="2885"/>
      <c r="G244" s="2199"/>
      <c r="H244" s="1501" t="str">
        <f t="shared" si="5"/>
        <v/>
      </c>
    </row>
    <row r="245" spans="1:8">
      <c r="A245" s="1791">
        <f>$A$4</f>
        <v>20</v>
      </c>
      <c r="B245" s="1610">
        <v>1.99</v>
      </c>
      <c r="C245" s="2869" t="s">
        <v>2515</v>
      </c>
      <c r="D245" s="2035" t="s">
        <v>1155</v>
      </c>
      <c r="E245" s="2884" t="s">
        <v>2485</v>
      </c>
      <c r="F245" s="2885">
        <v>1</v>
      </c>
      <c r="G245" s="2199"/>
      <c r="H245" s="1501">
        <f t="shared" si="5"/>
        <v>0</v>
      </c>
    </row>
    <row r="246" spans="1:8">
      <c r="A246" s="1791"/>
      <c r="B246" s="2904"/>
      <c r="C246" s="1620"/>
      <c r="D246" s="2035"/>
      <c r="E246" s="2884"/>
      <c r="F246" s="2885"/>
      <c r="G246" s="2199"/>
      <c r="H246" s="1501" t="str">
        <f t="shared" si="5"/>
        <v/>
      </c>
    </row>
    <row r="247" spans="1:8">
      <c r="A247" s="1791">
        <f>$A$4</f>
        <v>20</v>
      </c>
      <c r="B247" s="1610">
        <v>1.1000000000000001</v>
      </c>
      <c r="C247" s="2869" t="s">
        <v>2515</v>
      </c>
      <c r="D247" s="2035" t="s">
        <v>1157</v>
      </c>
      <c r="E247" s="2884" t="s">
        <v>2485</v>
      </c>
      <c r="F247" s="2885">
        <v>1</v>
      </c>
      <c r="G247" s="2199"/>
      <c r="H247" s="1501">
        <f t="shared" si="5"/>
        <v>0</v>
      </c>
    </row>
    <row r="248" spans="1:8">
      <c r="A248" s="1791"/>
      <c r="B248" s="2850"/>
      <c r="C248" s="2869"/>
      <c r="D248" s="1611"/>
      <c r="E248" s="1617"/>
      <c r="F248" s="2901"/>
      <c r="G248" s="2199"/>
      <c r="H248" s="1501" t="str">
        <f t="shared" si="5"/>
        <v/>
      </c>
    </row>
    <row r="249" spans="1:8">
      <c r="A249" s="1791">
        <f>$A$4</f>
        <v>20</v>
      </c>
      <c r="B249" s="1610">
        <v>1.101</v>
      </c>
      <c r="C249" s="2869" t="s">
        <v>2515</v>
      </c>
      <c r="D249" s="2035" t="s">
        <v>1159</v>
      </c>
      <c r="E249" s="2884" t="s">
        <v>2485</v>
      </c>
      <c r="F249" s="2885">
        <v>1</v>
      </c>
      <c r="G249" s="2199"/>
      <c r="H249" s="1501">
        <f t="shared" si="5"/>
        <v>0</v>
      </c>
    </row>
    <row r="250" spans="1:8">
      <c r="A250" s="1791"/>
      <c r="B250" s="2904"/>
      <c r="C250" s="1612"/>
      <c r="D250" s="2035"/>
      <c r="E250" s="2884"/>
      <c r="F250" s="2885"/>
      <c r="G250" s="2199"/>
      <c r="H250" s="1501" t="str">
        <f t="shared" si="5"/>
        <v/>
      </c>
    </row>
    <row r="251" spans="1:8">
      <c r="A251" s="1791">
        <f>$A$4</f>
        <v>20</v>
      </c>
      <c r="B251" s="1610">
        <v>1.1020000000000001</v>
      </c>
      <c r="C251" s="2869" t="s">
        <v>2515</v>
      </c>
      <c r="D251" s="2035" t="s">
        <v>1161</v>
      </c>
      <c r="E251" s="2884" t="s">
        <v>2485</v>
      </c>
      <c r="F251" s="2885">
        <v>1</v>
      </c>
      <c r="G251" s="2199"/>
      <c r="H251" s="1501">
        <f t="shared" si="5"/>
        <v>0</v>
      </c>
    </row>
    <row r="252" spans="1:8">
      <c r="A252" s="1791"/>
      <c r="B252" s="2904"/>
      <c r="C252" s="1620"/>
      <c r="D252" s="2035"/>
      <c r="E252" s="2884"/>
      <c r="F252" s="2885"/>
      <c r="G252" s="2199"/>
      <c r="H252" s="1501" t="str">
        <f t="shared" si="5"/>
        <v/>
      </c>
    </row>
    <row r="253" spans="1:8">
      <c r="A253" s="1791">
        <f>$A$4</f>
        <v>20</v>
      </c>
      <c r="B253" s="1610">
        <v>1.103</v>
      </c>
      <c r="C253" s="2869" t="s">
        <v>2515</v>
      </c>
      <c r="D253" s="2035" t="s">
        <v>1163</v>
      </c>
      <c r="E253" s="2884" t="s">
        <v>2485</v>
      </c>
      <c r="F253" s="2885">
        <v>1</v>
      </c>
      <c r="G253" s="2199"/>
      <c r="H253" s="1501">
        <f t="shared" si="5"/>
        <v>0</v>
      </c>
    </row>
    <row r="254" spans="1:8">
      <c r="A254" s="1791"/>
      <c r="B254" s="2904"/>
      <c r="C254" s="1612"/>
      <c r="D254" s="2035"/>
      <c r="E254" s="2884"/>
      <c r="F254" s="2885"/>
      <c r="G254" s="2199"/>
      <c r="H254" s="1501" t="str">
        <f t="shared" si="5"/>
        <v/>
      </c>
    </row>
    <row r="255" spans="1:8">
      <c r="A255" s="1791">
        <f>$A$4</f>
        <v>20</v>
      </c>
      <c r="B255" s="1610">
        <v>1.1040000000000001</v>
      </c>
      <c r="C255" s="2869" t="s">
        <v>2515</v>
      </c>
      <c r="D255" s="2035" t="s">
        <v>1165</v>
      </c>
      <c r="E255" s="2884" t="s">
        <v>2485</v>
      </c>
      <c r="F255" s="2885">
        <v>1</v>
      </c>
      <c r="G255" s="2199"/>
      <c r="H255" s="1501">
        <f t="shared" si="5"/>
        <v>0</v>
      </c>
    </row>
    <row r="256" spans="1:8">
      <c r="A256" s="1791"/>
      <c r="B256" s="2850"/>
      <c r="C256" s="2869"/>
      <c r="D256" s="1611"/>
      <c r="E256" s="1617"/>
      <c r="F256" s="2901"/>
      <c r="G256" s="2199"/>
      <c r="H256" s="1501" t="str">
        <f t="shared" si="5"/>
        <v/>
      </c>
    </row>
    <row r="257" spans="1:8">
      <c r="A257" s="1791">
        <f>$A$4</f>
        <v>20</v>
      </c>
      <c r="B257" s="1610">
        <v>1.105</v>
      </c>
      <c r="C257" s="2869" t="s">
        <v>2515</v>
      </c>
      <c r="D257" s="2035" t="s">
        <v>1167</v>
      </c>
      <c r="E257" s="2884" t="s">
        <v>2485</v>
      </c>
      <c r="F257" s="2885">
        <v>1</v>
      </c>
      <c r="G257" s="2199"/>
      <c r="H257" s="1501">
        <f t="shared" si="5"/>
        <v>0</v>
      </c>
    </row>
    <row r="258" spans="1:8">
      <c r="A258" s="1791"/>
      <c r="B258" s="2850"/>
      <c r="C258" s="2869"/>
      <c r="D258" s="1611"/>
      <c r="E258" s="1617"/>
      <c r="F258" s="2901"/>
      <c r="G258" s="2199"/>
      <c r="H258" s="1501" t="str">
        <f t="shared" si="5"/>
        <v/>
      </c>
    </row>
    <row r="259" spans="1:8">
      <c r="A259" s="1791">
        <f>$A$4</f>
        <v>20</v>
      </c>
      <c r="B259" s="1610">
        <v>1.1060000000000001</v>
      </c>
      <c r="C259" s="2869" t="s">
        <v>2515</v>
      </c>
      <c r="D259" s="2035" t="s">
        <v>1169</v>
      </c>
      <c r="E259" s="2884" t="s">
        <v>2485</v>
      </c>
      <c r="F259" s="2885">
        <v>1</v>
      </c>
      <c r="G259" s="2199"/>
      <c r="H259" s="1501">
        <f t="shared" si="5"/>
        <v>0</v>
      </c>
    </row>
    <row r="260" spans="1:8">
      <c r="A260" s="1791"/>
      <c r="B260" s="2904"/>
      <c r="C260" s="1612"/>
      <c r="D260" s="2035"/>
      <c r="E260" s="2884"/>
      <c r="F260" s="2885"/>
      <c r="G260" s="2199"/>
      <c r="H260" s="1501" t="str">
        <f t="shared" si="5"/>
        <v/>
      </c>
    </row>
    <row r="261" spans="1:8">
      <c r="A261" s="1791">
        <f>$A$4</f>
        <v>20</v>
      </c>
      <c r="B261" s="1610">
        <v>1.107</v>
      </c>
      <c r="C261" s="2869" t="s">
        <v>2515</v>
      </c>
      <c r="D261" s="2035" t="s">
        <v>1171</v>
      </c>
      <c r="E261" s="2884" t="s">
        <v>2485</v>
      </c>
      <c r="F261" s="2885">
        <v>1</v>
      </c>
      <c r="G261" s="2199"/>
      <c r="H261" s="1501">
        <f t="shared" si="5"/>
        <v>0</v>
      </c>
    </row>
    <row r="262" spans="1:8">
      <c r="A262" s="1791"/>
      <c r="B262" s="2904"/>
      <c r="C262" s="1612"/>
      <c r="D262" s="1611"/>
      <c r="E262" s="1617"/>
      <c r="F262" s="2901"/>
      <c r="G262" s="2199"/>
      <c r="H262" s="1501" t="str">
        <f t="shared" si="5"/>
        <v/>
      </c>
    </row>
    <row r="263" spans="1:8">
      <c r="A263" s="1791"/>
      <c r="B263" s="2902" t="s">
        <v>1515</v>
      </c>
      <c r="C263" s="2909"/>
      <c r="D263" s="2910" t="s">
        <v>1235</v>
      </c>
      <c r="E263" s="1617"/>
      <c r="F263" s="2901"/>
      <c r="G263" s="2199"/>
      <c r="H263" s="1501" t="str">
        <f t="shared" si="5"/>
        <v/>
      </c>
    </row>
    <row r="264" spans="1:8">
      <c r="A264" s="1791"/>
      <c r="B264" s="2904"/>
      <c r="C264" s="2909"/>
      <c r="D264" s="2910"/>
      <c r="E264" s="1617"/>
      <c r="F264" s="2901"/>
      <c r="G264" s="2199"/>
      <c r="H264" s="1501" t="str">
        <f t="shared" si="5"/>
        <v/>
      </c>
    </row>
    <row r="265" spans="1:8" ht="26.4">
      <c r="A265" s="1791">
        <f>$A$4</f>
        <v>20</v>
      </c>
      <c r="B265" s="1610">
        <v>1.1080000000000001</v>
      </c>
      <c r="C265" s="1612" t="s">
        <v>2515</v>
      </c>
      <c r="D265" s="1626" t="s">
        <v>2532</v>
      </c>
      <c r="E265" s="1617" t="s">
        <v>561</v>
      </c>
      <c r="F265" s="1627">
        <v>145</v>
      </c>
      <c r="G265" s="2199"/>
      <c r="H265" s="1501">
        <f t="shared" si="5"/>
        <v>0</v>
      </c>
    </row>
    <row r="266" spans="1:8">
      <c r="A266" s="1791"/>
      <c r="B266" s="2904"/>
      <c r="C266" s="1612"/>
      <c r="D266" s="2035"/>
      <c r="E266" s="2911"/>
      <c r="F266" s="2885"/>
      <c r="G266" s="2199"/>
      <c r="H266" s="1501" t="str">
        <f t="shared" si="5"/>
        <v/>
      </c>
    </row>
    <row r="267" spans="1:8" s="32" customFormat="1">
      <c r="A267" s="1791">
        <f>$A$4</f>
        <v>20</v>
      </c>
      <c r="B267" s="1610">
        <v>1.109</v>
      </c>
      <c r="C267" s="1612" t="s">
        <v>2515</v>
      </c>
      <c r="D267" s="1771" t="s">
        <v>2533</v>
      </c>
      <c r="E267" s="2911" t="s">
        <v>561</v>
      </c>
      <c r="F267" s="2885">
        <v>50</v>
      </c>
      <c r="G267" s="2199"/>
      <c r="H267" s="1501">
        <f t="shared" si="5"/>
        <v>0</v>
      </c>
    </row>
    <row r="268" spans="1:8">
      <c r="A268" s="1791"/>
      <c r="B268" s="2904"/>
      <c r="C268" s="1612"/>
      <c r="D268" s="2035"/>
      <c r="E268" s="2911"/>
      <c r="F268" s="2885"/>
      <c r="G268" s="2199"/>
      <c r="H268" s="1501" t="str">
        <f t="shared" si="5"/>
        <v/>
      </c>
    </row>
    <row r="269" spans="1:8" ht="26.4">
      <c r="A269" s="1791">
        <f>$A$4</f>
        <v>20</v>
      </c>
      <c r="B269" s="1610">
        <v>1.1100000000000001</v>
      </c>
      <c r="C269" s="1612" t="s">
        <v>2515</v>
      </c>
      <c r="D269" s="1626" t="s">
        <v>2534</v>
      </c>
      <c r="E269" s="2911" t="s">
        <v>561</v>
      </c>
      <c r="F269" s="2885">
        <v>10</v>
      </c>
      <c r="G269" s="2199"/>
      <c r="H269" s="1501">
        <f t="shared" si="5"/>
        <v>0</v>
      </c>
    </row>
    <row r="270" spans="1:8">
      <c r="A270" s="1791"/>
      <c r="B270" s="2904"/>
      <c r="C270" s="1612"/>
      <c r="D270" s="2035"/>
      <c r="E270" s="2911"/>
      <c r="F270" s="2885"/>
      <c r="G270" s="2199"/>
      <c r="H270" s="1501" t="str">
        <f t="shared" si="5"/>
        <v/>
      </c>
    </row>
    <row r="271" spans="1:8" s="32" customFormat="1">
      <c r="A271" s="1791">
        <f>$A$4</f>
        <v>20</v>
      </c>
      <c r="B271" s="1610">
        <v>1.111</v>
      </c>
      <c r="C271" s="1612" t="s">
        <v>2535</v>
      </c>
      <c r="D271" s="2912" t="s">
        <v>2536</v>
      </c>
      <c r="E271" s="2913" t="s">
        <v>2485</v>
      </c>
      <c r="F271" s="1627">
        <v>7</v>
      </c>
      <c r="G271" s="2199"/>
      <c r="H271" s="1501">
        <f t="shared" si="5"/>
        <v>0</v>
      </c>
    </row>
    <row r="272" spans="1:8">
      <c r="A272" s="1791"/>
      <c r="B272" s="2904"/>
      <c r="C272" s="1612"/>
      <c r="D272" s="2914"/>
      <c r="E272" s="2915"/>
      <c r="F272" s="1627"/>
      <c r="G272" s="2199"/>
      <c r="H272" s="1501" t="str">
        <f t="shared" si="5"/>
        <v/>
      </c>
    </row>
    <row r="273" spans="1:8" s="32" customFormat="1">
      <c r="A273" s="1791">
        <f>$A$4</f>
        <v>20</v>
      </c>
      <c r="B273" s="1610">
        <v>1.1120000000000001</v>
      </c>
      <c r="C273" s="1612" t="s">
        <v>2535</v>
      </c>
      <c r="D273" s="1771" t="s">
        <v>2537</v>
      </c>
      <c r="E273" s="2911" t="s">
        <v>2485</v>
      </c>
      <c r="F273" s="1627">
        <v>7</v>
      </c>
      <c r="G273" s="2199"/>
      <c r="H273" s="1501">
        <f t="shared" si="5"/>
        <v>0</v>
      </c>
    </row>
    <row r="274" spans="1:8">
      <c r="A274" s="1791"/>
      <c r="B274" s="2916"/>
      <c r="C274" s="1612"/>
      <c r="D274" s="2035"/>
      <c r="E274" s="2911"/>
      <c r="F274" s="2885"/>
      <c r="G274" s="2199"/>
      <c r="H274" s="1501" t="str">
        <f t="shared" si="5"/>
        <v/>
      </c>
    </row>
    <row r="275" spans="1:8">
      <c r="A275" s="1791"/>
      <c r="B275" s="2902" t="s">
        <v>1516</v>
      </c>
      <c r="C275" s="2909"/>
      <c r="D275" s="2910" t="s">
        <v>2538</v>
      </c>
      <c r="E275" s="1617"/>
      <c r="F275" s="2901"/>
      <c r="G275" s="2199"/>
      <c r="H275" s="1501" t="str">
        <f t="shared" si="5"/>
        <v/>
      </c>
    </row>
    <row r="276" spans="1:8">
      <c r="A276" s="1791"/>
      <c r="B276" s="2904"/>
      <c r="C276" s="2909"/>
      <c r="D276" s="2910"/>
      <c r="E276" s="1617"/>
      <c r="F276" s="2901"/>
      <c r="G276" s="2199"/>
      <c r="H276" s="1501" t="str">
        <f t="shared" si="5"/>
        <v/>
      </c>
    </row>
    <row r="277" spans="1:8" s="32" customFormat="1">
      <c r="A277" s="1791">
        <f>$A$4</f>
        <v>20</v>
      </c>
      <c r="B277" s="1610">
        <v>1.113</v>
      </c>
      <c r="C277" s="1612">
        <v>1.3</v>
      </c>
      <c r="D277" s="2917" t="s">
        <v>2539</v>
      </c>
      <c r="E277" s="1617" t="s">
        <v>230</v>
      </c>
      <c r="F277" s="1627">
        <v>1</v>
      </c>
      <c r="G277" s="2199"/>
      <c r="H277" s="1501">
        <f t="shared" si="5"/>
        <v>0</v>
      </c>
    </row>
    <row r="278" spans="1:8" s="32" customFormat="1">
      <c r="A278" s="1791"/>
      <c r="B278" s="2904"/>
      <c r="C278" s="1612"/>
      <c r="D278" s="1771"/>
      <c r="E278" s="2911"/>
      <c r="F278" s="2885"/>
      <c r="G278" s="2199"/>
      <c r="H278" s="1501" t="str">
        <f t="shared" si="5"/>
        <v/>
      </c>
    </row>
    <row r="279" spans="1:8" s="32" customFormat="1">
      <c r="A279" s="1791">
        <f>$A$4</f>
        <v>20</v>
      </c>
      <c r="B279" s="1610">
        <v>1.1140000000000001</v>
      </c>
      <c r="C279" s="1612">
        <v>1.4</v>
      </c>
      <c r="D279" s="2917" t="s">
        <v>2540</v>
      </c>
      <c r="E279" s="1617" t="s">
        <v>230</v>
      </c>
      <c r="F279" s="1627">
        <v>1</v>
      </c>
      <c r="G279" s="2199"/>
      <c r="H279" s="1501">
        <f t="shared" si="5"/>
        <v>0</v>
      </c>
    </row>
    <row r="280" spans="1:8" s="32" customFormat="1">
      <c r="A280" s="1791"/>
      <c r="B280" s="2904"/>
      <c r="C280" s="865"/>
      <c r="D280" s="2917"/>
      <c r="E280" s="2918"/>
      <c r="F280" s="1627"/>
      <c r="G280" s="2199"/>
      <c r="H280" s="1501" t="str">
        <f t="shared" si="5"/>
        <v/>
      </c>
    </row>
    <row r="281" spans="1:8" s="32" customFormat="1">
      <c r="A281" s="1791">
        <f>$A$4</f>
        <v>20</v>
      </c>
      <c r="B281" s="1610">
        <v>1.115</v>
      </c>
      <c r="C281" s="865">
        <v>1.2</v>
      </c>
      <c r="D281" s="2917" t="s">
        <v>2541</v>
      </c>
      <c r="E281" s="1617" t="s">
        <v>230</v>
      </c>
      <c r="F281" s="1627">
        <v>1</v>
      </c>
      <c r="G281" s="2199"/>
      <c r="H281" s="1501">
        <f t="shared" si="5"/>
        <v>0</v>
      </c>
    </row>
    <row r="282" spans="1:8">
      <c r="A282" s="1791"/>
      <c r="B282" s="2904"/>
      <c r="C282" s="865"/>
      <c r="D282" s="1626"/>
      <c r="E282" s="2918"/>
      <c r="F282" s="1627"/>
      <c r="G282" s="2199"/>
      <c r="H282" s="1501" t="str">
        <f t="shared" si="5"/>
        <v/>
      </c>
    </row>
    <row r="283" spans="1:8" s="2" customFormat="1">
      <c r="A283" s="1763"/>
      <c r="B283" s="2919">
        <v>2</v>
      </c>
      <c r="C283" s="1623"/>
      <c r="D283" s="2847" t="s">
        <v>2542</v>
      </c>
      <c r="E283" s="1610"/>
      <c r="F283" s="2848"/>
      <c r="G283" s="2199"/>
      <c r="H283" s="1501" t="str">
        <f t="shared" si="5"/>
        <v/>
      </c>
    </row>
    <row r="284" spans="1:8" s="2" customFormat="1" ht="15" customHeight="1">
      <c r="A284" s="1763"/>
      <c r="B284" s="1618"/>
      <c r="C284" s="1623"/>
      <c r="D284" s="2920"/>
      <c r="E284" s="1610"/>
      <c r="F284" s="2848"/>
      <c r="G284" s="2199"/>
      <c r="H284" s="1501" t="str">
        <f t="shared" si="5"/>
        <v/>
      </c>
    </row>
    <row r="285" spans="1:8" s="2" customFormat="1" ht="15" customHeight="1">
      <c r="A285" s="1763"/>
      <c r="B285" s="2919" t="s">
        <v>543</v>
      </c>
      <c r="C285" s="1610"/>
      <c r="D285" s="866" t="s">
        <v>2543</v>
      </c>
      <c r="E285" s="1610"/>
      <c r="F285" s="1618"/>
      <c r="G285" s="2199"/>
      <c r="H285" s="1501" t="str">
        <f t="shared" si="5"/>
        <v/>
      </c>
    </row>
    <row r="286" spans="1:8" s="2" customFormat="1">
      <c r="A286" s="1763"/>
      <c r="B286" s="2921"/>
      <c r="C286" s="1610"/>
      <c r="D286" s="857"/>
      <c r="E286" s="1610"/>
      <c r="F286" s="2855"/>
      <c r="G286" s="2199"/>
      <c r="H286" s="1501" t="str">
        <f t="shared" si="5"/>
        <v/>
      </c>
    </row>
    <row r="287" spans="1:8" s="2" customFormat="1">
      <c r="A287" s="1791">
        <f>$A$4</f>
        <v>20</v>
      </c>
      <c r="B287" s="2922">
        <v>2.1</v>
      </c>
      <c r="C287" s="1610" t="s">
        <v>2490</v>
      </c>
      <c r="D287" s="857" t="s">
        <v>2496</v>
      </c>
      <c r="E287" s="1783"/>
      <c r="F287" s="2860"/>
      <c r="G287" s="2858"/>
      <c r="H287" s="1501" t="str">
        <f t="shared" si="5"/>
        <v/>
      </c>
    </row>
    <row r="288" spans="1:8" s="2" customFormat="1">
      <c r="A288" s="1791"/>
      <c r="B288" s="2921"/>
      <c r="C288" s="1610"/>
      <c r="D288" s="857"/>
      <c r="E288" s="1610"/>
      <c r="F288" s="1618"/>
      <c r="G288" s="2858"/>
      <c r="H288" s="1501" t="str">
        <f t="shared" si="5"/>
        <v/>
      </c>
    </row>
    <row r="289" spans="1:8" s="2" customFormat="1">
      <c r="A289" s="1791">
        <f>$A$4</f>
        <v>20</v>
      </c>
      <c r="B289" s="2922">
        <v>2.2000000000000002</v>
      </c>
      <c r="C289" s="1610" t="s">
        <v>2490</v>
      </c>
      <c r="D289" s="856" t="s">
        <v>2495</v>
      </c>
      <c r="E289" s="1783"/>
      <c r="F289" s="2860"/>
      <c r="G289" s="2858"/>
      <c r="H289" s="1501" t="str">
        <f t="shared" ref="H289:H298" si="6">IF(E289="","",ROUND(F289*G289,2))</f>
        <v/>
      </c>
    </row>
    <row r="290" spans="1:8" s="2" customFormat="1">
      <c r="A290" s="1791"/>
      <c r="B290" s="2921"/>
      <c r="C290" s="1610"/>
      <c r="D290" s="2859"/>
      <c r="E290" s="1610"/>
      <c r="F290" s="2923"/>
      <c r="G290" s="2199"/>
      <c r="H290" s="1501" t="str">
        <f t="shared" si="6"/>
        <v/>
      </c>
    </row>
    <row r="291" spans="1:8" s="2" customFormat="1" ht="26.4">
      <c r="A291" s="1791">
        <f>$A$4</f>
        <v>20</v>
      </c>
      <c r="B291" s="2922">
        <v>2.2999999999999998</v>
      </c>
      <c r="C291" s="1610" t="s">
        <v>2486</v>
      </c>
      <c r="D291" s="857" t="s">
        <v>2497</v>
      </c>
      <c r="E291" s="1610" t="s">
        <v>2485</v>
      </c>
      <c r="F291" s="2855">
        <v>1</v>
      </c>
      <c r="G291" s="2858"/>
      <c r="H291" s="1501">
        <f t="shared" si="6"/>
        <v>0</v>
      </c>
    </row>
    <row r="292" spans="1:8" s="2" customFormat="1">
      <c r="A292" s="1791"/>
      <c r="B292" s="2921"/>
      <c r="C292" s="1610"/>
      <c r="D292" s="857"/>
      <c r="E292" s="1610"/>
      <c r="F292" s="2855"/>
      <c r="G292" s="2858"/>
      <c r="H292" s="1501" t="str">
        <f t="shared" si="6"/>
        <v/>
      </c>
    </row>
    <row r="293" spans="1:8" s="2" customFormat="1">
      <c r="A293" s="1791">
        <f>$A$4</f>
        <v>20</v>
      </c>
      <c r="B293" s="2922">
        <v>2.4</v>
      </c>
      <c r="C293" s="1610" t="s">
        <v>2490</v>
      </c>
      <c r="D293" s="2859" t="s">
        <v>2491</v>
      </c>
      <c r="E293" s="1783"/>
      <c r="F293" s="2860"/>
      <c r="G293" s="2858"/>
      <c r="H293" s="1501" t="str">
        <f t="shared" si="6"/>
        <v/>
      </c>
    </row>
    <row r="294" spans="1:8">
      <c r="A294" s="1791"/>
      <c r="B294" s="2916"/>
      <c r="C294" s="1612"/>
      <c r="D294" s="2914"/>
      <c r="E294" s="2915"/>
      <c r="F294" s="1627"/>
      <c r="G294" s="2199"/>
      <c r="H294" s="1501" t="str">
        <f t="shared" si="6"/>
        <v/>
      </c>
    </row>
    <row r="295" spans="1:8" s="2" customFormat="1" ht="26.4">
      <c r="A295" s="1791">
        <f>$A$4</f>
        <v>20</v>
      </c>
      <c r="B295" s="2922">
        <v>2.5</v>
      </c>
      <c r="C295" s="1610" t="s">
        <v>2486</v>
      </c>
      <c r="D295" s="2859" t="s">
        <v>2544</v>
      </c>
      <c r="E295" s="1783" t="s">
        <v>2485</v>
      </c>
      <c r="F295" s="2860">
        <v>2</v>
      </c>
      <c r="G295" s="2858"/>
      <c r="H295" s="1501">
        <f t="shared" si="6"/>
        <v>0</v>
      </c>
    </row>
    <row r="296" spans="1:8" s="2" customFormat="1">
      <c r="A296" s="1791"/>
      <c r="B296" s="2921"/>
      <c r="C296" s="1610"/>
      <c r="D296" s="856"/>
      <c r="E296" s="1610"/>
      <c r="F296" s="2855"/>
      <c r="G296" s="2199"/>
      <c r="H296" s="1501" t="str">
        <f t="shared" si="6"/>
        <v/>
      </c>
    </row>
    <row r="297" spans="1:8" s="12" customFormat="1" ht="26.4">
      <c r="A297" s="1791">
        <f>$A$4</f>
        <v>20</v>
      </c>
      <c r="B297" s="2922">
        <v>2.6</v>
      </c>
      <c r="C297" s="1610" t="s">
        <v>2483</v>
      </c>
      <c r="D297" s="1648" t="s">
        <v>2493</v>
      </c>
      <c r="E297" s="2924" t="s">
        <v>2485</v>
      </c>
      <c r="F297" s="2855">
        <v>1</v>
      </c>
      <c r="G297" s="2199"/>
      <c r="H297" s="1501">
        <f t="shared" si="6"/>
        <v>0</v>
      </c>
    </row>
    <row r="298" spans="1:8" s="12" customFormat="1">
      <c r="A298" s="1791"/>
      <c r="B298" s="2922"/>
      <c r="C298" s="1610"/>
      <c r="D298" s="1615"/>
      <c r="E298" s="2924"/>
      <c r="F298" s="2855"/>
      <c r="G298" s="2199"/>
      <c r="H298" s="1501" t="str">
        <f t="shared" si="6"/>
        <v/>
      </c>
    </row>
    <row r="299" spans="1:8">
      <c r="A299" s="1791"/>
      <c r="B299" s="2850"/>
      <c r="C299" s="1612"/>
      <c r="D299" s="1626"/>
      <c r="E299" s="2911"/>
      <c r="F299" s="2885"/>
      <c r="G299" s="2199"/>
      <c r="H299" s="1614"/>
    </row>
    <row r="300" spans="1:8">
      <c r="A300" s="2871"/>
      <c r="B300" s="850"/>
      <c r="C300" s="861"/>
      <c r="D300" s="862"/>
      <c r="E300" s="800"/>
      <c r="F300" s="800"/>
      <c r="G300" s="1485"/>
      <c r="H300" s="2872"/>
    </row>
    <row r="301" spans="1:8">
      <c r="A301" s="2873"/>
      <c r="B301" s="851"/>
      <c r="C301" s="419"/>
      <c r="D301" s="413" t="s">
        <v>289</v>
      </c>
      <c r="E301" s="425"/>
      <c r="F301" s="425"/>
      <c r="G301" s="1486"/>
      <c r="H301" s="2874">
        <f>SUM(H223:H299)</f>
        <v>0</v>
      </c>
    </row>
    <row r="302" spans="1:8">
      <c r="A302" s="1791"/>
      <c r="B302" s="1783"/>
      <c r="C302" s="2869"/>
      <c r="D302" s="1552" t="s">
        <v>290</v>
      </c>
      <c r="E302" s="2196"/>
      <c r="F302" s="1550"/>
      <c r="G302" s="2199"/>
      <c r="H302" s="1614">
        <f>H301</f>
        <v>0</v>
      </c>
    </row>
    <row r="303" spans="1:8" s="2" customFormat="1">
      <c r="A303" s="1763"/>
      <c r="B303" s="2921"/>
      <c r="C303" s="1610"/>
      <c r="D303" s="857"/>
      <c r="E303" s="1610"/>
      <c r="F303" s="2855"/>
      <c r="G303" s="2199"/>
      <c r="H303" s="1614"/>
    </row>
    <row r="304" spans="1:8" s="2" customFormat="1" ht="26.4">
      <c r="A304" s="1791">
        <f>$A$4</f>
        <v>20</v>
      </c>
      <c r="B304" s="2922">
        <v>2.7</v>
      </c>
      <c r="C304" s="1610" t="s">
        <v>2486</v>
      </c>
      <c r="D304" s="2859" t="s">
        <v>2494</v>
      </c>
      <c r="E304" s="1610" t="s">
        <v>2485</v>
      </c>
      <c r="F304" s="2855">
        <v>1</v>
      </c>
      <c r="G304" s="2199"/>
      <c r="H304" s="1501">
        <f t="shared" ref="H304:H367" si="7">IF(E304="","",ROUND(F304*G304,2))</f>
        <v>0</v>
      </c>
    </row>
    <row r="305" spans="1:8" s="2" customFormat="1">
      <c r="A305" s="1791"/>
      <c r="B305" s="2921"/>
      <c r="C305" s="1610"/>
      <c r="D305" s="857"/>
      <c r="E305" s="1610"/>
      <c r="F305" s="2855"/>
      <c r="G305" s="2199"/>
      <c r="H305" s="1501" t="str">
        <f t="shared" si="7"/>
        <v/>
      </c>
    </row>
    <row r="306" spans="1:8" s="12" customFormat="1" ht="26.4">
      <c r="A306" s="1791">
        <f>$A$4</f>
        <v>20</v>
      </c>
      <c r="B306" s="2922">
        <v>2.8</v>
      </c>
      <c r="C306" s="1610" t="s">
        <v>2488</v>
      </c>
      <c r="D306" s="864" t="s">
        <v>1103</v>
      </c>
      <c r="E306" s="1610" t="s">
        <v>2485</v>
      </c>
      <c r="F306" s="1618">
        <v>1</v>
      </c>
      <c r="G306" s="2199"/>
      <c r="H306" s="1501">
        <f t="shared" si="7"/>
        <v>0</v>
      </c>
    </row>
    <row r="307" spans="1:8" s="2" customFormat="1">
      <c r="A307" s="1791"/>
      <c r="B307" s="2921"/>
      <c r="C307" s="1610"/>
      <c r="D307" s="856"/>
      <c r="E307" s="1610"/>
      <c r="F307" s="1618"/>
      <c r="G307" s="2199"/>
      <c r="H307" s="1501" t="str">
        <f t="shared" si="7"/>
        <v/>
      </c>
    </row>
    <row r="308" spans="1:8" s="2" customFormat="1" ht="26.4">
      <c r="A308" s="1791">
        <f>$A$4</f>
        <v>20</v>
      </c>
      <c r="B308" s="2922">
        <v>2.9</v>
      </c>
      <c r="C308" s="1610" t="s">
        <v>2486</v>
      </c>
      <c r="D308" s="2859" t="s">
        <v>2489</v>
      </c>
      <c r="E308" s="1610" t="s">
        <v>2485</v>
      </c>
      <c r="F308" s="1618">
        <v>1</v>
      </c>
      <c r="G308" s="2199"/>
      <c r="H308" s="1501">
        <f t="shared" si="7"/>
        <v>0</v>
      </c>
    </row>
    <row r="309" spans="1:8" s="2" customFormat="1">
      <c r="A309" s="1791"/>
      <c r="B309" s="2921"/>
      <c r="C309" s="1610"/>
      <c r="D309" s="857"/>
      <c r="E309" s="1610"/>
      <c r="F309" s="2855"/>
      <c r="G309" s="2858"/>
      <c r="H309" s="1501" t="str">
        <f t="shared" si="7"/>
        <v/>
      </c>
    </row>
    <row r="310" spans="1:8" s="2" customFormat="1">
      <c r="A310" s="1791">
        <f>$A$4</f>
        <v>20</v>
      </c>
      <c r="B310" s="2925">
        <v>2.1</v>
      </c>
      <c r="C310" s="1610" t="s">
        <v>2502</v>
      </c>
      <c r="D310" s="857" t="s">
        <v>2545</v>
      </c>
      <c r="E310" s="1783"/>
      <c r="F310" s="2860"/>
      <c r="G310" s="2858"/>
      <c r="H310" s="1501" t="str">
        <f t="shared" si="7"/>
        <v/>
      </c>
    </row>
    <row r="311" spans="1:8" s="2" customFormat="1">
      <c r="A311" s="1791"/>
      <c r="B311" s="2921"/>
      <c r="C311" s="1610"/>
      <c r="D311" s="857"/>
      <c r="E311" s="1610"/>
      <c r="F311" s="2855"/>
      <c r="G311" s="2199"/>
      <c r="H311" s="1501" t="str">
        <f t="shared" si="7"/>
        <v/>
      </c>
    </row>
    <row r="312" spans="1:8" s="2" customFormat="1" ht="26.4">
      <c r="A312" s="1791">
        <f>$A$4</f>
        <v>20</v>
      </c>
      <c r="B312" s="2922">
        <v>2.11</v>
      </c>
      <c r="C312" s="1610" t="s">
        <v>2486</v>
      </c>
      <c r="D312" s="2859" t="s">
        <v>2510</v>
      </c>
      <c r="E312" s="1610" t="s">
        <v>2485</v>
      </c>
      <c r="F312" s="2855">
        <v>4</v>
      </c>
      <c r="G312" s="2858"/>
      <c r="H312" s="1501">
        <f t="shared" si="7"/>
        <v>0</v>
      </c>
    </row>
    <row r="313" spans="1:8">
      <c r="A313" s="1791"/>
      <c r="B313" s="2916"/>
      <c r="C313" s="1612"/>
      <c r="D313" s="2914"/>
      <c r="E313" s="2915"/>
      <c r="F313" s="1627"/>
      <c r="G313" s="2199"/>
      <c r="H313" s="1501" t="str">
        <f t="shared" si="7"/>
        <v/>
      </c>
    </row>
    <row r="314" spans="1:8" s="2" customFormat="1" ht="17.25" customHeight="1">
      <c r="A314" s="1791">
        <f>$A$4</f>
        <v>20</v>
      </c>
      <c r="B314" s="2922">
        <v>2.12</v>
      </c>
      <c r="C314" s="1610" t="s">
        <v>2502</v>
      </c>
      <c r="D314" s="857" t="s">
        <v>2505</v>
      </c>
      <c r="E314" s="1783"/>
      <c r="F314" s="2860"/>
      <c r="G314" s="2858"/>
      <c r="H314" s="1501" t="str">
        <f t="shared" si="7"/>
        <v/>
      </c>
    </row>
    <row r="315" spans="1:8" s="2" customFormat="1">
      <c r="A315" s="1763"/>
      <c r="B315" s="2921"/>
      <c r="C315" s="1610"/>
      <c r="D315" s="857"/>
      <c r="E315" s="1783"/>
      <c r="F315" s="2860"/>
      <c r="G315" s="2858"/>
      <c r="H315" s="1501" t="str">
        <f t="shared" si="7"/>
        <v/>
      </c>
    </row>
    <row r="316" spans="1:8" s="2" customFormat="1" ht="26.4">
      <c r="A316" s="1791">
        <f>$A$4</f>
        <v>20</v>
      </c>
      <c r="B316" s="2922">
        <v>2.13</v>
      </c>
      <c r="C316" s="1610" t="s">
        <v>2486</v>
      </c>
      <c r="D316" s="2859" t="s">
        <v>2506</v>
      </c>
      <c r="E316" s="1783" t="s">
        <v>2485</v>
      </c>
      <c r="F316" s="2860">
        <v>2</v>
      </c>
      <c r="G316" s="2858"/>
      <c r="H316" s="1501">
        <f t="shared" si="7"/>
        <v>0</v>
      </c>
    </row>
    <row r="317" spans="1:8" s="2" customFormat="1">
      <c r="A317" s="1763"/>
      <c r="B317" s="2921"/>
      <c r="C317" s="1610"/>
      <c r="D317" s="857"/>
      <c r="E317" s="1610"/>
      <c r="F317" s="2855"/>
      <c r="G317" s="2858"/>
      <c r="H317" s="1501" t="str">
        <f t="shared" si="7"/>
        <v/>
      </c>
    </row>
    <row r="318" spans="1:8" s="2" customFormat="1" ht="26.4">
      <c r="A318" s="1791">
        <f>$A$4</f>
        <v>20</v>
      </c>
      <c r="B318" s="2922">
        <v>2.14</v>
      </c>
      <c r="C318" s="1610" t="s">
        <v>2546</v>
      </c>
      <c r="D318" s="857" t="s">
        <v>2547</v>
      </c>
      <c r="E318" s="1610" t="s">
        <v>230</v>
      </c>
      <c r="F318" s="2855">
        <v>1</v>
      </c>
      <c r="G318" s="2858"/>
      <c r="H318" s="1501">
        <f t="shared" si="7"/>
        <v>0</v>
      </c>
    </row>
    <row r="319" spans="1:8" s="2" customFormat="1">
      <c r="A319" s="1763"/>
      <c r="B319" s="2921"/>
      <c r="C319" s="1610"/>
      <c r="D319" s="857"/>
      <c r="E319" s="1610"/>
      <c r="F319" s="2855"/>
      <c r="G319" s="2858"/>
      <c r="H319" s="1501" t="str">
        <f t="shared" si="7"/>
        <v/>
      </c>
    </row>
    <row r="320" spans="1:8" s="2" customFormat="1" ht="26.4">
      <c r="A320" s="1791">
        <f>$A$4</f>
        <v>20</v>
      </c>
      <c r="B320" s="2922">
        <v>2.15</v>
      </c>
      <c r="C320" s="1610" t="s">
        <v>2548</v>
      </c>
      <c r="D320" s="857" t="s">
        <v>2549</v>
      </c>
      <c r="E320" s="1610" t="s">
        <v>2485</v>
      </c>
      <c r="F320" s="2855">
        <v>1</v>
      </c>
      <c r="G320" s="2858"/>
      <c r="H320" s="1501">
        <f t="shared" si="7"/>
        <v>0</v>
      </c>
    </row>
    <row r="321" spans="1:8" s="2" customFormat="1">
      <c r="A321" s="1763"/>
      <c r="B321" s="2921"/>
      <c r="C321" s="1610"/>
      <c r="D321" s="857"/>
      <c r="E321" s="1610"/>
      <c r="F321" s="2855"/>
      <c r="G321" s="2858"/>
      <c r="H321" s="1501" t="str">
        <f t="shared" si="7"/>
        <v/>
      </c>
    </row>
    <row r="322" spans="1:8" s="2" customFormat="1">
      <c r="A322" s="1763"/>
      <c r="B322" s="2919" t="s">
        <v>549</v>
      </c>
      <c r="C322" s="1623"/>
      <c r="D322" s="867" t="s">
        <v>2550</v>
      </c>
      <c r="E322" s="1610"/>
      <c r="F322" s="1613"/>
      <c r="G322" s="2199"/>
      <c r="H322" s="1501" t="str">
        <f t="shared" si="7"/>
        <v/>
      </c>
    </row>
    <row r="323" spans="1:8" s="2" customFormat="1">
      <c r="A323" s="1763"/>
      <c r="B323" s="2921"/>
      <c r="C323" s="1610"/>
      <c r="D323" s="857"/>
      <c r="E323" s="1610"/>
      <c r="F323" s="2855"/>
      <c r="G323" s="2858"/>
      <c r="H323" s="1501" t="str">
        <f t="shared" si="7"/>
        <v/>
      </c>
    </row>
    <row r="324" spans="1:8" s="2" customFormat="1">
      <c r="A324" s="1763"/>
      <c r="B324" s="2919"/>
      <c r="C324" s="868"/>
      <c r="D324" s="2867" t="s">
        <v>2551</v>
      </c>
      <c r="E324" s="1610"/>
      <c r="F324" s="1613"/>
      <c r="G324" s="2199"/>
      <c r="H324" s="1501" t="str">
        <f t="shared" si="7"/>
        <v/>
      </c>
    </row>
    <row r="325" spans="1:8" s="2" customFormat="1">
      <c r="A325" s="1763"/>
      <c r="B325" s="1618"/>
      <c r="C325" s="859"/>
      <c r="D325" s="2868"/>
      <c r="E325" s="1610"/>
      <c r="F325" s="1613"/>
      <c r="G325" s="2199"/>
      <c r="H325" s="1501" t="str">
        <f t="shared" si="7"/>
        <v/>
      </c>
    </row>
    <row r="326" spans="1:8" s="2" customFormat="1">
      <c r="A326" s="1791">
        <f>$A$4</f>
        <v>20</v>
      </c>
      <c r="B326" s="2922">
        <v>2.16</v>
      </c>
      <c r="C326" s="2869" t="s">
        <v>2515</v>
      </c>
      <c r="D326" s="1611" t="s">
        <v>1124</v>
      </c>
      <c r="E326" s="1610" t="s">
        <v>561</v>
      </c>
      <c r="F326" s="1613">
        <v>150</v>
      </c>
      <c r="G326" s="2199"/>
      <c r="H326" s="1501">
        <f t="shared" si="7"/>
        <v>0</v>
      </c>
    </row>
    <row r="327" spans="1:8" s="2" customFormat="1">
      <c r="A327" s="1791"/>
      <c r="B327" s="1618"/>
      <c r="C327" s="859"/>
      <c r="D327" s="2868"/>
      <c r="E327" s="1610"/>
      <c r="F327" s="1613"/>
      <c r="G327" s="2199"/>
      <c r="H327" s="1501" t="str">
        <f t="shared" si="7"/>
        <v/>
      </c>
    </row>
    <row r="328" spans="1:8" s="2" customFormat="1">
      <c r="A328" s="1791">
        <f>$A$4</f>
        <v>20</v>
      </c>
      <c r="B328" s="2922">
        <v>2.17</v>
      </c>
      <c r="C328" s="2869" t="s">
        <v>2515</v>
      </c>
      <c r="D328" s="1611" t="s">
        <v>1126</v>
      </c>
      <c r="E328" s="1612" t="s">
        <v>561</v>
      </c>
      <c r="F328" s="1613">
        <v>600</v>
      </c>
      <c r="G328" s="2199"/>
      <c r="H328" s="1501">
        <f t="shared" si="7"/>
        <v>0</v>
      </c>
    </row>
    <row r="329" spans="1:8" s="2" customFormat="1">
      <c r="A329" s="1763"/>
      <c r="B329" s="1618"/>
      <c r="C329" s="859"/>
      <c r="D329" s="2868"/>
      <c r="E329" s="1610"/>
      <c r="F329" s="1613"/>
      <c r="G329" s="2199"/>
      <c r="H329" s="1501" t="str">
        <f t="shared" si="7"/>
        <v/>
      </c>
    </row>
    <row r="330" spans="1:8" s="2" customFormat="1">
      <c r="A330" s="1791">
        <f>$A$4</f>
        <v>20</v>
      </c>
      <c r="B330" s="2922">
        <v>2.1800000000000002</v>
      </c>
      <c r="C330" s="2869" t="s">
        <v>2515</v>
      </c>
      <c r="D330" s="1611" t="s">
        <v>1128</v>
      </c>
      <c r="E330" s="1612" t="s">
        <v>561</v>
      </c>
      <c r="F330" s="1613">
        <v>1600</v>
      </c>
      <c r="G330" s="2199"/>
      <c r="H330" s="1501">
        <f t="shared" si="7"/>
        <v>0</v>
      </c>
    </row>
    <row r="331" spans="1:8" s="2" customFormat="1">
      <c r="A331" s="1763"/>
      <c r="B331" s="1618"/>
      <c r="C331" s="859"/>
      <c r="D331" s="2868"/>
      <c r="E331" s="1610"/>
      <c r="F331" s="1613"/>
      <c r="G331" s="2199"/>
      <c r="H331" s="1501" t="str">
        <f t="shared" si="7"/>
        <v/>
      </c>
    </row>
    <row r="332" spans="1:8" s="2" customFormat="1">
      <c r="A332" s="1791">
        <f>$A$4</f>
        <v>20</v>
      </c>
      <c r="B332" s="2922">
        <v>2.19</v>
      </c>
      <c r="C332" s="2869" t="s">
        <v>2515</v>
      </c>
      <c r="D332" s="1611" t="s">
        <v>1130</v>
      </c>
      <c r="E332" s="1612" t="s">
        <v>561</v>
      </c>
      <c r="F332" s="1613">
        <v>950</v>
      </c>
      <c r="G332" s="2199"/>
      <c r="H332" s="1501">
        <f t="shared" si="7"/>
        <v>0</v>
      </c>
    </row>
    <row r="333" spans="1:8" s="2" customFormat="1">
      <c r="A333" s="1763"/>
      <c r="B333" s="1618"/>
      <c r="C333" s="1612"/>
      <c r="D333" s="863"/>
      <c r="E333" s="1612"/>
      <c r="F333" s="1613" t="s">
        <v>2518</v>
      </c>
      <c r="G333" s="2199"/>
      <c r="H333" s="1501" t="str">
        <f t="shared" si="7"/>
        <v/>
      </c>
    </row>
    <row r="334" spans="1:8" s="2" customFormat="1" ht="15.6">
      <c r="A334" s="1791">
        <f>$A$4</f>
        <v>20</v>
      </c>
      <c r="B334" s="2925">
        <v>2.2000000000000002</v>
      </c>
      <c r="C334" s="2869" t="s">
        <v>2515</v>
      </c>
      <c r="D334" s="863" t="s">
        <v>2519</v>
      </c>
      <c r="E334" s="1612" t="s">
        <v>561</v>
      </c>
      <c r="F334" s="1613">
        <v>1000</v>
      </c>
      <c r="G334" s="2199"/>
      <c r="H334" s="1501">
        <f t="shared" si="7"/>
        <v>0</v>
      </c>
    </row>
    <row r="335" spans="1:8" s="2" customFormat="1">
      <c r="A335" s="1763"/>
      <c r="B335" s="2921"/>
      <c r="C335" s="2869"/>
      <c r="D335" s="863"/>
      <c r="E335" s="1612"/>
      <c r="F335" s="1613"/>
      <c r="G335" s="2199"/>
      <c r="H335" s="1501" t="str">
        <f t="shared" si="7"/>
        <v/>
      </c>
    </row>
    <row r="336" spans="1:8" s="2" customFormat="1" ht="15.6">
      <c r="A336" s="1791">
        <f>$A$4</f>
        <v>20</v>
      </c>
      <c r="B336" s="2922">
        <v>2.21</v>
      </c>
      <c r="C336" s="2869" t="s">
        <v>2515</v>
      </c>
      <c r="D336" s="863" t="s">
        <v>2521</v>
      </c>
      <c r="E336" s="1612" t="s">
        <v>561</v>
      </c>
      <c r="F336" s="1613">
        <v>30</v>
      </c>
      <c r="G336" s="2199"/>
      <c r="H336" s="1501">
        <f t="shared" si="7"/>
        <v>0</v>
      </c>
    </row>
    <row r="337" spans="1:8" s="2" customFormat="1">
      <c r="A337" s="1763"/>
      <c r="B337" s="2921"/>
      <c r="C337" s="2869"/>
      <c r="D337" s="863"/>
      <c r="E337" s="1612"/>
      <c r="F337" s="1613"/>
      <c r="G337" s="2199"/>
      <c r="H337" s="1501" t="str">
        <f t="shared" si="7"/>
        <v/>
      </c>
    </row>
    <row r="338" spans="1:8" s="2" customFormat="1">
      <c r="A338" s="1791">
        <f>$A$4</f>
        <v>20</v>
      </c>
      <c r="B338" s="2922">
        <v>2.2200000000000002</v>
      </c>
      <c r="C338" s="2869" t="s">
        <v>2515</v>
      </c>
      <c r="D338" s="1611" t="s">
        <v>2522</v>
      </c>
      <c r="E338" s="1612" t="s">
        <v>561</v>
      </c>
      <c r="F338" s="1613">
        <v>6</v>
      </c>
      <c r="G338" s="2199"/>
      <c r="H338" s="1501">
        <f t="shared" si="7"/>
        <v>0</v>
      </c>
    </row>
    <row r="339" spans="1:8" s="2" customFormat="1">
      <c r="A339" s="1763"/>
      <c r="B339" s="1618"/>
      <c r="C339" s="1612"/>
      <c r="D339" s="1611"/>
      <c r="E339" s="1612"/>
      <c r="F339" s="1613"/>
      <c r="G339" s="2199"/>
      <c r="H339" s="1501" t="str">
        <f t="shared" si="7"/>
        <v/>
      </c>
    </row>
    <row r="340" spans="1:8" s="2" customFormat="1">
      <c r="A340" s="1791">
        <f>$A$4</f>
        <v>20</v>
      </c>
      <c r="B340" s="2922">
        <v>2.23</v>
      </c>
      <c r="C340" s="2869" t="s">
        <v>2552</v>
      </c>
      <c r="D340" s="1611" t="s">
        <v>2553</v>
      </c>
      <c r="E340" s="1612" t="s">
        <v>561</v>
      </c>
      <c r="F340" s="1613">
        <v>235</v>
      </c>
      <c r="G340" s="2199"/>
      <c r="H340" s="1501">
        <f t="shared" si="7"/>
        <v>0</v>
      </c>
    </row>
    <row r="341" spans="1:8" s="2" customFormat="1">
      <c r="A341" s="1763"/>
      <c r="B341" s="1618"/>
      <c r="C341" s="1610"/>
      <c r="D341" s="2854"/>
      <c r="E341" s="1612"/>
      <c r="F341" s="2878"/>
      <c r="G341" s="2199"/>
      <c r="H341" s="1501" t="str">
        <f t="shared" si="7"/>
        <v/>
      </c>
    </row>
    <row r="342" spans="1:8" s="2" customFormat="1">
      <c r="A342" s="1763"/>
      <c r="B342" s="2926" t="s">
        <v>558</v>
      </c>
      <c r="C342" s="2877"/>
      <c r="D342" s="2879" t="s">
        <v>1139</v>
      </c>
      <c r="E342" s="2880"/>
      <c r="F342" s="2881"/>
      <c r="G342" s="2199"/>
      <c r="H342" s="1501" t="str">
        <f t="shared" si="7"/>
        <v/>
      </c>
    </row>
    <row r="343" spans="1:8" s="2" customFormat="1">
      <c r="A343" s="1763"/>
      <c r="B343" s="2926"/>
      <c r="C343" s="2877"/>
      <c r="D343" s="2879"/>
      <c r="E343" s="2880"/>
      <c r="F343" s="2881"/>
      <c r="G343" s="2199"/>
      <c r="H343" s="1501" t="str">
        <f t="shared" si="7"/>
        <v/>
      </c>
    </row>
    <row r="344" spans="1:8" s="2" customFormat="1">
      <c r="A344" s="1763"/>
      <c r="B344" s="2926"/>
      <c r="C344" s="2877"/>
      <c r="D344" s="2882" t="s">
        <v>2523</v>
      </c>
      <c r="E344" s="2880"/>
      <c r="F344" s="2881"/>
      <c r="G344" s="2199"/>
      <c r="H344" s="1501" t="str">
        <f t="shared" si="7"/>
        <v/>
      </c>
    </row>
    <row r="345" spans="1:8" s="2" customFormat="1">
      <c r="A345" s="1763"/>
      <c r="B345" s="2880"/>
      <c r="C345" s="1620"/>
      <c r="D345" s="2883"/>
      <c r="E345" s="2880"/>
      <c r="F345" s="2881"/>
      <c r="G345" s="2199"/>
      <c r="H345" s="1501" t="str">
        <f t="shared" si="7"/>
        <v/>
      </c>
    </row>
    <row r="346" spans="1:8" s="2" customFormat="1">
      <c r="A346" s="1791">
        <f>$A$4</f>
        <v>20</v>
      </c>
      <c r="B346" s="2922">
        <v>2.2400000000000002</v>
      </c>
      <c r="C346" s="2869" t="s">
        <v>2515</v>
      </c>
      <c r="D346" s="2886" t="s">
        <v>1148</v>
      </c>
      <c r="E346" s="1550" t="s">
        <v>561</v>
      </c>
      <c r="F346" s="2885">
        <v>300</v>
      </c>
      <c r="G346" s="2199"/>
      <c r="H346" s="1501">
        <f t="shared" si="7"/>
        <v>0</v>
      </c>
    </row>
    <row r="347" spans="1:8" s="2" customFormat="1">
      <c r="A347" s="1763"/>
      <c r="B347" s="2880"/>
      <c r="C347" s="1620"/>
      <c r="D347" s="2886"/>
      <c r="E347" s="1550"/>
      <c r="F347" s="2885"/>
      <c r="G347" s="2199"/>
      <c r="H347" s="1501" t="str">
        <f t="shared" si="7"/>
        <v/>
      </c>
    </row>
    <row r="348" spans="1:8" s="2" customFormat="1">
      <c r="A348" s="1791">
        <f>$A$4</f>
        <v>20</v>
      </c>
      <c r="B348" s="2922">
        <v>2.25</v>
      </c>
      <c r="C348" s="2869" t="s">
        <v>2515</v>
      </c>
      <c r="D348" s="2035" t="s">
        <v>1165</v>
      </c>
      <c r="E348" s="2884" t="s">
        <v>2485</v>
      </c>
      <c r="F348" s="2885">
        <v>2</v>
      </c>
      <c r="G348" s="2199"/>
      <c r="H348" s="1501">
        <f t="shared" si="7"/>
        <v>0</v>
      </c>
    </row>
    <row r="349" spans="1:8" s="2" customFormat="1">
      <c r="A349" s="1763"/>
      <c r="B349" s="2880"/>
      <c r="C349" s="1620"/>
      <c r="D349" s="2035"/>
      <c r="E349" s="2884"/>
      <c r="F349" s="2885"/>
      <c r="G349" s="2199"/>
      <c r="H349" s="1501" t="str">
        <f t="shared" si="7"/>
        <v/>
      </c>
    </row>
    <row r="350" spans="1:8" s="2" customFormat="1">
      <c r="A350" s="1791">
        <f>$A$4</f>
        <v>20</v>
      </c>
      <c r="B350" s="2922">
        <v>2.2599999999999998</v>
      </c>
      <c r="C350" s="2869" t="s">
        <v>2515</v>
      </c>
      <c r="D350" s="2035" t="s">
        <v>1167</v>
      </c>
      <c r="E350" s="2884" t="s">
        <v>2485</v>
      </c>
      <c r="F350" s="2885">
        <v>4</v>
      </c>
      <c r="G350" s="2199"/>
      <c r="H350" s="1501">
        <f t="shared" si="7"/>
        <v>0</v>
      </c>
    </row>
    <row r="351" spans="1:8" s="2" customFormat="1">
      <c r="A351" s="1763"/>
      <c r="B351" s="1617"/>
      <c r="C351" s="1612"/>
      <c r="D351" s="1611"/>
      <c r="E351" s="1617"/>
      <c r="F351" s="2927"/>
      <c r="G351" s="2199"/>
      <c r="H351" s="1501" t="str">
        <f t="shared" si="7"/>
        <v/>
      </c>
    </row>
    <row r="352" spans="1:8" s="2" customFormat="1" ht="26.4">
      <c r="A352" s="1763"/>
      <c r="B352" s="2928" t="s">
        <v>562</v>
      </c>
      <c r="C352" s="2887"/>
      <c r="D352" s="2929" t="s">
        <v>2524</v>
      </c>
      <c r="E352" s="2889"/>
      <c r="F352" s="2890"/>
      <c r="G352" s="2199"/>
      <c r="H352" s="1501" t="str">
        <f t="shared" si="7"/>
        <v/>
      </c>
    </row>
    <row r="353" spans="1:8" s="2" customFormat="1">
      <c r="A353" s="1763"/>
      <c r="B353" s="2889"/>
      <c r="C353" s="2887"/>
      <c r="D353" s="2891"/>
      <c r="E353" s="2889"/>
      <c r="F353" s="2890"/>
      <c r="G353" s="2199"/>
      <c r="H353" s="1501" t="str">
        <f t="shared" si="7"/>
        <v/>
      </c>
    </row>
    <row r="354" spans="1:8" s="2" customFormat="1" ht="26.4">
      <c r="A354" s="1763"/>
      <c r="B354" s="2928"/>
      <c r="C354" s="2887"/>
      <c r="D354" s="2893" t="s">
        <v>2554</v>
      </c>
      <c r="E354" s="1783"/>
      <c r="F354" s="2860"/>
      <c r="G354" s="2199"/>
      <c r="H354" s="1501" t="str">
        <f t="shared" si="7"/>
        <v/>
      </c>
    </row>
    <row r="355" spans="1:8" s="2" customFormat="1">
      <c r="A355" s="1763"/>
      <c r="B355" s="2930"/>
      <c r="C355" s="2869"/>
      <c r="D355" s="857"/>
      <c r="E355" s="1783"/>
      <c r="F355" s="2860"/>
      <c r="G355" s="2199"/>
      <c r="H355" s="1501" t="str">
        <f t="shared" si="7"/>
        <v/>
      </c>
    </row>
    <row r="356" spans="1:8" s="12" customFormat="1">
      <c r="A356" s="1791">
        <f>$A$4</f>
        <v>20</v>
      </c>
      <c r="B356" s="2922">
        <v>2.27</v>
      </c>
      <c r="C356" s="1610" t="s">
        <v>2490</v>
      </c>
      <c r="D356" s="858" t="s">
        <v>2496</v>
      </c>
      <c r="E356" s="1624"/>
      <c r="F356" s="1613"/>
      <c r="G356" s="2199"/>
      <c r="H356" s="1501" t="str">
        <f t="shared" si="7"/>
        <v/>
      </c>
    </row>
    <row r="357" spans="1:8" s="12" customFormat="1">
      <c r="A357" s="1791"/>
      <c r="B357" s="2930"/>
      <c r="C357" s="1610"/>
      <c r="D357" s="858"/>
      <c r="E357" s="1610"/>
      <c r="F357" s="1618"/>
      <c r="G357" s="2858"/>
      <c r="H357" s="1501" t="str">
        <f t="shared" si="7"/>
        <v/>
      </c>
    </row>
    <row r="358" spans="1:8" s="12" customFormat="1">
      <c r="A358" s="1791">
        <f>$A$4</f>
        <v>20</v>
      </c>
      <c r="B358" s="2922">
        <v>2.2799999999999998</v>
      </c>
      <c r="C358" s="1610" t="s">
        <v>2490</v>
      </c>
      <c r="D358" s="864" t="s">
        <v>2495</v>
      </c>
      <c r="E358" s="1624"/>
      <c r="F358" s="1613"/>
      <c r="G358" s="2199"/>
      <c r="H358" s="1501" t="str">
        <f t="shared" si="7"/>
        <v/>
      </c>
    </row>
    <row r="359" spans="1:8" s="12" customFormat="1">
      <c r="A359" s="1763"/>
      <c r="B359" s="2930"/>
      <c r="C359" s="1610"/>
      <c r="D359" s="1615"/>
      <c r="E359" s="1610"/>
      <c r="F359" s="1618"/>
      <c r="G359" s="2199"/>
      <c r="H359" s="1501" t="str">
        <f t="shared" si="7"/>
        <v/>
      </c>
    </row>
    <row r="360" spans="1:8" s="12" customFormat="1" ht="26.4">
      <c r="A360" s="1791">
        <f>$A$4</f>
        <v>20</v>
      </c>
      <c r="B360" s="2922">
        <v>2.29</v>
      </c>
      <c r="C360" s="1610" t="s">
        <v>2486</v>
      </c>
      <c r="D360" s="858" t="s">
        <v>2497</v>
      </c>
      <c r="E360" s="1610" t="s">
        <v>2485</v>
      </c>
      <c r="F360" s="2931">
        <v>1</v>
      </c>
      <c r="G360" s="2858"/>
      <c r="H360" s="1501">
        <f t="shared" si="7"/>
        <v>0</v>
      </c>
    </row>
    <row r="361" spans="1:8" s="12" customFormat="1">
      <c r="A361" s="1763"/>
      <c r="B361" s="2930"/>
      <c r="C361" s="1610"/>
      <c r="D361" s="858"/>
      <c r="E361" s="1610"/>
      <c r="F361" s="2931"/>
      <c r="G361" s="2858"/>
      <c r="H361" s="1501" t="str">
        <f t="shared" si="7"/>
        <v/>
      </c>
    </row>
    <row r="362" spans="1:8" s="12" customFormat="1">
      <c r="A362" s="1791">
        <f>$A$4</f>
        <v>20</v>
      </c>
      <c r="B362" s="2925">
        <v>2.2999999999999998</v>
      </c>
      <c r="C362" s="1610" t="s">
        <v>2490</v>
      </c>
      <c r="D362" s="1615" t="s">
        <v>2491</v>
      </c>
      <c r="E362" s="1624"/>
      <c r="F362" s="1613"/>
      <c r="G362" s="2199"/>
      <c r="H362" s="1501" t="str">
        <f t="shared" si="7"/>
        <v/>
      </c>
    </row>
    <row r="363" spans="1:8" s="12" customFormat="1">
      <c r="A363" s="1763"/>
      <c r="B363" s="2930"/>
      <c r="C363" s="1610"/>
      <c r="D363" s="864"/>
      <c r="E363" s="1610"/>
      <c r="F363" s="2931"/>
      <c r="G363" s="2858"/>
      <c r="H363" s="1501" t="str">
        <f t="shared" si="7"/>
        <v/>
      </c>
    </row>
    <row r="364" spans="1:8" s="12" customFormat="1" ht="26.4">
      <c r="A364" s="1791">
        <f>$A$4</f>
        <v>20</v>
      </c>
      <c r="B364" s="2922">
        <v>2.31</v>
      </c>
      <c r="C364" s="1610" t="s">
        <v>2486</v>
      </c>
      <c r="D364" s="1615" t="s">
        <v>2544</v>
      </c>
      <c r="E364" s="1783" t="s">
        <v>2485</v>
      </c>
      <c r="F364" s="2860">
        <v>2</v>
      </c>
      <c r="G364" s="2858"/>
      <c r="H364" s="1501">
        <f t="shared" si="7"/>
        <v>0</v>
      </c>
    </row>
    <row r="365" spans="1:8" s="12" customFormat="1">
      <c r="A365" s="1763"/>
      <c r="B365" s="2930"/>
      <c r="C365" s="1610"/>
      <c r="D365" s="864"/>
      <c r="E365" s="1610"/>
      <c r="F365" s="2931"/>
      <c r="G365" s="2199"/>
      <c r="H365" s="1501" t="str">
        <f t="shared" si="7"/>
        <v/>
      </c>
    </row>
    <row r="366" spans="1:8" s="12" customFormat="1" ht="26.4">
      <c r="A366" s="1791">
        <f>$A$4</f>
        <v>20</v>
      </c>
      <c r="B366" s="2922">
        <v>2.3199999999999998</v>
      </c>
      <c r="C366" s="1610" t="s">
        <v>2483</v>
      </c>
      <c r="D366" s="1649" t="s">
        <v>2493</v>
      </c>
      <c r="E366" s="1610" t="s">
        <v>2485</v>
      </c>
      <c r="F366" s="2931">
        <v>1</v>
      </c>
      <c r="G366" s="2199"/>
      <c r="H366" s="1501">
        <f t="shared" si="7"/>
        <v>0</v>
      </c>
    </row>
    <row r="367" spans="1:8" s="12" customFormat="1">
      <c r="A367" s="1791"/>
      <c r="B367" s="2922"/>
      <c r="C367" s="1610"/>
      <c r="D367" s="858"/>
      <c r="E367" s="1610"/>
      <c r="F367" s="2855"/>
      <c r="G367" s="2199"/>
      <c r="H367" s="1501" t="str">
        <f t="shared" si="7"/>
        <v/>
      </c>
    </row>
    <row r="368" spans="1:8" s="12" customFormat="1" ht="26.4">
      <c r="A368" s="1791">
        <f>$A$4</f>
        <v>20</v>
      </c>
      <c r="B368" s="2922">
        <v>2.33</v>
      </c>
      <c r="C368" s="1610" t="s">
        <v>2486</v>
      </c>
      <c r="D368" s="1615" t="s">
        <v>2494</v>
      </c>
      <c r="E368" s="1610" t="s">
        <v>2485</v>
      </c>
      <c r="F368" s="2855">
        <v>1</v>
      </c>
      <c r="G368" s="2199"/>
      <c r="H368" s="1501">
        <f t="shared" ref="H368" si="8">IF(E368="","",ROUND(F368*G368,2))</f>
        <v>0</v>
      </c>
    </row>
    <row r="369" spans="1:8" s="12" customFormat="1">
      <c r="A369" s="1791"/>
      <c r="B369" s="2922"/>
      <c r="C369" s="1610"/>
      <c r="D369" s="858"/>
      <c r="E369" s="1610"/>
      <c r="F369" s="2855"/>
      <c r="G369" s="2199"/>
      <c r="H369" s="1614"/>
    </row>
    <row r="370" spans="1:8" s="12" customFormat="1">
      <c r="A370" s="1791"/>
      <c r="B370" s="2922"/>
      <c r="C370" s="1610"/>
      <c r="D370" s="858"/>
      <c r="E370" s="1610"/>
      <c r="F370" s="2855"/>
      <c r="G370" s="2199"/>
      <c r="H370" s="1614"/>
    </row>
    <row r="371" spans="1:8" s="2" customFormat="1">
      <c r="A371" s="1763"/>
      <c r="B371" s="2921"/>
      <c r="C371" s="2869"/>
      <c r="D371" s="863"/>
      <c r="E371" s="1612"/>
      <c r="F371" s="1613"/>
      <c r="G371" s="2932"/>
      <c r="H371" s="1625"/>
    </row>
    <row r="372" spans="1:8" s="2" customFormat="1">
      <c r="A372" s="2871"/>
      <c r="B372" s="850"/>
      <c r="C372" s="861"/>
      <c r="D372" s="862"/>
      <c r="E372" s="800"/>
      <c r="F372" s="800"/>
      <c r="G372" s="1485"/>
      <c r="H372" s="2872"/>
    </row>
    <row r="373" spans="1:8" s="2" customFormat="1">
      <c r="A373" s="2873"/>
      <c r="B373" s="851"/>
      <c r="C373" s="419"/>
      <c r="D373" s="413" t="s">
        <v>289</v>
      </c>
      <c r="E373" s="425"/>
      <c r="F373" s="425"/>
      <c r="G373" s="1486"/>
      <c r="H373" s="2874">
        <f>SUM(H302:H371)</f>
        <v>0</v>
      </c>
    </row>
    <row r="374" spans="1:8" s="2" customFormat="1">
      <c r="A374" s="1763"/>
      <c r="B374" s="1783"/>
      <c r="C374" s="2869"/>
      <c r="D374" s="1552" t="s">
        <v>290</v>
      </c>
      <c r="E374" s="2196"/>
      <c r="F374" s="1550"/>
      <c r="G374" s="2199"/>
      <c r="H374" s="1614">
        <f>H373</f>
        <v>0</v>
      </c>
    </row>
    <row r="375" spans="1:8" s="12" customFormat="1">
      <c r="A375" s="1763"/>
      <c r="B375" s="2930"/>
      <c r="C375" s="1610"/>
      <c r="D375" s="858"/>
      <c r="E375" s="1610"/>
      <c r="F375" s="2855"/>
      <c r="G375" s="2199"/>
      <c r="H375" s="1614"/>
    </row>
    <row r="376" spans="1:8" s="12" customFormat="1" ht="26.4">
      <c r="A376" s="1791">
        <f>$A$4</f>
        <v>20</v>
      </c>
      <c r="B376" s="2922">
        <v>2.34</v>
      </c>
      <c r="C376" s="1610" t="s">
        <v>2488</v>
      </c>
      <c r="D376" s="864" t="s">
        <v>1103</v>
      </c>
      <c r="E376" s="1610" t="s">
        <v>2485</v>
      </c>
      <c r="F376" s="1618">
        <v>1</v>
      </c>
      <c r="G376" s="2199"/>
      <c r="H376" s="1501">
        <f t="shared" ref="H376:H439" si="9">IF(E376="","",ROUND(F376*G376,2))</f>
        <v>0</v>
      </c>
    </row>
    <row r="377" spans="1:8" s="2" customFormat="1">
      <c r="A377" s="1763"/>
      <c r="B377" s="2930"/>
      <c r="C377" s="1610"/>
      <c r="D377" s="857"/>
      <c r="E377" s="1610"/>
      <c r="F377" s="2855"/>
      <c r="G377" s="2199"/>
      <c r="H377" s="1501" t="str">
        <f t="shared" si="9"/>
        <v/>
      </c>
    </row>
    <row r="378" spans="1:8" s="2" customFormat="1" ht="33" customHeight="1">
      <c r="A378" s="1791">
        <f>$A$4</f>
        <v>20</v>
      </c>
      <c r="B378" s="2922">
        <v>2.35</v>
      </c>
      <c r="C378" s="1610" t="s">
        <v>2486</v>
      </c>
      <c r="D378" s="2859" t="s">
        <v>2489</v>
      </c>
      <c r="E378" s="1610" t="s">
        <v>2485</v>
      </c>
      <c r="F378" s="1618">
        <v>1</v>
      </c>
      <c r="G378" s="2199"/>
      <c r="H378" s="1501">
        <f t="shared" si="9"/>
        <v>0</v>
      </c>
    </row>
    <row r="379" spans="1:8" s="2" customFormat="1">
      <c r="A379" s="1763"/>
      <c r="B379" s="2921"/>
      <c r="C379" s="1610"/>
      <c r="D379" s="857"/>
      <c r="E379" s="1610"/>
      <c r="F379" s="2931"/>
      <c r="G379" s="2199"/>
      <c r="H379" s="1501" t="str">
        <f t="shared" si="9"/>
        <v/>
      </c>
    </row>
    <row r="380" spans="1:8" s="2" customFormat="1">
      <c r="A380" s="1791">
        <f>$A$4</f>
        <v>20</v>
      </c>
      <c r="B380" s="2922">
        <v>2.36</v>
      </c>
      <c r="C380" s="1610" t="s">
        <v>2502</v>
      </c>
      <c r="D380" s="857" t="s">
        <v>2545</v>
      </c>
      <c r="E380" s="1624"/>
      <c r="F380" s="1613"/>
      <c r="G380" s="2199"/>
      <c r="H380" s="1501" t="str">
        <f t="shared" si="9"/>
        <v/>
      </c>
    </row>
    <row r="381" spans="1:8" s="2" customFormat="1">
      <c r="A381" s="1763"/>
      <c r="B381" s="2921"/>
      <c r="C381" s="1610"/>
      <c r="D381" s="857"/>
      <c r="E381" s="1610"/>
      <c r="F381" s="2931"/>
      <c r="G381" s="2199"/>
      <c r="H381" s="1501" t="str">
        <f t="shared" si="9"/>
        <v/>
      </c>
    </row>
    <row r="382" spans="1:8" s="2" customFormat="1" ht="26.4">
      <c r="A382" s="1791">
        <f>$A$4</f>
        <v>20</v>
      </c>
      <c r="B382" s="2922">
        <v>2.37</v>
      </c>
      <c r="C382" s="1610" t="s">
        <v>2486</v>
      </c>
      <c r="D382" s="2859" t="s">
        <v>2510</v>
      </c>
      <c r="E382" s="1610" t="s">
        <v>2485</v>
      </c>
      <c r="F382" s="2931">
        <v>4</v>
      </c>
      <c r="G382" s="2858"/>
      <c r="H382" s="1501">
        <f t="shared" si="9"/>
        <v>0</v>
      </c>
    </row>
    <row r="383" spans="1:8" s="2" customFormat="1">
      <c r="A383" s="1791"/>
      <c r="B383" s="2921"/>
      <c r="C383" s="1610"/>
      <c r="D383" s="857"/>
      <c r="E383" s="1610"/>
      <c r="F383" s="2931"/>
      <c r="G383" s="2858"/>
      <c r="H383" s="1501" t="str">
        <f t="shared" si="9"/>
        <v/>
      </c>
    </row>
    <row r="384" spans="1:8" s="2" customFormat="1" ht="18.75" customHeight="1">
      <c r="A384" s="1791">
        <f>$A$4</f>
        <v>20</v>
      </c>
      <c r="B384" s="2922">
        <v>2.38</v>
      </c>
      <c r="C384" s="1610" t="s">
        <v>2502</v>
      </c>
      <c r="D384" s="857" t="s">
        <v>2505</v>
      </c>
      <c r="E384" s="1624"/>
      <c r="F384" s="1613"/>
      <c r="G384" s="2199"/>
      <c r="H384" s="1501" t="str">
        <f t="shared" si="9"/>
        <v/>
      </c>
    </row>
    <row r="385" spans="1:8" s="2" customFormat="1">
      <c r="A385" s="1763"/>
      <c r="B385" s="2921"/>
      <c r="C385" s="1610"/>
      <c r="D385" s="857"/>
      <c r="E385" s="1610"/>
      <c r="F385" s="2931"/>
      <c r="G385" s="2858"/>
      <c r="H385" s="1501" t="str">
        <f t="shared" si="9"/>
        <v/>
      </c>
    </row>
    <row r="386" spans="1:8" s="2" customFormat="1" ht="26.4">
      <c r="A386" s="1791">
        <f>$A$4</f>
        <v>20</v>
      </c>
      <c r="B386" s="2922">
        <v>2.39</v>
      </c>
      <c r="C386" s="1610" t="s">
        <v>2486</v>
      </c>
      <c r="D386" s="2859" t="s">
        <v>2506</v>
      </c>
      <c r="E386" s="1783" t="s">
        <v>2485</v>
      </c>
      <c r="F386" s="2860">
        <v>2</v>
      </c>
      <c r="G386" s="2858"/>
      <c r="H386" s="1501">
        <f t="shared" si="9"/>
        <v>0</v>
      </c>
    </row>
    <row r="387" spans="1:8" s="2" customFormat="1">
      <c r="A387" s="1763"/>
      <c r="B387" s="2921"/>
      <c r="C387" s="1610"/>
      <c r="D387" s="857"/>
      <c r="E387" s="1610"/>
      <c r="F387" s="2931"/>
      <c r="G387" s="2858"/>
      <c r="H387" s="1501" t="str">
        <f t="shared" si="9"/>
        <v/>
      </c>
    </row>
    <row r="388" spans="1:8" s="2" customFormat="1" ht="26.4">
      <c r="A388" s="1791">
        <f>$A$4</f>
        <v>20</v>
      </c>
      <c r="B388" s="2925">
        <v>2.4</v>
      </c>
      <c r="C388" s="1610" t="s">
        <v>2546</v>
      </c>
      <c r="D388" s="857" t="s">
        <v>2547</v>
      </c>
      <c r="E388" s="1610" t="s">
        <v>230</v>
      </c>
      <c r="F388" s="2931">
        <v>1</v>
      </c>
      <c r="G388" s="2858"/>
      <c r="H388" s="1501">
        <f t="shared" si="9"/>
        <v>0</v>
      </c>
    </row>
    <row r="389" spans="1:8" s="2" customFormat="1">
      <c r="A389" s="1763"/>
      <c r="B389" s="2921"/>
      <c r="C389" s="1610"/>
      <c r="D389" s="857"/>
      <c r="E389" s="1610"/>
      <c r="F389" s="2931"/>
      <c r="G389" s="2858"/>
      <c r="H389" s="1501" t="str">
        <f t="shared" si="9"/>
        <v/>
      </c>
    </row>
    <row r="390" spans="1:8" s="2" customFormat="1" ht="26.4">
      <c r="A390" s="1791">
        <f>$A$4</f>
        <v>20</v>
      </c>
      <c r="B390" s="2922">
        <v>2.41</v>
      </c>
      <c r="C390" s="1610" t="s">
        <v>2548</v>
      </c>
      <c r="D390" s="857" t="s">
        <v>2549</v>
      </c>
      <c r="E390" s="1610" t="s">
        <v>2485</v>
      </c>
      <c r="F390" s="2855">
        <v>1</v>
      </c>
      <c r="G390" s="2858"/>
      <c r="H390" s="1501">
        <f t="shared" si="9"/>
        <v>0</v>
      </c>
    </row>
    <row r="391" spans="1:8" s="2" customFormat="1">
      <c r="A391" s="1763"/>
      <c r="B391" s="1550"/>
      <c r="C391" s="1616"/>
      <c r="D391" s="1552"/>
      <c r="E391" s="1550"/>
      <c r="F391" s="1550"/>
      <c r="G391" s="2199"/>
      <c r="H391" s="1501" t="str">
        <f t="shared" si="9"/>
        <v/>
      </c>
    </row>
    <row r="392" spans="1:8" s="2" customFormat="1">
      <c r="A392" s="1763"/>
      <c r="B392" s="2919" t="s">
        <v>580</v>
      </c>
      <c r="C392" s="1623"/>
      <c r="D392" s="867" t="s">
        <v>2513</v>
      </c>
      <c r="E392" s="1610"/>
      <c r="F392" s="1613"/>
      <c r="G392" s="2199"/>
      <c r="H392" s="1501" t="str">
        <f t="shared" si="9"/>
        <v/>
      </c>
    </row>
    <row r="393" spans="1:8" s="2" customFormat="1">
      <c r="A393" s="1763"/>
      <c r="B393" s="1550"/>
      <c r="C393" s="1616"/>
      <c r="D393" s="1552"/>
      <c r="E393" s="1550"/>
      <c r="F393" s="1550"/>
      <c r="G393" s="2199"/>
      <c r="H393" s="1501" t="str">
        <f t="shared" si="9"/>
        <v/>
      </c>
    </row>
    <row r="394" spans="1:8" s="12" customFormat="1" ht="26.25" customHeight="1">
      <c r="A394" s="1763"/>
      <c r="B394" s="2919"/>
      <c r="C394" s="868"/>
      <c r="D394" s="2897" t="s">
        <v>2555</v>
      </c>
      <c r="E394" s="1610"/>
      <c r="F394" s="1613"/>
      <c r="G394" s="2199"/>
      <c r="H394" s="1501" t="str">
        <f t="shared" si="9"/>
        <v/>
      </c>
    </row>
    <row r="395" spans="1:8" s="2" customFormat="1">
      <c r="A395" s="1763"/>
      <c r="B395" s="1618"/>
      <c r="C395" s="859"/>
      <c r="D395" s="2868"/>
      <c r="E395" s="1610"/>
      <c r="F395" s="1613"/>
      <c r="G395" s="2199"/>
      <c r="H395" s="1501" t="str">
        <f t="shared" si="9"/>
        <v/>
      </c>
    </row>
    <row r="396" spans="1:8" s="2" customFormat="1">
      <c r="A396" s="1791">
        <f>$A$4</f>
        <v>20</v>
      </c>
      <c r="B396" s="2922">
        <v>2.42</v>
      </c>
      <c r="C396" s="2869" t="s">
        <v>2515</v>
      </c>
      <c r="D396" s="1611" t="s">
        <v>1124</v>
      </c>
      <c r="E396" s="1610" t="s">
        <v>561</v>
      </c>
      <c r="F396" s="1613">
        <v>150</v>
      </c>
      <c r="G396" s="2199"/>
      <c r="H396" s="1501">
        <f t="shared" si="9"/>
        <v>0</v>
      </c>
    </row>
    <row r="397" spans="1:8" s="2" customFormat="1">
      <c r="A397" s="1763"/>
      <c r="B397" s="1618"/>
      <c r="C397" s="859"/>
      <c r="D397" s="2868"/>
      <c r="E397" s="1610"/>
      <c r="F397" s="1613"/>
      <c r="G397" s="2199"/>
      <c r="H397" s="1501" t="str">
        <f t="shared" si="9"/>
        <v/>
      </c>
    </row>
    <row r="398" spans="1:8" s="2" customFormat="1">
      <c r="A398" s="1791">
        <f>$A$4</f>
        <v>20</v>
      </c>
      <c r="B398" s="2922">
        <v>2.4300000000000002</v>
      </c>
      <c r="C398" s="2869" t="s">
        <v>2515</v>
      </c>
      <c r="D398" s="1611" t="s">
        <v>1126</v>
      </c>
      <c r="E398" s="1612" t="s">
        <v>561</v>
      </c>
      <c r="F398" s="1613">
        <v>600</v>
      </c>
      <c r="G398" s="2199"/>
      <c r="H398" s="1501">
        <f t="shared" si="9"/>
        <v>0</v>
      </c>
    </row>
    <row r="399" spans="1:8" s="2" customFormat="1">
      <c r="A399" s="1763"/>
      <c r="B399" s="2921"/>
      <c r="C399" s="2869"/>
      <c r="D399" s="863"/>
      <c r="E399" s="1612"/>
      <c r="F399" s="2933"/>
      <c r="G399" s="2199"/>
      <c r="H399" s="1501" t="str">
        <f t="shared" si="9"/>
        <v/>
      </c>
    </row>
    <row r="400" spans="1:8" s="2" customFormat="1">
      <c r="A400" s="1791">
        <f>$A$4</f>
        <v>20</v>
      </c>
      <c r="B400" s="2922">
        <v>2.44</v>
      </c>
      <c r="C400" s="2869" t="s">
        <v>2515</v>
      </c>
      <c r="D400" s="1611" t="s">
        <v>1128</v>
      </c>
      <c r="E400" s="1612" t="s">
        <v>561</v>
      </c>
      <c r="F400" s="1613">
        <v>1600</v>
      </c>
      <c r="G400" s="2199"/>
      <c r="H400" s="1501">
        <f t="shared" si="9"/>
        <v>0</v>
      </c>
    </row>
    <row r="401" spans="1:8" s="2" customFormat="1">
      <c r="A401" s="1763"/>
      <c r="B401" s="1618"/>
      <c r="C401" s="859"/>
      <c r="D401" s="2868"/>
      <c r="E401" s="1610"/>
      <c r="F401" s="1613"/>
      <c r="G401" s="2199"/>
      <c r="H401" s="1501" t="str">
        <f t="shared" si="9"/>
        <v/>
      </c>
    </row>
    <row r="402" spans="1:8" s="2" customFormat="1">
      <c r="A402" s="1791">
        <f>$A$4</f>
        <v>20</v>
      </c>
      <c r="B402" s="2922">
        <v>2.4500000000000002</v>
      </c>
      <c r="C402" s="2869" t="s">
        <v>2515</v>
      </c>
      <c r="D402" s="1611" t="s">
        <v>1130</v>
      </c>
      <c r="E402" s="1612" t="s">
        <v>561</v>
      </c>
      <c r="F402" s="1613">
        <v>950</v>
      </c>
      <c r="G402" s="2199"/>
      <c r="H402" s="1501">
        <f t="shared" si="9"/>
        <v>0</v>
      </c>
    </row>
    <row r="403" spans="1:8" s="2" customFormat="1">
      <c r="A403" s="1791"/>
      <c r="B403" s="1618"/>
      <c r="C403" s="1612"/>
      <c r="D403" s="863"/>
      <c r="E403" s="1612"/>
      <c r="F403" s="1613" t="s">
        <v>2518</v>
      </c>
      <c r="G403" s="2199"/>
      <c r="H403" s="1501" t="str">
        <f t="shared" si="9"/>
        <v/>
      </c>
    </row>
    <row r="404" spans="1:8" s="2" customFormat="1" ht="15.6">
      <c r="A404" s="1791">
        <f>$A$4</f>
        <v>20</v>
      </c>
      <c r="B404" s="2922">
        <v>2.46</v>
      </c>
      <c r="C404" s="2869" t="s">
        <v>2515</v>
      </c>
      <c r="D404" s="863" t="s">
        <v>2519</v>
      </c>
      <c r="E404" s="1612" t="s">
        <v>561</v>
      </c>
      <c r="F404" s="1613">
        <v>1000</v>
      </c>
      <c r="G404" s="2199"/>
      <c r="H404" s="1501">
        <f t="shared" si="9"/>
        <v>0</v>
      </c>
    </row>
    <row r="405" spans="1:8" s="2" customFormat="1">
      <c r="A405" s="1763"/>
      <c r="B405" s="2921"/>
      <c r="C405" s="1610"/>
      <c r="D405" s="857"/>
      <c r="E405" s="1610"/>
      <c r="F405" s="2855"/>
      <c r="G405" s="2858"/>
      <c r="H405" s="1501" t="str">
        <f t="shared" si="9"/>
        <v/>
      </c>
    </row>
    <row r="406" spans="1:8" s="2" customFormat="1" ht="15.6">
      <c r="A406" s="1791">
        <f>$A$4</f>
        <v>20</v>
      </c>
      <c r="B406" s="2922">
        <v>2.4700000000000002</v>
      </c>
      <c r="C406" s="2869" t="s">
        <v>2515</v>
      </c>
      <c r="D406" s="863" t="s">
        <v>2521</v>
      </c>
      <c r="E406" s="1612" t="s">
        <v>561</v>
      </c>
      <c r="F406" s="1613">
        <v>30</v>
      </c>
      <c r="G406" s="2199"/>
      <c r="H406" s="1501">
        <f t="shared" si="9"/>
        <v>0</v>
      </c>
    </row>
    <row r="407" spans="1:8" s="2" customFormat="1">
      <c r="A407" s="1763"/>
      <c r="B407" s="1618"/>
      <c r="C407" s="1616"/>
      <c r="D407" s="2165"/>
      <c r="E407" s="1550"/>
      <c r="F407" s="1613"/>
      <c r="G407" s="2199"/>
      <c r="H407" s="1501" t="str">
        <f t="shared" si="9"/>
        <v/>
      </c>
    </row>
    <row r="408" spans="1:8" s="2" customFormat="1">
      <c r="A408" s="1791">
        <f>$A$4</f>
        <v>20</v>
      </c>
      <c r="B408" s="2922">
        <v>2.48</v>
      </c>
      <c r="C408" s="2869" t="s">
        <v>2515</v>
      </c>
      <c r="D408" s="1611" t="s">
        <v>2522</v>
      </c>
      <c r="E408" s="1612" t="s">
        <v>561</v>
      </c>
      <c r="F408" s="1613">
        <v>6</v>
      </c>
      <c r="G408" s="2199"/>
      <c r="H408" s="1501">
        <f t="shared" si="9"/>
        <v>0</v>
      </c>
    </row>
    <row r="409" spans="1:8" s="2" customFormat="1">
      <c r="A409" s="1763"/>
      <c r="B409" s="1618"/>
      <c r="C409" s="1612"/>
      <c r="D409" s="1611"/>
      <c r="E409" s="1612"/>
      <c r="F409" s="1613"/>
      <c r="G409" s="2199"/>
      <c r="H409" s="1501" t="str">
        <f t="shared" si="9"/>
        <v/>
      </c>
    </row>
    <row r="410" spans="1:8" s="2" customFormat="1">
      <c r="A410" s="1791">
        <f>$A$4</f>
        <v>20</v>
      </c>
      <c r="B410" s="2922">
        <v>2.4900000000000002</v>
      </c>
      <c r="C410" s="2869" t="s">
        <v>2552</v>
      </c>
      <c r="D410" s="1611" t="s">
        <v>2553</v>
      </c>
      <c r="E410" s="1612" t="s">
        <v>561</v>
      </c>
      <c r="F410" s="1613">
        <v>235</v>
      </c>
      <c r="G410" s="2199"/>
      <c r="H410" s="1501">
        <f t="shared" si="9"/>
        <v>0</v>
      </c>
    </row>
    <row r="411" spans="1:8" s="2" customFormat="1">
      <c r="A411" s="1763"/>
      <c r="B411" s="1550"/>
      <c r="C411" s="1616"/>
      <c r="D411" s="1552"/>
      <c r="E411" s="1550"/>
      <c r="F411" s="1550"/>
      <c r="G411" s="2199"/>
      <c r="H411" s="1501" t="str">
        <f t="shared" si="9"/>
        <v/>
      </c>
    </row>
    <row r="412" spans="1:8" s="2" customFormat="1">
      <c r="A412" s="1763"/>
      <c r="B412" s="2928" t="s">
        <v>586</v>
      </c>
      <c r="C412" s="2887"/>
      <c r="D412" s="2879" t="s">
        <v>1121</v>
      </c>
      <c r="E412" s="2889"/>
      <c r="F412" s="1622"/>
      <c r="G412" s="2199"/>
      <c r="H412" s="1501" t="str">
        <f t="shared" si="9"/>
        <v/>
      </c>
    </row>
    <row r="413" spans="1:8" s="2" customFormat="1">
      <c r="A413" s="1763"/>
      <c r="B413" s="2928"/>
      <c r="C413" s="2887"/>
      <c r="D413" s="2879"/>
      <c r="E413" s="2889"/>
      <c r="F413" s="1622"/>
      <c r="G413" s="2199"/>
      <c r="H413" s="1501" t="str">
        <f t="shared" si="9"/>
        <v/>
      </c>
    </row>
    <row r="414" spans="1:8" s="2" customFormat="1">
      <c r="A414" s="1763"/>
      <c r="B414" s="2928"/>
      <c r="C414" s="2887"/>
      <c r="D414" s="2898" t="s">
        <v>2556</v>
      </c>
      <c r="E414" s="2889"/>
      <c r="F414" s="1622"/>
      <c r="G414" s="2199"/>
      <c r="H414" s="1501" t="str">
        <f t="shared" si="9"/>
        <v/>
      </c>
    </row>
    <row r="415" spans="1:8" s="2" customFormat="1">
      <c r="A415" s="1763"/>
      <c r="B415" s="2889"/>
      <c r="C415" s="2869"/>
      <c r="D415" s="2899"/>
      <c r="E415" s="2889"/>
      <c r="F415" s="1622"/>
      <c r="G415" s="2199"/>
      <c r="H415" s="1501" t="str">
        <f t="shared" si="9"/>
        <v/>
      </c>
    </row>
    <row r="416" spans="1:8" s="2" customFormat="1">
      <c r="A416" s="1791">
        <f>$A$4</f>
        <v>20</v>
      </c>
      <c r="B416" s="2925">
        <v>2.5</v>
      </c>
      <c r="C416" s="2869" t="s">
        <v>2515</v>
      </c>
      <c r="D416" s="1611" t="s">
        <v>1124</v>
      </c>
      <c r="E416" s="2889" t="s">
        <v>2485</v>
      </c>
      <c r="F416" s="1622">
        <v>5</v>
      </c>
      <c r="G416" s="2199"/>
      <c r="H416" s="1501">
        <f t="shared" si="9"/>
        <v>0</v>
      </c>
    </row>
    <row r="417" spans="1:8" s="2" customFormat="1">
      <c r="A417" s="1763"/>
      <c r="B417" s="2889"/>
      <c r="C417" s="859"/>
      <c r="D417" s="2868"/>
      <c r="E417" s="2889"/>
      <c r="F417" s="1622"/>
      <c r="G417" s="2199"/>
      <c r="H417" s="1501" t="str">
        <f t="shared" si="9"/>
        <v/>
      </c>
    </row>
    <row r="418" spans="1:8" s="2" customFormat="1">
      <c r="A418" s="1791">
        <f>$A$4</f>
        <v>20</v>
      </c>
      <c r="B418" s="2922">
        <v>2.5099999999999998</v>
      </c>
      <c r="C418" s="2869" t="s">
        <v>2515</v>
      </c>
      <c r="D418" s="1611" t="s">
        <v>1126</v>
      </c>
      <c r="E418" s="1617" t="s">
        <v>2485</v>
      </c>
      <c r="F418" s="2927">
        <v>4</v>
      </c>
      <c r="G418" s="2199"/>
      <c r="H418" s="1501">
        <f t="shared" si="9"/>
        <v>0</v>
      </c>
    </row>
    <row r="419" spans="1:8" s="2" customFormat="1">
      <c r="A419" s="1791"/>
      <c r="B419" s="2889"/>
      <c r="C419" s="859"/>
      <c r="D419" s="2868"/>
      <c r="E419" s="2889"/>
      <c r="F419" s="1622"/>
      <c r="G419" s="2199"/>
      <c r="H419" s="1501" t="str">
        <f t="shared" si="9"/>
        <v/>
      </c>
    </row>
    <row r="420" spans="1:8" s="2" customFormat="1">
      <c r="A420" s="1791">
        <f>$A$4</f>
        <v>20</v>
      </c>
      <c r="B420" s="2922">
        <v>2.52</v>
      </c>
      <c r="C420" s="2869" t="s">
        <v>2515</v>
      </c>
      <c r="D420" s="1611" t="s">
        <v>1128</v>
      </c>
      <c r="E420" s="1617" t="s">
        <v>2485</v>
      </c>
      <c r="F420" s="2927">
        <v>6</v>
      </c>
      <c r="G420" s="2199"/>
      <c r="H420" s="1501">
        <f t="shared" si="9"/>
        <v>0</v>
      </c>
    </row>
    <row r="421" spans="1:8" s="2" customFormat="1">
      <c r="A421" s="1763"/>
      <c r="B421" s="2889"/>
      <c r="C421" s="859"/>
      <c r="D421" s="2868"/>
      <c r="E421" s="2889"/>
      <c r="F421" s="1622"/>
      <c r="G421" s="2199"/>
      <c r="H421" s="1501" t="str">
        <f t="shared" si="9"/>
        <v/>
      </c>
    </row>
    <row r="422" spans="1:8" s="2" customFormat="1">
      <c r="A422" s="1791">
        <f>$A$4</f>
        <v>20</v>
      </c>
      <c r="B422" s="2922">
        <v>2.5299999999999998</v>
      </c>
      <c r="C422" s="2869" t="s">
        <v>2515</v>
      </c>
      <c r="D422" s="1611" t="s">
        <v>1130</v>
      </c>
      <c r="E422" s="1617" t="s">
        <v>2485</v>
      </c>
      <c r="F422" s="1622">
        <v>4</v>
      </c>
      <c r="G422" s="2199"/>
      <c r="H422" s="1501">
        <f t="shared" si="9"/>
        <v>0</v>
      </c>
    </row>
    <row r="423" spans="1:8" s="2" customFormat="1">
      <c r="A423" s="1763"/>
      <c r="B423" s="2889"/>
      <c r="C423" s="1612"/>
      <c r="D423" s="863"/>
      <c r="E423" s="2889"/>
      <c r="F423" s="1622"/>
      <c r="G423" s="2199"/>
      <c r="H423" s="1501" t="str">
        <f t="shared" si="9"/>
        <v/>
      </c>
    </row>
    <row r="424" spans="1:8" s="2" customFormat="1" ht="15.6">
      <c r="A424" s="1791">
        <f>$A$4</f>
        <v>20</v>
      </c>
      <c r="B424" s="2922">
        <v>2.54</v>
      </c>
      <c r="C424" s="2869" t="s">
        <v>2515</v>
      </c>
      <c r="D424" s="863" t="s">
        <v>2519</v>
      </c>
      <c r="E424" s="1617" t="s">
        <v>2485</v>
      </c>
      <c r="F424" s="1622">
        <v>4</v>
      </c>
      <c r="G424" s="2199"/>
      <c r="H424" s="1501">
        <f t="shared" si="9"/>
        <v>0</v>
      </c>
    </row>
    <row r="425" spans="1:8" s="2" customFormat="1">
      <c r="A425" s="1763"/>
      <c r="B425" s="2889"/>
      <c r="C425" s="1616"/>
      <c r="D425" s="1552"/>
      <c r="E425" s="2889"/>
      <c r="F425" s="1622"/>
      <c r="G425" s="2199"/>
      <c r="H425" s="1501" t="str">
        <f t="shared" si="9"/>
        <v/>
      </c>
    </row>
    <row r="426" spans="1:8" s="2" customFormat="1" ht="15.6">
      <c r="A426" s="1791">
        <f>$A$4</f>
        <v>20</v>
      </c>
      <c r="B426" s="2922">
        <v>2.5499999999999998</v>
      </c>
      <c r="C426" s="2869" t="s">
        <v>2515</v>
      </c>
      <c r="D426" s="863" t="s">
        <v>2521</v>
      </c>
      <c r="E426" s="1617" t="s">
        <v>2485</v>
      </c>
      <c r="F426" s="1622">
        <v>1</v>
      </c>
      <c r="G426" s="2199"/>
      <c r="H426" s="1501">
        <f t="shared" si="9"/>
        <v>0</v>
      </c>
    </row>
    <row r="427" spans="1:8" s="2" customFormat="1">
      <c r="A427" s="1763"/>
      <c r="B427" s="2889"/>
      <c r="C427" s="1616"/>
      <c r="D427" s="2165"/>
      <c r="E427" s="1617"/>
      <c r="F427" s="1622"/>
      <c r="G427" s="2199"/>
      <c r="H427" s="1501" t="str">
        <f t="shared" si="9"/>
        <v/>
      </c>
    </row>
    <row r="428" spans="1:8" s="2" customFormat="1">
      <c r="A428" s="1791">
        <f>$A$4</f>
        <v>20</v>
      </c>
      <c r="B428" s="2922">
        <v>2.56</v>
      </c>
      <c r="C428" s="2869" t="s">
        <v>2515</v>
      </c>
      <c r="D428" s="1611" t="s">
        <v>2522</v>
      </c>
      <c r="E428" s="1617" t="s">
        <v>2485</v>
      </c>
      <c r="F428" s="1622">
        <v>1</v>
      </c>
      <c r="G428" s="2199"/>
      <c r="H428" s="1501">
        <f t="shared" si="9"/>
        <v>0</v>
      </c>
    </row>
    <row r="429" spans="1:8" s="2" customFormat="1">
      <c r="A429" s="1763"/>
      <c r="B429" s="2889"/>
      <c r="C429" s="1612"/>
      <c r="D429" s="1611"/>
      <c r="E429" s="1617"/>
      <c r="F429" s="1622"/>
      <c r="G429" s="2199"/>
      <c r="H429" s="1501" t="str">
        <f t="shared" si="9"/>
        <v/>
      </c>
    </row>
    <row r="430" spans="1:8" s="2" customFormat="1">
      <c r="A430" s="1791">
        <f>$A$4</f>
        <v>20</v>
      </c>
      <c r="B430" s="2922">
        <v>2.57</v>
      </c>
      <c r="C430" s="2869" t="s">
        <v>2552</v>
      </c>
      <c r="D430" s="1611" t="s">
        <v>2553</v>
      </c>
      <c r="E430" s="1617" t="s">
        <v>2485</v>
      </c>
      <c r="F430" s="1622">
        <v>1</v>
      </c>
      <c r="G430" s="2199"/>
      <c r="H430" s="1501">
        <f t="shared" si="9"/>
        <v>0</v>
      </c>
    </row>
    <row r="431" spans="1:8" s="2" customFormat="1">
      <c r="A431" s="1763"/>
      <c r="B431" s="1618"/>
      <c r="C431" s="1616"/>
      <c r="D431" s="2165"/>
      <c r="E431" s="1617"/>
      <c r="F431" s="1622"/>
      <c r="G431" s="2199"/>
      <c r="H431" s="1501" t="str">
        <f t="shared" si="9"/>
        <v/>
      </c>
    </row>
    <row r="432" spans="1:8" s="2" customFormat="1">
      <c r="A432" s="1763"/>
      <c r="B432" s="2934" t="s">
        <v>597</v>
      </c>
      <c r="C432" s="2902"/>
      <c r="D432" s="2879" t="s">
        <v>1139</v>
      </c>
      <c r="E432" s="2905"/>
      <c r="F432" s="2906"/>
      <c r="G432" s="2199"/>
      <c r="H432" s="1501" t="str">
        <f t="shared" si="9"/>
        <v/>
      </c>
    </row>
    <row r="433" spans="1:8" s="2" customFormat="1">
      <c r="A433" s="1763"/>
      <c r="B433" s="2934"/>
      <c r="C433" s="2902"/>
      <c r="D433" s="2879"/>
      <c r="E433" s="2905"/>
      <c r="F433" s="2906"/>
      <c r="G433" s="2199"/>
      <c r="H433" s="1501" t="str">
        <f t="shared" si="9"/>
        <v/>
      </c>
    </row>
    <row r="434" spans="1:8" s="2" customFormat="1">
      <c r="A434" s="1763"/>
      <c r="B434" s="2934"/>
      <c r="C434" s="2902"/>
      <c r="D434" s="2907" t="s">
        <v>2557</v>
      </c>
      <c r="E434" s="2905"/>
      <c r="F434" s="2906"/>
      <c r="G434" s="2199"/>
      <c r="H434" s="1501" t="str">
        <f t="shared" si="9"/>
        <v/>
      </c>
    </row>
    <row r="435" spans="1:8" s="2" customFormat="1">
      <c r="A435" s="1763"/>
      <c r="B435" s="2905"/>
      <c r="C435" s="2904"/>
      <c r="D435" s="2908"/>
      <c r="E435" s="2905"/>
      <c r="F435" s="2906"/>
      <c r="G435" s="2199"/>
      <c r="H435" s="1501" t="str">
        <f t="shared" si="9"/>
        <v/>
      </c>
    </row>
    <row r="436" spans="1:8" s="2" customFormat="1">
      <c r="A436" s="1791">
        <f>$A$4</f>
        <v>20</v>
      </c>
      <c r="B436" s="2922">
        <v>2.58</v>
      </c>
      <c r="C436" s="2869" t="s">
        <v>2515</v>
      </c>
      <c r="D436" s="2886" t="s">
        <v>1148</v>
      </c>
      <c r="E436" s="1550" t="s">
        <v>561</v>
      </c>
      <c r="F436" s="2885">
        <v>300</v>
      </c>
      <c r="G436" s="2199"/>
      <c r="H436" s="1501">
        <f t="shared" si="9"/>
        <v>0</v>
      </c>
    </row>
    <row r="437" spans="1:8" s="2" customFormat="1">
      <c r="A437" s="1763"/>
      <c r="B437" s="2905"/>
      <c r="C437" s="1620"/>
      <c r="D437" s="2886"/>
      <c r="E437" s="1550"/>
      <c r="F437" s="2885"/>
      <c r="G437" s="2199"/>
      <c r="H437" s="1501" t="str">
        <f t="shared" si="9"/>
        <v/>
      </c>
    </row>
    <row r="438" spans="1:8" s="2" customFormat="1">
      <c r="A438" s="1791">
        <f>$A$4</f>
        <v>20</v>
      </c>
      <c r="B438" s="2922">
        <v>2.59</v>
      </c>
      <c r="C438" s="2869" t="s">
        <v>2515</v>
      </c>
      <c r="D438" s="2035" t="s">
        <v>1165</v>
      </c>
      <c r="E438" s="2884" t="s">
        <v>2485</v>
      </c>
      <c r="F438" s="2885">
        <v>2</v>
      </c>
      <c r="G438" s="2199"/>
      <c r="H438" s="1501">
        <f t="shared" si="9"/>
        <v>0</v>
      </c>
    </row>
    <row r="439" spans="1:8" s="2" customFormat="1">
      <c r="A439" s="1763"/>
      <c r="B439" s="2905"/>
      <c r="C439" s="1620"/>
      <c r="D439" s="2035"/>
      <c r="E439" s="2884"/>
      <c r="F439" s="2885"/>
      <c r="G439" s="2199"/>
      <c r="H439" s="1501" t="str">
        <f t="shared" si="9"/>
        <v/>
      </c>
    </row>
    <row r="440" spans="1:8" s="2" customFormat="1">
      <c r="A440" s="1791">
        <f>$A$4</f>
        <v>20</v>
      </c>
      <c r="B440" s="2925">
        <v>2.6</v>
      </c>
      <c r="C440" s="2869" t="s">
        <v>2515</v>
      </c>
      <c r="D440" s="2035" t="s">
        <v>1167</v>
      </c>
      <c r="E440" s="2884" t="s">
        <v>2485</v>
      </c>
      <c r="F440" s="2885">
        <v>4</v>
      </c>
      <c r="G440" s="2199"/>
      <c r="H440" s="1501">
        <f t="shared" ref="H440:H445" si="10">IF(E440="","",ROUND(F440*G440,2))</f>
        <v>0</v>
      </c>
    </row>
    <row r="441" spans="1:8" s="2" customFormat="1">
      <c r="A441" s="1763"/>
      <c r="B441" s="2905"/>
      <c r="C441" s="1612"/>
      <c r="D441" s="1611"/>
      <c r="E441" s="1617"/>
      <c r="F441" s="2927"/>
      <c r="G441" s="2199"/>
      <c r="H441" s="1501" t="str">
        <f t="shared" si="10"/>
        <v/>
      </c>
    </row>
    <row r="442" spans="1:8" s="2" customFormat="1">
      <c r="A442" s="1763"/>
      <c r="B442" s="2934" t="s">
        <v>586</v>
      </c>
      <c r="C442" s="1612"/>
      <c r="D442" s="2910" t="s">
        <v>1235</v>
      </c>
      <c r="E442" s="1617"/>
      <c r="F442" s="2927"/>
      <c r="G442" s="2199"/>
      <c r="H442" s="1501" t="str">
        <f t="shared" si="10"/>
        <v/>
      </c>
    </row>
    <row r="443" spans="1:8" s="2" customFormat="1">
      <c r="A443" s="1763"/>
      <c r="B443" s="2934"/>
      <c r="C443" s="1612"/>
      <c r="D443" s="2910"/>
      <c r="E443" s="1617"/>
      <c r="F443" s="2927"/>
      <c r="G443" s="2199"/>
      <c r="H443" s="1501" t="str">
        <f t="shared" si="10"/>
        <v/>
      </c>
    </row>
    <row r="444" spans="1:8" s="2" customFormat="1" ht="26.4">
      <c r="A444" s="1791">
        <f>$A$4</f>
        <v>20</v>
      </c>
      <c r="B444" s="2922">
        <v>2.61</v>
      </c>
      <c r="C444" s="1612" t="s">
        <v>2515</v>
      </c>
      <c r="D444" s="1626" t="s">
        <v>2558</v>
      </c>
      <c r="E444" s="1617" t="s">
        <v>561</v>
      </c>
      <c r="F444" s="1627">
        <v>530</v>
      </c>
      <c r="G444" s="2199"/>
      <c r="H444" s="1501">
        <f t="shared" si="10"/>
        <v>0</v>
      </c>
    </row>
    <row r="445" spans="1:8" s="2" customFormat="1">
      <c r="A445" s="1763"/>
      <c r="B445" s="1618"/>
      <c r="C445" s="1616"/>
      <c r="D445" s="2165"/>
      <c r="E445" s="1617"/>
      <c r="F445" s="1622"/>
      <c r="G445" s="2199"/>
      <c r="H445" s="1501" t="str">
        <f t="shared" si="10"/>
        <v/>
      </c>
    </row>
    <row r="446" spans="1:8" s="2" customFormat="1">
      <c r="A446" s="1763"/>
      <c r="B446" s="2922"/>
      <c r="C446" s="1616"/>
      <c r="D446" s="967"/>
      <c r="E446" s="1617"/>
      <c r="F446" s="2935"/>
      <c r="G446" s="2199"/>
      <c r="H446" s="1614"/>
    </row>
    <row r="447" spans="1:8" s="2" customFormat="1">
      <c r="A447" s="1763"/>
      <c r="B447" s="2921"/>
      <c r="C447" s="2869"/>
      <c r="D447" s="863"/>
      <c r="E447" s="1612"/>
      <c r="F447" s="2933"/>
      <c r="G447" s="2199"/>
      <c r="H447" s="1625"/>
    </row>
    <row r="448" spans="1:8" s="2" customFormat="1">
      <c r="A448" s="1786"/>
      <c r="B448" s="787"/>
      <c r="C448" s="861"/>
      <c r="D448" s="862"/>
      <c r="E448" s="800"/>
      <c r="F448" s="800"/>
      <c r="G448" s="1485"/>
      <c r="H448" s="2936"/>
    </row>
    <row r="449" spans="1:8" s="2" customFormat="1">
      <c r="A449" s="2566"/>
      <c r="B449" s="566"/>
      <c r="C449" s="419"/>
      <c r="D449" s="413" t="s">
        <v>289</v>
      </c>
      <c r="E449" s="425"/>
      <c r="F449" s="425"/>
      <c r="G449" s="1486"/>
      <c r="H449" s="2937">
        <f>SUM(H374:H447)</f>
        <v>0</v>
      </c>
    </row>
    <row r="450" spans="1:8" s="2" customFormat="1">
      <c r="A450" s="1763"/>
      <c r="B450" s="1791"/>
      <c r="C450" s="1616"/>
      <c r="D450" s="1552" t="s">
        <v>290</v>
      </c>
      <c r="E450" s="2196"/>
      <c r="F450" s="1550"/>
      <c r="G450" s="2199"/>
      <c r="H450" s="1625">
        <f>H449</f>
        <v>0</v>
      </c>
    </row>
    <row r="451" spans="1:8" s="2" customFormat="1">
      <c r="A451" s="1763"/>
      <c r="B451" s="2905"/>
      <c r="C451" s="1612"/>
      <c r="D451" s="2035"/>
      <c r="E451" s="2911"/>
      <c r="F451" s="2885"/>
      <c r="G451" s="2199"/>
      <c r="H451" s="1614"/>
    </row>
    <row r="452" spans="1:8" s="2" customFormat="1">
      <c r="A452" s="1791">
        <f>$A$4</f>
        <v>20</v>
      </c>
      <c r="B452" s="2922">
        <v>2.62</v>
      </c>
      <c r="C452" s="1612" t="s">
        <v>2515</v>
      </c>
      <c r="D452" s="2035" t="s">
        <v>2533</v>
      </c>
      <c r="E452" s="2911" t="s">
        <v>561</v>
      </c>
      <c r="F452" s="2885">
        <v>5</v>
      </c>
      <c r="G452" s="2199"/>
      <c r="H452" s="1501">
        <f t="shared" ref="H452:H515" si="11">IF(E452="","",ROUND(F452*G452,2))</f>
        <v>0</v>
      </c>
    </row>
    <row r="453" spans="1:8" s="2" customFormat="1">
      <c r="A453" s="1763"/>
      <c r="B453" s="2905"/>
      <c r="C453" s="1612"/>
      <c r="D453" s="2035"/>
      <c r="E453" s="2911"/>
      <c r="F453" s="2885"/>
      <c r="G453" s="2199"/>
      <c r="H453" s="1501" t="str">
        <f t="shared" si="11"/>
        <v/>
      </c>
    </row>
    <row r="454" spans="1:8" s="2" customFormat="1" ht="17.25" customHeight="1">
      <c r="A454" s="1791">
        <f>$A$4</f>
        <v>20</v>
      </c>
      <c r="B454" s="2922">
        <v>2.63</v>
      </c>
      <c r="C454" s="1612" t="s">
        <v>2515</v>
      </c>
      <c r="D454" s="1626" t="s">
        <v>2559</v>
      </c>
      <c r="E454" s="2911" t="s">
        <v>561</v>
      </c>
      <c r="F454" s="2885">
        <v>10</v>
      </c>
      <c r="G454" s="2199"/>
      <c r="H454" s="1501">
        <f t="shared" si="11"/>
        <v>0</v>
      </c>
    </row>
    <row r="455" spans="1:8" s="2" customFormat="1">
      <c r="A455" s="1763"/>
      <c r="B455" s="1618"/>
      <c r="C455" s="1616"/>
      <c r="D455" s="2165"/>
      <c r="E455" s="1617"/>
      <c r="F455" s="1622"/>
      <c r="G455" s="2199"/>
      <c r="H455" s="1501" t="str">
        <f t="shared" si="11"/>
        <v/>
      </c>
    </row>
    <row r="456" spans="1:8" s="2" customFormat="1">
      <c r="A456" s="1791">
        <f>$A$4</f>
        <v>20</v>
      </c>
      <c r="B456" s="2922">
        <v>2.64</v>
      </c>
      <c r="C456" s="1612" t="s">
        <v>2535</v>
      </c>
      <c r="D456" s="2914" t="s">
        <v>2536</v>
      </c>
      <c r="E456" s="2913" t="s">
        <v>2485</v>
      </c>
      <c r="F456" s="1627">
        <v>8</v>
      </c>
      <c r="G456" s="2199"/>
      <c r="H456" s="1501">
        <f t="shared" si="11"/>
        <v>0</v>
      </c>
    </row>
    <row r="457" spans="1:8" s="2" customFormat="1">
      <c r="A457" s="1763"/>
      <c r="B457" s="2905"/>
      <c r="C457" s="1612"/>
      <c r="D457" s="2914"/>
      <c r="E457" s="2913"/>
      <c r="F457" s="2913"/>
      <c r="G457" s="2199"/>
      <c r="H457" s="1501" t="str">
        <f t="shared" si="11"/>
        <v/>
      </c>
    </row>
    <row r="458" spans="1:8" s="2" customFormat="1">
      <c r="A458" s="1791">
        <f>$A$4</f>
        <v>20</v>
      </c>
      <c r="B458" s="2922">
        <v>2.65</v>
      </c>
      <c r="C458" s="1612" t="s">
        <v>2535</v>
      </c>
      <c r="D458" s="2035" t="s">
        <v>2537</v>
      </c>
      <c r="E458" s="2911" t="s">
        <v>2485</v>
      </c>
      <c r="F458" s="1627">
        <v>8</v>
      </c>
      <c r="G458" s="2199"/>
      <c r="H458" s="1501">
        <f t="shared" si="11"/>
        <v>0</v>
      </c>
    </row>
    <row r="459" spans="1:8" s="2" customFormat="1">
      <c r="A459" s="1763"/>
      <c r="B459" s="1617"/>
      <c r="C459" s="1612"/>
      <c r="D459" s="2035"/>
      <c r="E459" s="2911"/>
      <c r="F459" s="1627"/>
      <c r="G459" s="2199"/>
      <c r="H459" s="1501" t="str">
        <f t="shared" si="11"/>
        <v/>
      </c>
    </row>
    <row r="460" spans="1:8" s="2" customFormat="1">
      <c r="A460" s="1763"/>
      <c r="B460" s="2934" t="s">
        <v>597</v>
      </c>
      <c r="C460" s="1612"/>
      <c r="D460" s="2910" t="s">
        <v>2538</v>
      </c>
      <c r="E460" s="1617"/>
      <c r="F460" s="2927"/>
      <c r="G460" s="2199"/>
      <c r="H460" s="1501" t="str">
        <f t="shared" si="11"/>
        <v/>
      </c>
    </row>
    <row r="461" spans="1:8" s="2" customFormat="1">
      <c r="A461" s="1763"/>
      <c r="B461" s="2905"/>
      <c r="C461" s="1612"/>
      <c r="D461" s="2910"/>
      <c r="E461" s="1617"/>
      <c r="F461" s="2927"/>
      <c r="G461" s="2199"/>
      <c r="H461" s="1501" t="str">
        <f t="shared" si="11"/>
        <v/>
      </c>
    </row>
    <row r="462" spans="1:8" s="2" customFormat="1">
      <c r="A462" s="1791">
        <f>$A$4</f>
        <v>20</v>
      </c>
      <c r="B462" s="2922">
        <v>2.66</v>
      </c>
      <c r="C462" s="1612" t="s">
        <v>2552</v>
      </c>
      <c r="D462" s="1626" t="s">
        <v>2560</v>
      </c>
      <c r="E462" s="1617" t="s">
        <v>2485</v>
      </c>
      <c r="F462" s="1627">
        <v>2</v>
      </c>
      <c r="G462" s="2199"/>
      <c r="H462" s="1501">
        <f t="shared" si="11"/>
        <v>0</v>
      </c>
    </row>
    <row r="463" spans="1:8" s="2" customFormat="1">
      <c r="A463" s="1763"/>
      <c r="B463" s="2905"/>
      <c r="C463" s="1612"/>
      <c r="D463" s="2035"/>
      <c r="E463" s="2911"/>
      <c r="F463" s="2885"/>
      <c r="G463" s="2199"/>
      <c r="H463" s="1501" t="str">
        <f t="shared" si="11"/>
        <v/>
      </c>
    </row>
    <row r="464" spans="1:8" s="2" customFormat="1">
      <c r="A464" s="1791">
        <f>$A$4</f>
        <v>20</v>
      </c>
      <c r="B464" s="2922">
        <v>2.67</v>
      </c>
      <c r="C464" s="1612" t="s">
        <v>2552</v>
      </c>
      <c r="D464" s="1626" t="s">
        <v>2561</v>
      </c>
      <c r="E464" s="2911" t="s">
        <v>2485</v>
      </c>
      <c r="F464" s="2885">
        <v>2</v>
      </c>
      <c r="G464" s="2199"/>
      <c r="H464" s="1501">
        <f t="shared" si="11"/>
        <v>0</v>
      </c>
    </row>
    <row r="465" spans="1:8" s="2" customFormat="1">
      <c r="A465" s="1763"/>
      <c r="B465" s="2905"/>
      <c r="C465" s="1612"/>
      <c r="D465" s="1626"/>
      <c r="E465" s="2911"/>
      <c r="F465" s="2885"/>
      <c r="G465" s="2199"/>
      <c r="H465" s="1501" t="str">
        <f t="shared" si="11"/>
        <v/>
      </c>
    </row>
    <row r="466" spans="1:8" s="2" customFormat="1">
      <c r="A466" s="1791">
        <f>$A$4</f>
        <v>20</v>
      </c>
      <c r="B466" s="2922">
        <v>2.68</v>
      </c>
      <c r="C466" s="1612" t="s">
        <v>2546</v>
      </c>
      <c r="D466" s="1626" t="s">
        <v>2562</v>
      </c>
      <c r="E466" s="1617" t="s">
        <v>230</v>
      </c>
      <c r="F466" s="1627">
        <v>1</v>
      </c>
      <c r="G466" s="2199"/>
      <c r="H466" s="1501">
        <f t="shared" si="11"/>
        <v>0</v>
      </c>
    </row>
    <row r="467" spans="1:8" s="2" customFormat="1">
      <c r="A467" s="1763"/>
      <c r="B467" s="1617"/>
      <c r="C467" s="1612"/>
      <c r="D467" s="2035"/>
      <c r="E467" s="2911"/>
      <c r="F467" s="2885"/>
      <c r="G467" s="2199"/>
      <c r="H467" s="1501" t="str">
        <f t="shared" si="11"/>
        <v/>
      </c>
    </row>
    <row r="468" spans="1:8" s="2" customFormat="1">
      <c r="A468" s="1791">
        <f>$A$4</f>
        <v>20</v>
      </c>
      <c r="B468" s="1753">
        <v>3</v>
      </c>
      <c r="C468" s="1687"/>
      <c r="D468" s="2938" t="s">
        <v>2563</v>
      </c>
      <c r="E468" s="2939"/>
      <c r="F468" s="1670"/>
      <c r="G468" s="2199"/>
      <c r="H468" s="1501" t="str">
        <f t="shared" si="11"/>
        <v/>
      </c>
    </row>
    <row r="469" spans="1:8" s="2" customFormat="1">
      <c r="A469" s="1763"/>
      <c r="B469" s="1667"/>
      <c r="C469" s="1687"/>
      <c r="D469" s="2030"/>
      <c r="E469" s="2939"/>
      <c r="F469" s="1670"/>
      <c r="G469" s="2199"/>
      <c r="H469" s="1501" t="str">
        <f t="shared" si="11"/>
        <v/>
      </c>
    </row>
    <row r="470" spans="1:8" s="2" customFormat="1">
      <c r="A470" s="1763"/>
      <c r="B470" s="2919" t="s">
        <v>543</v>
      </c>
      <c r="C470" s="1610"/>
      <c r="D470" s="866" t="s">
        <v>2564</v>
      </c>
      <c r="E470" s="2940"/>
      <c r="F470" s="2855"/>
      <c r="G470" s="2199"/>
      <c r="H470" s="1501" t="str">
        <f t="shared" si="11"/>
        <v/>
      </c>
    </row>
    <row r="471" spans="1:8" s="2" customFormat="1">
      <c r="A471" s="1763"/>
      <c r="B471" s="2921"/>
      <c r="C471" s="1610"/>
      <c r="D471" s="857"/>
      <c r="E471" s="2940"/>
      <c r="F471" s="2855"/>
      <c r="G471" s="2199"/>
      <c r="H471" s="1501" t="str">
        <f t="shared" si="11"/>
        <v/>
      </c>
    </row>
    <row r="472" spans="1:8" s="12" customFormat="1" ht="26.4">
      <c r="A472" s="1791">
        <f>$A$4</f>
        <v>20</v>
      </c>
      <c r="B472" s="2922">
        <v>3.1</v>
      </c>
      <c r="C472" s="1610" t="s">
        <v>2488</v>
      </c>
      <c r="D472" s="864" t="s">
        <v>1103</v>
      </c>
      <c r="E472" s="1610" t="s">
        <v>2485</v>
      </c>
      <c r="F472" s="2855">
        <v>1</v>
      </c>
      <c r="G472" s="2199"/>
      <c r="H472" s="1501">
        <f t="shared" si="11"/>
        <v>0</v>
      </c>
    </row>
    <row r="473" spans="1:8" s="12" customFormat="1">
      <c r="A473" s="1763"/>
      <c r="B473" s="2921"/>
      <c r="C473" s="1610"/>
      <c r="D473" s="864"/>
      <c r="E473" s="1610"/>
      <c r="F473" s="2855"/>
      <c r="G473" s="2199"/>
      <c r="H473" s="1501" t="str">
        <f t="shared" si="11"/>
        <v/>
      </c>
    </row>
    <row r="474" spans="1:8" s="2" customFormat="1" ht="26.4">
      <c r="A474" s="1791">
        <f>$A$4</f>
        <v>20</v>
      </c>
      <c r="B474" s="2922">
        <v>3.2</v>
      </c>
      <c r="C474" s="1610" t="s">
        <v>2486</v>
      </c>
      <c r="D474" s="2859" t="s">
        <v>2565</v>
      </c>
      <c r="E474" s="2940" t="s">
        <v>2485</v>
      </c>
      <c r="F474" s="2855">
        <v>1</v>
      </c>
      <c r="G474" s="2199"/>
      <c r="H474" s="1501">
        <f t="shared" si="11"/>
        <v>0</v>
      </c>
    </row>
    <row r="475" spans="1:8" s="2" customFormat="1">
      <c r="A475" s="1763"/>
      <c r="B475" s="2921"/>
      <c r="C475" s="1610"/>
      <c r="D475" s="857"/>
      <c r="E475" s="2940"/>
      <c r="F475" s="2855"/>
      <c r="G475" s="2858"/>
      <c r="H475" s="1501" t="str">
        <f t="shared" si="11"/>
        <v/>
      </c>
    </row>
    <row r="476" spans="1:8" s="2" customFormat="1">
      <c r="A476" s="1791">
        <f>$A$4</f>
        <v>20</v>
      </c>
      <c r="B476" s="2922">
        <v>3.3</v>
      </c>
      <c r="C476" s="1610" t="s">
        <v>2490</v>
      </c>
      <c r="D476" s="857" t="s">
        <v>2566</v>
      </c>
      <c r="E476" s="1624"/>
      <c r="F476" s="1613"/>
      <c r="G476" s="2199"/>
      <c r="H476" s="1501" t="str">
        <f t="shared" si="11"/>
        <v/>
      </c>
    </row>
    <row r="477" spans="1:8" s="2" customFormat="1">
      <c r="A477" s="1763"/>
      <c r="B477" s="2921"/>
      <c r="C477" s="1610"/>
      <c r="D477" s="857"/>
      <c r="E477" s="2940"/>
      <c r="F477" s="2855"/>
      <c r="G477" s="2858"/>
      <c r="H477" s="1501" t="str">
        <f t="shared" si="11"/>
        <v/>
      </c>
    </row>
    <row r="478" spans="1:8" s="2" customFormat="1" ht="26.4">
      <c r="A478" s="1791">
        <f>$A$4</f>
        <v>20</v>
      </c>
      <c r="B478" s="2922">
        <v>3.4</v>
      </c>
      <c r="C478" s="1610" t="s">
        <v>2486</v>
      </c>
      <c r="D478" s="2859" t="s">
        <v>2567</v>
      </c>
      <c r="E478" s="2940" t="s">
        <v>2485</v>
      </c>
      <c r="F478" s="2855">
        <v>1</v>
      </c>
      <c r="G478" s="2858"/>
      <c r="H478" s="1501">
        <f t="shared" si="11"/>
        <v>0</v>
      </c>
    </row>
    <row r="479" spans="1:8" s="2" customFormat="1">
      <c r="A479" s="1763"/>
      <c r="B479" s="2921"/>
      <c r="C479" s="1610"/>
      <c r="D479" s="857"/>
      <c r="E479" s="2940"/>
      <c r="F479" s="2855"/>
      <c r="G479" s="2858"/>
      <c r="H479" s="1501" t="str">
        <f t="shared" si="11"/>
        <v/>
      </c>
    </row>
    <row r="480" spans="1:8" s="12" customFormat="1" ht="26.4">
      <c r="A480" s="1791">
        <f>$A$4</f>
        <v>20</v>
      </c>
      <c r="B480" s="2922">
        <v>3.5</v>
      </c>
      <c r="C480" s="1610" t="s">
        <v>2568</v>
      </c>
      <c r="D480" s="858" t="s">
        <v>2569</v>
      </c>
      <c r="E480" s="1610" t="s">
        <v>2485</v>
      </c>
      <c r="F480" s="2855">
        <v>1</v>
      </c>
      <c r="G480" s="2858"/>
      <c r="H480" s="1501">
        <f t="shared" si="11"/>
        <v>0</v>
      </c>
    </row>
    <row r="481" spans="1:8" s="2" customFormat="1">
      <c r="A481" s="1763"/>
      <c r="B481" s="2921"/>
      <c r="C481" s="1610"/>
      <c r="D481" s="857"/>
      <c r="E481" s="2940"/>
      <c r="F481" s="2855"/>
      <c r="G481" s="2858"/>
      <c r="H481" s="1501" t="str">
        <f t="shared" si="11"/>
        <v/>
      </c>
    </row>
    <row r="482" spans="1:8" s="2" customFormat="1" ht="26.4">
      <c r="A482" s="1791">
        <f>$A$4</f>
        <v>20</v>
      </c>
      <c r="B482" s="2922">
        <v>3.6</v>
      </c>
      <c r="C482" s="1610" t="s">
        <v>2486</v>
      </c>
      <c r="D482" s="2859" t="s">
        <v>2570</v>
      </c>
      <c r="E482" s="2940" t="s">
        <v>2485</v>
      </c>
      <c r="F482" s="2855">
        <v>1</v>
      </c>
      <c r="G482" s="2858"/>
      <c r="H482" s="1501">
        <f t="shared" si="11"/>
        <v>0</v>
      </c>
    </row>
    <row r="483" spans="1:8" s="2" customFormat="1">
      <c r="A483" s="1763"/>
      <c r="B483" s="2921"/>
      <c r="C483" s="1610"/>
      <c r="D483" s="857"/>
      <c r="E483" s="2940"/>
      <c r="F483" s="2855"/>
      <c r="G483" s="2858"/>
      <c r="H483" s="1501" t="str">
        <f t="shared" si="11"/>
        <v/>
      </c>
    </row>
    <row r="484" spans="1:8" s="2" customFormat="1" ht="26.4">
      <c r="A484" s="1791">
        <f>$A$4</f>
        <v>20</v>
      </c>
      <c r="B484" s="2922">
        <v>3.7</v>
      </c>
      <c r="C484" s="1610" t="s">
        <v>2483</v>
      </c>
      <c r="D484" s="1647" t="s">
        <v>2571</v>
      </c>
      <c r="E484" s="1610" t="s">
        <v>2485</v>
      </c>
      <c r="F484" s="2852">
        <v>2</v>
      </c>
      <c r="G484" s="2858"/>
      <c r="H484" s="1501">
        <f t="shared" si="11"/>
        <v>0</v>
      </c>
    </row>
    <row r="485" spans="1:8" s="2" customFormat="1">
      <c r="A485" s="1763"/>
      <c r="B485" s="2921"/>
      <c r="C485" s="1610"/>
      <c r="D485" s="856"/>
      <c r="E485" s="1610"/>
      <c r="F485" s="2853"/>
      <c r="G485" s="2858"/>
      <c r="H485" s="1501" t="str">
        <f t="shared" si="11"/>
        <v/>
      </c>
    </row>
    <row r="486" spans="1:8" s="2" customFormat="1" ht="26.4">
      <c r="A486" s="1791">
        <f>$A$4</f>
        <v>20</v>
      </c>
      <c r="B486" s="2922">
        <v>3.8</v>
      </c>
      <c r="C486" s="1610" t="s">
        <v>2486</v>
      </c>
      <c r="D486" s="2859" t="s">
        <v>2572</v>
      </c>
      <c r="E486" s="1610" t="s">
        <v>2485</v>
      </c>
      <c r="F486" s="2855">
        <v>2</v>
      </c>
      <c r="G486" s="2199"/>
      <c r="H486" s="1501">
        <f t="shared" si="11"/>
        <v>0</v>
      </c>
    </row>
    <row r="487" spans="1:8" s="2" customFormat="1">
      <c r="A487" s="1763"/>
      <c r="B487" s="2921"/>
      <c r="C487" s="1610"/>
      <c r="D487" s="857"/>
      <c r="E487" s="1610"/>
      <c r="F487" s="2855"/>
      <c r="G487" s="2199"/>
      <c r="H487" s="1501" t="str">
        <f t="shared" si="11"/>
        <v/>
      </c>
    </row>
    <row r="488" spans="1:8" s="2" customFormat="1">
      <c r="A488" s="1791">
        <f>$A$4</f>
        <v>20</v>
      </c>
      <c r="B488" s="2922">
        <v>3.9</v>
      </c>
      <c r="C488" s="1610" t="s">
        <v>2502</v>
      </c>
      <c r="D488" s="857" t="s">
        <v>2503</v>
      </c>
      <c r="E488" s="1624"/>
      <c r="F488" s="1613"/>
      <c r="G488" s="2199"/>
      <c r="H488" s="1501" t="str">
        <f t="shared" si="11"/>
        <v/>
      </c>
    </row>
    <row r="489" spans="1:8" s="2" customFormat="1">
      <c r="A489" s="1763"/>
      <c r="B489" s="2921"/>
      <c r="C489" s="1610"/>
      <c r="D489" s="857"/>
      <c r="E489" s="1783"/>
      <c r="F489" s="2860"/>
      <c r="G489" s="2858"/>
      <c r="H489" s="1501" t="str">
        <f t="shared" si="11"/>
        <v/>
      </c>
    </row>
    <row r="490" spans="1:8" s="2" customFormat="1" ht="26.4">
      <c r="A490" s="1791">
        <f>$A$4</f>
        <v>20</v>
      </c>
      <c r="B490" s="2925">
        <v>3.1</v>
      </c>
      <c r="C490" s="1610" t="s">
        <v>2486</v>
      </c>
      <c r="D490" s="2859" t="s">
        <v>2504</v>
      </c>
      <c r="E490" s="1783" t="s">
        <v>2485</v>
      </c>
      <c r="F490" s="2860">
        <v>2</v>
      </c>
      <c r="G490" s="2858"/>
      <c r="H490" s="1501">
        <f t="shared" si="11"/>
        <v>0</v>
      </c>
    </row>
    <row r="491" spans="1:8" s="2" customFormat="1">
      <c r="A491" s="1763"/>
      <c r="B491" s="2921"/>
      <c r="C491" s="1610"/>
      <c r="D491" s="857"/>
      <c r="E491" s="1610"/>
      <c r="F491" s="2855"/>
      <c r="G491" s="2199"/>
      <c r="H491" s="1501" t="str">
        <f t="shared" si="11"/>
        <v/>
      </c>
    </row>
    <row r="492" spans="1:8" s="2" customFormat="1">
      <c r="A492" s="1791">
        <f>$A$4</f>
        <v>20</v>
      </c>
      <c r="B492" s="2922">
        <v>3.11</v>
      </c>
      <c r="C492" s="1610" t="s">
        <v>2502</v>
      </c>
      <c r="D492" s="857" t="s">
        <v>2509</v>
      </c>
      <c r="E492" s="1624"/>
      <c r="F492" s="1613"/>
      <c r="G492" s="2199"/>
      <c r="H492" s="1501" t="str">
        <f t="shared" si="11"/>
        <v/>
      </c>
    </row>
    <row r="493" spans="1:8" s="2" customFormat="1">
      <c r="A493" s="1763"/>
      <c r="B493" s="2921"/>
      <c r="C493" s="1610"/>
      <c r="D493" s="857"/>
      <c r="E493" s="1610"/>
      <c r="F493" s="2855"/>
      <c r="G493" s="2199"/>
      <c r="H493" s="1501" t="str">
        <f t="shared" si="11"/>
        <v/>
      </c>
    </row>
    <row r="494" spans="1:8" s="2" customFormat="1" ht="26.4">
      <c r="A494" s="1791">
        <f>$A$4</f>
        <v>20</v>
      </c>
      <c r="B494" s="2922">
        <v>3.12</v>
      </c>
      <c r="C494" s="1610" t="s">
        <v>2486</v>
      </c>
      <c r="D494" s="2859" t="s">
        <v>2510</v>
      </c>
      <c r="E494" s="1610" t="s">
        <v>2485</v>
      </c>
      <c r="F494" s="2855">
        <v>4</v>
      </c>
      <c r="G494" s="2199"/>
      <c r="H494" s="1501">
        <f t="shared" si="11"/>
        <v>0</v>
      </c>
    </row>
    <row r="495" spans="1:8" s="2" customFormat="1">
      <c r="A495" s="1763"/>
      <c r="B495" s="2921"/>
      <c r="C495" s="1610"/>
      <c r="D495" s="857"/>
      <c r="E495" s="1610"/>
      <c r="F495" s="2855"/>
      <c r="G495" s="2199"/>
      <c r="H495" s="1501" t="str">
        <f t="shared" si="11"/>
        <v/>
      </c>
    </row>
    <row r="496" spans="1:8" s="2" customFormat="1" ht="26.4">
      <c r="A496" s="1791">
        <f>$A$4</f>
        <v>20</v>
      </c>
      <c r="B496" s="2922">
        <v>3.13</v>
      </c>
      <c r="C496" s="1610" t="s">
        <v>2511</v>
      </c>
      <c r="D496" s="2859" t="s">
        <v>2573</v>
      </c>
      <c r="E496" s="1783" t="s">
        <v>2485</v>
      </c>
      <c r="F496" s="2860">
        <v>1</v>
      </c>
      <c r="G496" s="2199"/>
      <c r="H496" s="1501">
        <f t="shared" si="11"/>
        <v>0</v>
      </c>
    </row>
    <row r="497" spans="1:8" s="2" customFormat="1">
      <c r="A497" s="1763"/>
      <c r="B497" s="2921"/>
      <c r="C497" s="1610"/>
      <c r="D497" s="857"/>
      <c r="E497" s="1610"/>
      <c r="F497" s="2855"/>
      <c r="G497" s="2199"/>
      <c r="H497" s="1501" t="str">
        <f t="shared" si="11"/>
        <v/>
      </c>
    </row>
    <row r="498" spans="1:8" s="2" customFormat="1">
      <c r="A498" s="1763"/>
      <c r="B498" s="2941" t="s">
        <v>549</v>
      </c>
      <c r="C498" s="1623"/>
      <c r="D498" s="867" t="s">
        <v>1121</v>
      </c>
      <c r="E498" s="1624"/>
      <c r="F498" s="1613"/>
      <c r="G498" s="2199"/>
      <c r="H498" s="1501" t="str">
        <f t="shared" si="11"/>
        <v/>
      </c>
    </row>
    <row r="499" spans="1:8" s="2" customFormat="1">
      <c r="A499" s="1763"/>
      <c r="B499" s="2941"/>
      <c r="C499" s="1623"/>
      <c r="D499" s="867"/>
      <c r="E499" s="1624"/>
      <c r="F499" s="1613"/>
      <c r="G499" s="2199"/>
      <c r="H499" s="1501" t="str">
        <f t="shared" si="11"/>
        <v/>
      </c>
    </row>
    <row r="500" spans="1:8" s="2" customFormat="1">
      <c r="A500" s="1763"/>
      <c r="B500" s="2941"/>
      <c r="C500" s="1623"/>
      <c r="D500" s="2867" t="s">
        <v>2551</v>
      </c>
      <c r="E500" s="1624"/>
      <c r="F500" s="1613"/>
      <c r="G500" s="2199"/>
      <c r="H500" s="1501" t="str">
        <f t="shared" si="11"/>
        <v/>
      </c>
    </row>
    <row r="501" spans="1:8" s="2" customFormat="1">
      <c r="A501" s="1763"/>
      <c r="B501" s="1618"/>
      <c r="C501" s="859"/>
      <c r="D501" s="2868"/>
      <c r="E501" s="1624"/>
      <c r="F501" s="1613"/>
      <c r="G501" s="2199"/>
      <c r="H501" s="1501" t="str">
        <f t="shared" si="11"/>
        <v/>
      </c>
    </row>
    <row r="502" spans="1:8" s="2" customFormat="1">
      <c r="A502" s="1791">
        <f>$A$4</f>
        <v>20</v>
      </c>
      <c r="B502" s="1618">
        <v>3.14</v>
      </c>
      <c r="C502" s="859" t="s">
        <v>2515</v>
      </c>
      <c r="D502" s="1611" t="s">
        <v>1124</v>
      </c>
      <c r="E502" s="1624" t="s">
        <v>561</v>
      </c>
      <c r="F502" s="1613">
        <v>150</v>
      </c>
      <c r="G502" s="2199"/>
      <c r="H502" s="1501">
        <f t="shared" si="11"/>
        <v>0</v>
      </c>
    </row>
    <row r="503" spans="1:8" s="2" customFormat="1">
      <c r="A503" s="1763"/>
      <c r="B503" s="1618"/>
      <c r="C503" s="859"/>
      <c r="D503" s="2868"/>
      <c r="E503" s="1624"/>
      <c r="F503" s="1613"/>
      <c r="G503" s="2199"/>
      <c r="H503" s="1501" t="str">
        <f t="shared" si="11"/>
        <v/>
      </c>
    </row>
    <row r="504" spans="1:8" s="2" customFormat="1">
      <c r="A504" s="1791">
        <f>$A$4</f>
        <v>20</v>
      </c>
      <c r="B504" s="1618">
        <v>3.15</v>
      </c>
      <c r="C504" s="859" t="s">
        <v>2515</v>
      </c>
      <c r="D504" s="1611" t="s">
        <v>1126</v>
      </c>
      <c r="E504" s="1619" t="s">
        <v>561</v>
      </c>
      <c r="F504" s="1613">
        <v>116</v>
      </c>
      <c r="G504" s="2199"/>
      <c r="H504" s="1501">
        <f t="shared" si="11"/>
        <v>0</v>
      </c>
    </row>
    <row r="505" spans="1:8" s="2" customFormat="1">
      <c r="A505" s="1763"/>
      <c r="B505" s="1618"/>
      <c r="C505" s="1610"/>
      <c r="D505" s="2868"/>
      <c r="E505" s="1624"/>
      <c r="F505" s="1613"/>
      <c r="G505" s="2199"/>
      <c r="H505" s="1501" t="str">
        <f t="shared" si="11"/>
        <v/>
      </c>
    </row>
    <row r="506" spans="1:8" s="2" customFormat="1">
      <c r="A506" s="1791">
        <f>$A$4</f>
        <v>20</v>
      </c>
      <c r="B506" s="1618">
        <v>3.16</v>
      </c>
      <c r="C506" s="859" t="s">
        <v>2515</v>
      </c>
      <c r="D506" s="1611" t="s">
        <v>2516</v>
      </c>
      <c r="E506" s="1619" t="s">
        <v>561</v>
      </c>
      <c r="F506" s="1613">
        <v>50</v>
      </c>
      <c r="G506" s="2199"/>
      <c r="H506" s="1501">
        <f t="shared" si="11"/>
        <v>0</v>
      </c>
    </row>
    <row r="507" spans="1:8" s="2" customFormat="1">
      <c r="A507" s="1763"/>
      <c r="B507" s="1618"/>
      <c r="C507" s="859"/>
      <c r="D507" s="2868"/>
      <c r="E507" s="1624"/>
      <c r="F507" s="1613"/>
      <c r="G507" s="2199"/>
      <c r="H507" s="1501" t="str">
        <f t="shared" si="11"/>
        <v/>
      </c>
    </row>
    <row r="508" spans="1:8" s="2" customFormat="1">
      <c r="A508" s="1791">
        <f>$A$4</f>
        <v>20</v>
      </c>
      <c r="B508" s="1618">
        <v>3.17</v>
      </c>
      <c r="C508" s="859" t="s">
        <v>2515</v>
      </c>
      <c r="D508" s="1611" t="s">
        <v>1128</v>
      </c>
      <c r="E508" s="1619" t="s">
        <v>561</v>
      </c>
      <c r="F508" s="1613">
        <v>430</v>
      </c>
      <c r="G508" s="2199"/>
      <c r="H508" s="1501">
        <f t="shared" si="11"/>
        <v>0</v>
      </c>
    </row>
    <row r="509" spans="1:8" s="2" customFormat="1">
      <c r="A509" s="1763"/>
      <c r="B509" s="1618"/>
      <c r="C509" s="859"/>
      <c r="D509" s="2868"/>
      <c r="E509" s="1624"/>
      <c r="F509" s="1613"/>
      <c r="G509" s="2199"/>
      <c r="H509" s="1501" t="str">
        <f t="shared" si="11"/>
        <v/>
      </c>
    </row>
    <row r="510" spans="1:8" s="2" customFormat="1">
      <c r="A510" s="1791">
        <f>$A$4</f>
        <v>20</v>
      </c>
      <c r="B510" s="1618">
        <v>3.18</v>
      </c>
      <c r="C510" s="859" t="s">
        <v>2515</v>
      </c>
      <c r="D510" s="1611" t="s">
        <v>2517</v>
      </c>
      <c r="E510" s="1619" t="s">
        <v>561</v>
      </c>
      <c r="F510" s="1613">
        <v>220</v>
      </c>
      <c r="G510" s="2199"/>
      <c r="H510" s="1501">
        <f t="shared" si="11"/>
        <v>0</v>
      </c>
    </row>
    <row r="511" spans="1:8" s="2" customFormat="1">
      <c r="A511" s="1763"/>
      <c r="B511" s="1618"/>
      <c r="C511" s="859"/>
      <c r="D511" s="2868"/>
      <c r="E511" s="1624"/>
      <c r="F511" s="1613"/>
      <c r="G511" s="2199"/>
      <c r="H511" s="1501" t="str">
        <f t="shared" si="11"/>
        <v/>
      </c>
    </row>
    <row r="512" spans="1:8" s="2" customFormat="1">
      <c r="A512" s="1791">
        <f>$A$4</f>
        <v>20</v>
      </c>
      <c r="B512" s="1618">
        <v>3.19</v>
      </c>
      <c r="C512" s="859" t="s">
        <v>2515</v>
      </c>
      <c r="D512" s="1611" t="s">
        <v>1130</v>
      </c>
      <c r="E512" s="1619" t="s">
        <v>561</v>
      </c>
      <c r="F512" s="1613">
        <v>430</v>
      </c>
      <c r="G512" s="2199"/>
      <c r="H512" s="1501">
        <f t="shared" si="11"/>
        <v>0</v>
      </c>
    </row>
    <row r="513" spans="1:8" s="2" customFormat="1">
      <c r="A513" s="1763"/>
      <c r="B513" s="1618"/>
      <c r="C513" s="2942"/>
      <c r="D513" s="1611"/>
      <c r="E513" s="1619"/>
      <c r="F513" s="1613" t="s">
        <v>2518</v>
      </c>
      <c r="G513" s="2199"/>
      <c r="H513" s="1501" t="str">
        <f t="shared" si="11"/>
        <v/>
      </c>
    </row>
    <row r="514" spans="1:8" s="2" customFormat="1" ht="15.6">
      <c r="A514" s="1791">
        <f>$A$4</f>
        <v>20</v>
      </c>
      <c r="B514" s="2943">
        <v>3.2</v>
      </c>
      <c r="C514" s="859" t="s">
        <v>2515</v>
      </c>
      <c r="D514" s="1611" t="s">
        <v>2519</v>
      </c>
      <c r="E514" s="1619" t="s">
        <v>561</v>
      </c>
      <c r="F514" s="1613">
        <v>388</v>
      </c>
      <c r="G514" s="2199"/>
      <c r="H514" s="1501">
        <f t="shared" si="11"/>
        <v>0</v>
      </c>
    </row>
    <row r="515" spans="1:8" s="2" customFormat="1">
      <c r="A515" s="1763"/>
      <c r="B515" s="2921"/>
      <c r="C515" s="1610"/>
      <c r="D515" s="857"/>
      <c r="E515" s="1783"/>
      <c r="F515" s="2860"/>
      <c r="G515" s="2858"/>
      <c r="H515" s="1501" t="str">
        <f t="shared" si="11"/>
        <v/>
      </c>
    </row>
    <row r="516" spans="1:8" s="2" customFormat="1" ht="15.6">
      <c r="A516" s="1791">
        <f>$A$4</f>
        <v>20</v>
      </c>
      <c r="B516" s="1618">
        <v>3.21</v>
      </c>
      <c r="C516" s="859" t="s">
        <v>2515</v>
      </c>
      <c r="D516" s="1611" t="s">
        <v>2520</v>
      </c>
      <c r="E516" s="1619" t="s">
        <v>561</v>
      </c>
      <c r="F516" s="1613">
        <v>116</v>
      </c>
      <c r="G516" s="2199"/>
      <c r="H516" s="1501">
        <f t="shared" ref="H516:H518" si="12">IF(E516="","",ROUND(F516*G516,2))</f>
        <v>0</v>
      </c>
    </row>
    <row r="517" spans="1:8" s="2" customFormat="1">
      <c r="A517" s="1763"/>
      <c r="B517" s="1618"/>
      <c r="C517" s="1616"/>
      <c r="D517" s="2944"/>
      <c r="E517" s="1550"/>
      <c r="F517" s="1613"/>
      <c r="G517" s="2199"/>
      <c r="H517" s="1501" t="str">
        <f t="shared" si="12"/>
        <v/>
      </c>
    </row>
    <row r="518" spans="1:8" s="2" customFormat="1">
      <c r="A518" s="1791">
        <f>$A$4</f>
        <v>20</v>
      </c>
      <c r="B518" s="1618">
        <v>3.22</v>
      </c>
      <c r="C518" s="1610" t="s">
        <v>2515</v>
      </c>
      <c r="D518" s="2945" t="s">
        <v>2522</v>
      </c>
      <c r="E518" s="1619" t="s">
        <v>561</v>
      </c>
      <c r="F518" s="1613">
        <v>10</v>
      </c>
      <c r="G518" s="2199"/>
      <c r="H518" s="1501">
        <f t="shared" si="12"/>
        <v>0</v>
      </c>
    </row>
    <row r="519" spans="1:8" s="2" customFormat="1">
      <c r="A519" s="1791"/>
      <c r="B519" s="1618"/>
      <c r="C519" s="1610"/>
      <c r="D519" s="863"/>
      <c r="E519" s="1619"/>
      <c r="F519" s="2933"/>
      <c r="G519" s="2199"/>
      <c r="H519" s="1614"/>
    </row>
    <row r="520" spans="1:8" s="2" customFormat="1">
      <c r="A520" s="1791"/>
      <c r="B520" s="1618"/>
      <c r="C520" s="1610"/>
      <c r="D520" s="863"/>
      <c r="E520" s="1619"/>
      <c r="F520" s="2933"/>
      <c r="G520" s="2199"/>
      <c r="H520" s="1614"/>
    </row>
    <row r="521" spans="1:8" s="2" customFormat="1">
      <c r="A521" s="1791"/>
      <c r="B521" s="1618"/>
      <c r="C521" s="1610"/>
      <c r="D521" s="863"/>
      <c r="E521" s="1619"/>
      <c r="F521" s="2933"/>
      <c r="G521" s="2199"/>
      <c r="H521" s="1614"/>
    </row>
    <row r="522" spans="1:8" s="12" customFormat="1">
      <c r="A522" s="1763"/>
      <c r="B522" s="2921"/>
      <c r="C522" s="2946"/>
      <c r="D522" s="864"/>
      <c r="E522" s="1610"/>
      <c r="F522" s="2855"/>
      <c r="G522" s="2932"/>
      <c r="H522" s="2947"/>
    </row>
    <row r="523" spans="1:8" s="12" customFormat="1">
      <c r="A523" s="1786"/>
      <c r="B523" s="787"/>
      <c r="C523" s="861"/>
      <c r="D523" s="862"/>
      <c r="E523" s="800"/>
      <c r="F523" s="800"/>
      <c r="G523" s="1485"/>
      <c r="H523" s="2936"/>
    </row>
    <row r="524" spans="1:8" s="12" customFormat="1">
      <c r="A524" s="2566"/>
      <c r="B524" s="566"/>
      <c r="C524" s="419"/>
      <c r="D524" s="413" t="s">
        <v>289</v>
      </c>
      <c r="E524" s="425"/>
      <c r="F524" s="425"/>
      <c r="G524" s="1486"/>
      <c r="H524" s="2937">
        <f>SUM(H450:H522)</f>
        <v>0</v>
      </c>
    </row>
    <row r="525" spans="1:8" s="12" customFormat="1">
      <c r="A525" s="1763"/>
      <c r="B525" s="1791"/>
      <c r="C525" s="1616"/>
      <c r="D525" s="1552" t="s">
        <v>290</v>
      </c>
      <c r="E525" s="2196"/>
      <c r="F525" s="1550"/>
      <c r="G525" s="2948"/>
      <c r="H525" s="1625">
        <f>H524</f>
        <v>0</v>
      </c>
    </row>
    <row r="526" spans="1:8" s="2" customFormat="1">
      <c r="A526" s="1763"/>
      <c r="B526" s="1618"/>
      <c r="C526" s="2942"/>
      <c r="D526" s="1611"/>
      <c r="E526" s="1619"/>
      <c r="F526" s="1613"/>
      <c r="G526" s="2199"/>
      <c r="H526" s="1614"/>
    </row>
    <row r="527" spans="1:8" s="2" customFormat="1">
      <c r="A527" s="1763"/>
      <c r="B527" s="2926" t="s">
        <v>558</v>
      </c>
      <c r="C527" s="2877"/>
      <c r="D527" s="2879" t="s">
        <v>1139</v>
      </c>
      <c r="E527" s="2949"/>
      <c r="F527" s="2881"/>
      <c r="G527" s="2199"/>
      <c r="H527" s="1614"/>
    </row>
    <row r="528" spans="1:8" s="2" customFormat="1">
      <c r="A528" s="1763"/>
      <c r="B528" s="2926"/>
      <c r="C528" s="2877"/>
      <c r="D528" s="2879"/>
      <c r="E528" s="2949"/>
      <c r="F528" s="2881"/>
      <c r="G528" s="2199"/>
      <c r="H528" s="1614"/>
    </row>
    <row r="529" spans="1:8" s="2" customFormat="1">
      <c r="A529" s="1763"/>
      <c r="B529" s="2926"/>
      <c r="C529" s="2877"/>
      <c r="D529" s="2882" t="s">
        <v>2523</v>
      </c>
      <c r="E529" s="2949"/>
      <c r="F529" s="2881"/>
      <c r="G529" s="2199"/>
      <c r="H529" s="1614"/>
    </row>
    <row r="530" spans="1:8" s="2" customFormat="1">
      <c r="A530" s="1763"/>
      <c r="B530" s="2880"/>
      <c r="C530" s="1620"/>
      <c r="D530" s="2883"/>
      <c r="E530" s="2949"/>
      <c r="F530" s="2881"/>
      <c r="G530" s="2199"/>
      <c r="H530" s="1614"/>
    </row>
    <row r="531" spans="1:8" s="2" customFormat="1">
      <c r="A531" s="1791">
        <f>$A$4</f>
        <v>20</v>
      </c>
      <c r="B531" s="1618">
        <v>3.23</v>
      </c>
      <c r="C531" s="1620" t="s">
        <v>2515</v>
      </c>
      <c r="D531" s="2886" t="s">
        <v>1148</v>
      </c>
      <c r="E531" s="2043" t="s">
        <v>561</v>
      </c>
      <c r="F531" s="2885">
        <v>15</v>
      </c>
      <c r="G531" s="2199"/>
      <c r="H531" s="1501">
        <f t="shared" ref="H531:H593" si="13">IF(E531="","",ROUND(F531*G531,2))</f>
        <v>0</v>
      </c>
    </row>
    <row r="532" spans="1:8" s="2" customFormat="1">
      <c r="A532" s="1763"/>
      <c r="B532" s="2880"/>
      <c r="C532" s="1620"/>
      <c r="D532" s="2886"/>
      <c r="E532" s="2043"/>
      <c r="F532" s="2885"/>
      <c r="G532" s="2199"/>
      <c r="H532" s="1501" t="str">
        <f t="shared" si="13"/>
        <v/>
      </c>
    </row>
    <row r="533" spans="1:8" s="2" customFormat="1">
      <c r="A533" s="1791">
        <f>$A$4</f>
        <v>20</v>
      </c>
      <c r="B533" s="1618">
        <v>3.24</v>
      </c>
      <c r="C533" s="1620" t="s">
        <v>2515</v>
      </c>
      <c r="D533" s="2886" t="s">
        <v>1150</v>
      </c>
      <c r="E533" s="2950" t="s">
        <v>561</v>
      </c>
      <c r="F533" s="2885">
        <v>15</v>
      </c>
      <c r="G533" s="2199"/>
      <c r="H533" s="1501">
        <f t="shared" si="13"/>
        <v>0</v>
      </c>
    </row>
    <row r="534" spans="1:8" s="2" customFormat="1">
      <c r="A534" s="1763"/>
      <c r="B534" s="2880"/>
      <c r="C534" s="2877"/>
      <c r="D534" s="2886"/>
      <c r="E534" s="2950"/>
      <c r="F534" s="2885"/>
      <c r="G534" s="2199"/>
      <c r="H534" s="1501" t="str">
        <f t="shared" si="13"/>
        <v/>
      </c>
    </row>
    <row r="535" spans="1:8" s="2" customFormat="1">
      <c r="A535" s="1791">
        <f>$A$4</f>
        <v>20</v>
      </c>
      <c r="B535" s="1618">
        <v>3.25</v>
      </c>
      <c r="C535" s="1620" t="s">
        <v>2515</v>
      </c>
      <c r="D535" s="2035" t="s">
        <v>1165</v>
      </c>
      <c r="E535" s="2950" t="s">
        <v>2485</v>
      </c>
      <c r="F535" s="2885">
        <v>3</v>
      </c>
      <c r="G535" s="2199"/>
      <c r="H535" s="1501">
        <f t="shared" si="13"/>
        <v>0</v>
      </c>
    </row>
    <row r="536" spans="1:8" s="2" customFormat="1">
      <c r="A536" s="1763"/>
      <c r="B536" s="2880"/>
      <c r="C536" s="1620"/>
      <c r="D536" s="2035"/>
      <c r="E536" s="2950"/>
      <c r="F536" s="2885"/>
      <c r="G536" s="2199"/>
      <c r="H536" s="1501" t="str">
        <f t="shared" si="13"/>
        <v/>
      </c>
    </row>
    <row r="537" spans="1:8" s="2" customFormat="1">
      <c r="A537" s="1791">
        <f>$A$4</f>
        <v>20</v>
      </c>
      <c r="B537" s="1618">
        <v>3.26</v>
      </c>
      <c r="C537" s="1620" t="s">
        <v>2515</v>
      </c>
      <c r="D537" s="2035" t="s">
        <v>1167</v>
      </c>
      <c r="E537" s="2950" t="s">
        <v>2485</v>
      </c>
      <c r="F537" s="2885">
        <v>3</v>
      </c>
      <c r="G537" s="2199"/>
      <c r="H537" s="1501">
        <f t="shared" si="13"/>
        <v>0</v>
      </c>
    </row>
    <row r="538" spans="1:8" s="2" customFormat="1">
      <c r="A538" s="1763"/>
      <c r="B538" s="1617"/>
      <c r="C538" s="1612"/>
      <c r="D538" s="1611"/>
      <c r="E538" s="2951"/>
      <c r="F538" s="2927"/>
      <c r="G538" s="2199"/>
      <c r="H538" s="1501" t="str">
        <f t="shared" si="13"/>
        <v/>
      </c>
    </row>
    <row r="539" spans="1:8" s="2" customFormat="1" ht="26.4">
      <c r="A539" s="1763"/>
      <c r="B539" s="2928" t="s">
        <v>562</v>
      </c>
      <c r="C539" s="2887"/>
      <c r="D539" s="2929" t="s">
        <v>2574</v>
      </c>
      <c r="E539" s="1621"/>
      <c r="F539" s="2890"/>
      <c r="G539" s="2199"/>
      <c r="H539" s="1501" t="str">
        <f t="shared" si="13"/>
        <v/>
      </c>
    </row>
    <row r="540" spans="1:8" s="2" customFormat="1">
      <c r="A540" s="1763"/>
      <c r="B540" s="2928"/>
      <c r="C540" s="2887"/>
      <c r="D540" s="2929"/>
      <c r="E540" s="1621"/>
      <c r="F540" s="2890"/>
      <c r="G540" s="2199"/>
      <c r="H540" s="1501" t="str">
        <f t="shared" si="13"/>
        <v/>
      </c>
    </row>
    <row r="541" spans="1:8" s="2" customFormat="1" ht="26.4">
      <c r="A541" s="1763"/>
      <c r="B541" s="2928"/>
      <c r="C541" s="1610"/>
      <c r="D541" s="866" t="s">
        <v>2575</v>
      </c>
      <c r="E541" s="2940"/>
      <c r="F541" s="2855"/>
      <c r="G541" s="2199"/>
      <c r="H541" s="1501" t="str">
        <f t="shared" si="13"/>
        <v/>
      </c>
    </row>
    <row r="542" spans="1:8" s="2" customFormat="1">
      <c r="A542" s="1763"/>
      <c r="B542" s="2930"/>
      <c r="C542" s="1610"/>
      <c r="D542" s="857"/>
      <c r="E542" s="2940"/>
      <c r="F542" s="2855"/>
      <c r="G542" s="2199"/>
      <c r="H542" s="1501" t="str">
        <f t="shared" si="13"/>
        <v/>
      </c>
    </row>
    <row r="543" spans="1:8" s="12" customFormat="1" ht="26.4">
      <c r="A543" s="1791">
        <f>$A$4</f>
        <v>20</v>
      </c>
      <c r="B543" s="1618">
        <v>3.27</v>
      </c>
      <c r="C543" s="1610" t="s">
        <v>2488</v>
      </c>
      <c r="D543" s="864" t="s">
        <v>1103</v>
      </c>
      <c r="E543" s="1610" t="s">
        <v>2485</v>
      </c>
      <c r="F543" s="2855">
        <v>1</v>
      </c>
      <c r="G543" s="2199"/>
      <c r="H543" s="1501">
        <f t="shared" si="13"/>
        <v>0</v>
      </c>
    </row>
    <row r="544" spans="1:8" s="2" customFormat="1">
      <c r="A544" s="1763"/>
      <c r="B544" s="2930"/>
      <c r="C544" s="1610"/>
      <c r="D544" s="856"/>
      <c r="E544" s="2940"/>
      <c r="F544" s="2855"/>
      <c r="G544" s="2858"/>
      <c r="H544" s="1501" t="str">
        <f t="shared" si="13"/>
        <v/>
      </c>
    </row>
    <row r="545" spans="1:8" s="2" customFormat="1" ht="26.4">
      <c r="A545" s="1791">
        <f>$A$4</f>
        <v>20</v>
      </c>
      <c r="B545" s="1618">
        <v>3.28</v>
      </c>
      <c r="C545" s="1610" t="s">
        <v>2486</v>
      </c>
      <c r="D545" s="2859" t="s">
        <v>2565</v>
      </c>
      <c r="E545" s="2940" t="s">
        <v>2485</v>
      </c>
      <c r="F545" s="2855">
        <v>1</v>
      </c>
      <c r="G545" s="2858"/>
      <c r="H545" s="1501">
        <f t="shared" si="13"/>
        <v>0</v>
      </c>
    </row>
    <row r="546" spans="1:8" s="2" customFormat="1">
      <c r="A546" s="1763"/>
      <c r="B546" s="2930"/>
      <c r="C546" s="1612"/>
      <c r="D546" s="1611"/>
      <c r="E546" s="2951"/>
      <c r="F546" s="2927"/>
      <c r="G546" s="2199"/>
      <c r="H546" s="1501" t="str">
        <f t="shared" si="13"/>
        <v/>
      </c>
    </row>
    <row r="547" spans="1:8" s="2" customFormat="1">
      <c r="A547" s="1791">
        <f>$A$4</f>
        <v>20</v>
      </c>
      <c r="B547" s="1618">
        <v>3.29</v>
      </c>
      <c r="C547" s="1610" t="s">
        <v>2490</v>
      </c>
      <c r="D547" s="857" t="s">
        <v>2566</v>
      </c>
      <c r="E547" s="1624"/>
      <c r="F547" s="1613"/>
      <c r="G547" s="2199"/>
      <c r="H547" s="1501" t="str">
        <f t="shared" si="13"/>
        <v/>
      </c>
    </row>
    <row r="548" spans="1:8" s="2" customFormat="1">
      <c r="A548" s="1763"/>
      <c r="B548" s="2930"/>
      <c r="C548" s="1610"/>
      <c r="D548" s="857"/>
      <c r="E548" s="2940"/>
      <c r="F548" s="2855"/>
      <c r="G548" s="2858"/>
      <c r="H548" s="1501" t="str">
        <f t="shared" si="13"/>
        <v/>
      </c>
    </row>
    <row r="549" spans="1:8" s="2" customFormat="1" ht="26.4">
      <c r="A549" s="1791">
        <f>$A$4</f>
        <v>20</v>
      </c>
      <c r="B549" s="2943">
        <v>3.3</v>
      </c>
      <c r="C549" s="1610" t="s">
        <v>2486</v>
      </c>
      <c r="D549" s="2859" t="s">
        <v>2567</v>
      </c>
      <c r="E549" s="2940" t="s">
        <v>2485</v>
      </c>
      <c r="F549" s="2855">
        <v>1</v>
      </c>
      <c r="G549" s="2858"/>
      <c r="H549" s="1501">
        <f t="shared" si="13"/>
        <v>0</v>
      </c>
    </row>
    <row r="550" spans="1:8" s="2" customFormat="1">
      <c r="A550" s="1763"/>
      <c r="B550" s="1617"/>
      <c r="C550" s="1612"/>
      <c r="D550" s="1611"/>
      <c r="E550" s="2951"/>
      <c r="F550" s="2927"/>
      <c r="G550" s="2199"/>
      <c r="H550" s="1501" t="str">
        <f t="shared" si="13"/>
        <v/>
      </c>
    </row>
    <row r="551" spans="1:8" s="12" customFormat="1" ht="26.4">
      <c r="A551" s="1791">
        <f>$A$4</f>
        <v>20</v>
      </c>
      <c r="B551" s="1618">
        <v>3.31</v>
      </c>
      <c r="C551" s="1610" t="s">
        <v>2568</v>
      </c>
      <c r="D551" s="858" t="s">
        <v>2569</v>
      </c>
      <c r="E551" s="1610" t="s">
        <v>2485</v>
      </c>
      <c r="F551" s="2855">
        <v>1</v>
      </c>
      <c r="G551" s="2858"/>
      <c r="H551" s="1501">
        <f t="shared" si="13"/>
        <v>0</v>
      </c>
    </row>
    <row r="552" spans="1:8" s="2" customFormat="1">
      <c r="A552" s="1763"/>
      <c r="B552" s="1550"/>
      <c r="C552" s="1610"/>
      <c r="D552" s="857"/>
      <c r="E552" s="2940"/>
      <c r="F552" s="2855"/>
      <c r="G552" s="2858"/>
      <c r="H552" s="1501" t="str">
        <f t="shared" si="13"/>
        <v/>
      </c>
    </row>
    <row r="553" spans="1:8" s="2" customFormat="1" ht="26.4">
      <c r="A553" s="1791">
        <f>$A$4</f>
        <v>20</v>
      </c>
      <c r="B553" s="1618">
        <v>3.32</v>
      </c>
      <c r="C553" s="1610" t="s">
        <v>2486</v>
      </c>
      <c r="D553" s="2859" t="s">
        <v>2570</v>
      </c>
      <c r="E553" s="2940" t="s">
        <v>2485</v>
      </c>
      <c r="F553" s="2855">
        <v>1</v>
      </c>
      <c r="G553" s="2858"/>
      <c r="H553" s="1501">
        <f t="shared" si="13"/>
        <v>0</v>
      </c>
    </row>
    <row r="554" spans="1:8" s="2" customFormat="1">
      <c r="A554" s="1763"/>
      <c r="B554" s="1550"/>
      <c r="C554" s="1610"/>
      <c r="D554" s="857"/>
      <c r="E554" s="2940"/>
      <c r="F554" s="2855"/>
      <c r="G554" s="2858"/>
      <c r="H554" s="1501" t="str">
        <f t="shared" si="13"/>
        <v/>
      </c>
    </row>
    <row r="555" spans="1:8" s="12" customFormat="1" ht="26.4">
      <c r="A555" s="1791">
        <f>$A$4</f>
        <v>20</v>
      </c>
      <c r="B555" s="1618">
        <v>3.33</v>
      </c>
      <c r="C555" s="1610" t="s">
        <v>2483</v>
      </c>
      <c r="D555" s="1647" t="s">
        <v>2571</v>
      </c>
      <c r="E555" s="1610" t="s">
        <v>2485</v>
      </c>
      <c r="F555" s="2852">
        <v>2</v>
      </c>
      <c r="G555" s="2858"/>
      <c r="H555" s="1501">
        <f t="shared" si="13"/>
        <v>0</v>
      </c>
    </row>
    <row r="556" spans="1:8" s="2" customFormat="1">
      <c r="A556" s="1763"/>
      <c r="B556" s="1550"/>
      <c r="C556" s="1610"/>
      <c r="D556" s="856"/>
      <c r="E556" s="1610"/>
      <c r="F556" s="2853"/>
      <c r="G556" s="2858"/>
      <c r="H556" s="1501" t="str">
        <f t="shared" si="13"/>
        <v/>
      </c>
    </row>
    <row r="557" spans="1:8" s="2" customFormat="1" ht="26.4">
      <c r="A557" s="1791">
        <f>$A$4</f>
        <v>20</v>
      </c>
      <c r="B557" s="1618">
        <v>3.34</v>
      </c>
      <c r="C557" s="1610" t="s">
        <v>2486</v>
      </c>
      <c r="D557" s="2859" t="s">
        <v>2572</v>
      </c>
      <c r="E557" s="1610" t="s">
        <v>2485</v>
      </c>
      <c r="F557" s="2855">
        <v>2</v>
      </c>
      <c r="G557" s="2199"/>
      <c r="H557" s="1501">
        <f t="shared" si="13"/>
        <v>0</v>
      </c>
    </row>
    <row r="558" spans="1:8" s="2" customFormat="1">
      <c r="A558" s="1763"/>
      <c r="B558" s="1550"/>
      <c r="C558" s="1610"/>
      <c r="D558" s="2859"/>
      <c r="E558" s="2924"/>
      <c r="F558" s="2855"/>
      <c r="G558" s="2199"/>
      <c r="H558" s="1501" t="str">
        <f t="shared" si="13"/>
        <v/>
      </c>
    </row>
    <row r="559" spans="1:8" s="2" customFormat="1" ht="17.25" customHeight="1">
      <c r="A559" s="1791">
        <f>$A$4</f>
        <v>20</v>
      </c>
      <c r="B559" s="1618">
        <v>3.35</v>
      </c>
      <c r="C559" s="1610" t="s">
        <v>2502</v>
      </c>
      <c r="D559" s="857" t="s">
        <v>2503</v>
      </c>
      <c r="E559" s="1624"/>
      <c r="F559" s="1613"/>
      <c r="G559" s="2199"/>
      <c r="H559" s="1501" t="str">
        <f t="shared" si="13"/>
        <v/>
      </c>
    </row>
    <row r="560" spans="1:8" s="2" customFormat="1">
      <c r="A560" s="1763"/>
      <c r="B560" s="1550"/>
      <c r="C560" s="1610"/>
      <c r="D560" s="857"/>
      <c r="E560" s="1783"/>
      <c r="F560" s="2860"/>
      <c r="G560" s="2858"/>
      <c r="H560" s="1501" t="str">
        <f t="shared" si="13"/>
        <v/>
      </c>
    </row>
    <row r="561" spans="1:8" s="2" customFormat="1" ht="26.4">
      <c r="A561" s="1791">
        <f>$A$4</f>
        <v>20</v>
      </c>
      <c r="B561" s="1618">
        <v>3.36</v>
      </c>
      <c r="C561" s="1610" t="s">
        <v>2486</v>
      </c>
      <c r="D561" s="2859" t="s">
        <v>2504</v>
      </c>
      <c r="E561" s="1783" t="s">
        <v>2485</v>
      </c>
      <c r="F561" s="2860">
        <v>2</v>
      </c>
      <c r="G561" s="2858"/>
      <c r="H561" s="1501">
        <f t="shared" si="13"/>
        <v>0</v>
      </c>
    </row>
    <row r="562" spans="1:8" s="2" customFormat="1">
      <c r="A562" s="1763"/>
      <c r="B562" s="1550"/>
      <c r="C562" s="1610"/>
      <c r="D562" s="857"/>
      <c r="E562" s="1610"/>
      <c r="F562" s="2855"/>
      <c r="G562" s="2199"/>
      <c r="H562" s="1501" t="str">
        <f t="shared" si="13"/>
        <v/>
      </c>
    </row>
    <row r="563" spans="1:8" s="2" customFormat="1">
      <c r="A563" s="1791">
        <f>$A$4</f>
        <v>20</v>
      </c>
      <c r="B563" s="1618">
        <v>3.37</v>
      </c>
      <c r="C563" s="1610" t="s">
        <v>2502</v>
      </c>
      <c r="D563" s="857" t="s">
        <v>2509</v>
      </c>
      <c r="E563" s="1624"/>
      <c r="F563" s="1613"/>
      <c r="G563" s="2199"/>
      <c r="H563" s="1501" t="str">
        <f t="shared" si="13"/>
        <v/>
      </c>
    </row>
    <row r="564" spans="1:8" s="2" customFormat="1">
      <c r="A564" s="1763"/>
      <c r="B564" s="1550"/>
      <c r="C564" s="1610"/>
      <c r="D564" s="857"/>
      <c r="E564" s="1610"/>
      <c r="F564" s="2855"/>
      <c r="G564" s="2199"/>
      <c r="H564" s="1501" t="str">
        <f t="shared" si="13"/>
        <v/>
      </c>
    </row>
    <row r="565" spans="1:8" s="2" customFormat="1" ht="26.4">
      <c r="A565" s="1791">
        <f>$A$4</f>
        <v>20</v>
      </c>
      <c r="B565" s="1618">
        <v>3.38</v>
      </c>
      <c r="C565" s="1610" t="s">
        <v>2486</v>
      </c>
      <c r="D565" s="2859" t="s">
        <v>2510</v>
      </c>
      <c r="E565" s="1610" t="s">
        <v>2485</v>
      </c>
      <c r="F565" s="2855">
        <v>4</v>
      </c>
      <c r="G565" s="2199"/>
      <c r="H565" s="1501">
        <f t="shared" si="13"/>
        <v>0</v>
      </c>
    </row>
    <row r="566" spans="1:8" s="2" customFormat="1">
      <c r="A566" s="1763"/>
      <c r="B566" s="1550"/>
      <c r="C566" s="1610"/>
      <c r="D566" s="857"/>
      <c r="E566" s="1610"/>
      <c r="F566" s="2855"/>
      <c r="G566" s="2199"/>
      <c r="H566" s="1501" t="str">
        <f t="shared" si="13"/>
        <v/>
      </c>
    </row>
    <row r="567" spans="1:8" s="2" customFormat="1" ht="26.4">
      <c r="A567" s="1791">
        <f>$A$4</f>
        <v>20</v>
      </c>
      <c r="B567" s="1618">
        <v>3.39</v>
      </c>
      <c r="C567" s="1610" t="s">
        <v>2511</v>
      </c>
      <c r="D567" s="2859" t="s">
        <v>2573</v>
      </c>
      <c r="E567" s="1783" t="s">
        <v>2485</v>
      </c>
      <c r="F567" s="2860">
        <v>1</v>
      </c>
      <c r="G567" s="2199"/>
      <c r="H567" s="1501">
        <f t="shared" si="13"/>
        <v>0</v>
      </c>
    </row>
    <row r="568" spans="1:8" s="2" customFormat="1" ht="13.5" customHeight="1">
      <c r="A568" s="1763"/>
      <c r="B568" s="1616"/>
      <c r="C568" s="1616"/>
      <c r="D568" s="2035"/>
      <c r="E568" s="2196"/>
      <c r="F568" s="1550"/>
      <c r="G568" s="2199"/>
      <c r="H568" s="1501" t="str">
        <f t="shared" si="13"/>
        <v/>
      </c>
    </row>
    <row r="569" spans="1:8" s="2" customFormat="1">
      <c r="A569" s="1791"/>
      <c r="B569" s="2919" t="s">
        <v>580</v>
      </c>
      <c r="C569" s="1623"/>
      <c r="D569" s="867" t="s">
        <v>1121</v>
      </c>
      <c r="E569" s="1624"/>
      <c r="F569" s="1613"/>
      <c r="G569" s="2199"/>
      <c r="H569" s="1501" t="str">
        <f t="shared" si="13"/>
        <v/>
      </c>
    </row>
    <row r="570" spans="1:8" s="2" customFormat="1">
      <c r="A570" s="1763"/>
      <c r="B570" s="1618"/>
      <c r="C570" s="859"/>
      <c r="D570" s="2868"/>
      <c r="E570" s="1624"/>
      <c r="F570" s="1613"/>
      <c r="G570" s="2199"/>
      <c r="H570" s="1501" t="str">
        <f t="shared" si="13"/>
        <v/>
      </c>
    </row>
    <row r="571" spans="1:8" s="2" customFormat="1" ht="15" customHeight="1">
      <c r="A571" s="1763"/>
      <c r="B571" s="2919"/>
      <c r="C571" s="868"/>
      <c r="D571" s="2952" t="s">
        <v>2555</v>
      </c>
      <c r="E571" s="1624"/>
      <c r="F571" s="1613"/>
      <c r="G571" s="2199"/>
      <c r="H571" s="1501" t="str">
        <f t="shared" si="13"/>
        <v/>
      </c>
    </row>
    <row r="572" spans="1:8" s="2" customFormat="1">
      <c r="A572" s="1763"/>
      <c r="B572" s="1618"/>
      <c r="C572" s="859"/>
      <c r="D572" s="2868"/>
      <c r="E572" s="1624"/>
      <c r="F572" s="1613"/>
      <c r="G572" s="2199"/>
      <c r="H572" s="1501" t="str">
        <f t="shared" si="13"/>
        <v/>
      </c>
    </row>
    <row r="573" spans="1:8" s="2" customFormat="1">
      <c r="A573" s="1791">
        <f>$A$4</f>
        <v>20</v>
      </c>
      <c r="B573" s="2943">
        <v>3.4</v>
      </c>
      <c r="C573" s="859" t="s">
        <v>2515</v>
      </c>
      <c r="D573" s="1611" t="s">
        <v>1124</v>
      </c>
      <c r="E573" s="1624" t="s">
        <v>561</v>
      </c>
      <c r="F573" s="1613">
        <v>150</v>
      </c>
      <c r="G573" s="2199"/>
      <c r="H573" s="1501">
        <f t="shared" si="13"/>
        <v>0</v>
      </c>
    </row>
    <row r="574" spans="1:8" s="2" customFormat="1">
      <c r="A574" s="1763"/>
      <c r="B574" s="1618"/>
      <c r="C574" s="859"/>
      <c r="D574" s="2868"/>
      <c r="E574" s="1624"/>
      <c r="F574" s="1613"/>
      <c r="G574" s="2199"/>
      <c r="H574" s="1501" t="str">
        <f t="shared" si="13"/>
        <v/>
      </c>
    </row>
    <row r="575" spans="1:8" s="2" customFormat="1">
      <c r="A575" s="1791">
        <f>$A$4</f>
        <v>20</v>
      </c>
      <c r="B575" s="1618">
        <v>3.41</v>
      </c>
      <c r="C575" s="859" t="s">
        <v>2515</v>
      </c>
      <c r="D575" s="1611" t="s">
        <v>1126</v>
      </c>
      <c r="E575" s="1619" t="s">
        <v>561</v>
      </c>
      <c r="F575" s="1613">
        <v>116</v>
      </c>
      <c r="G575" s="2199"/>
      <c r="H575" s="1501">
        <f t="shared" si="13"/>
        <v>0</v>
      </c>
    </row>
    <row r="576" spans="1:8" s="2" customFormat="1">
      <c r="A576" s="1763"/>
      <c r="B576" s="1618"/>
      <c r="C576" s="1610"/>
      <c r="D576" s="2868"/>
      <c r="E576" s="1624"/>
      <c r="F576" s="1613"/>
      <c r="G576" s="2199"/>
      <c r="H576" s="1501" t="str">
        <f t="shared" si="13"/>
        <v/>
      </c>
    </row>
    <row r="577" spans="1:8" s="2" customFormat="1">
      <c r="A577" s="1791">
        <f>$A$4</f>
        <v>20</v>
      </c>
      <c r="B577" s="1618">
        <v>3.42</v>
      </c>
      <c r="C577" s="859" t="s">
        <v>2515</v>
      </c>
      <c r="D577" s="1611" t="s">
        <v>2516</v>
      </c>
      <c r="E577" s="1619" t="s">
        <v>561</v>
      </c>
      <c r="F577" s="1613">
        <v>50</v>
      </c>
      <c r="G577" s="2199"/>
      <c r="H577" s="1501">
        <f t="shared" si="13"/>
        <v>0</v>
      </c>
    </row>
    <row r="578" spans="1:8" s="2" customFormat="1">
      <c r="A578" s="1763"/>
      <c r="B578" s="1618"/>
      <c r="C578" s="1610"/>
      <c r="D578" s="2868"/>
      <c r="E578" s="1624"/>
      <c r="F578" s="1613"/>
      <c r="G578" s="2199"/>
      <c r="H578" s="1501" t="str">
        <f t="shared" si="13"/>
        <v/>
      </c>
    </row>
    <row r="579" spans="1:8" s="2" customFormat="1">
      <c r="A579" s="1791">
        <f>$A$4</f>
        <v>20</v>
      </c>
      <c r="B579" s="1618">
        <v>3.43</v>
      </c>
      <c r="C579" s="859" t="s">
        <v>2515</v>
      </c>
      <c r="D579" s="1611" t="s">
        <v>1128</v>
      </c>
      <c r="E579" s="1619" t="s">
        <v>561</v>
      </c>
      <c r="F579" s="1613">
        <v>430</v>
      </c>
      <c r="G579" s="2199"/>
      <c r="H579" s="1501">
        <f t="shared" si="13"/>
        <v>0</v>
      </c>
    </row>
    <row r="580" spans="1:8" s="2" customFormat="1">
      <c r="A580" s="1763"/>
      <c r="B580" s="1618"/>
      <c r="C580" s="859"/>
      <c r="D580" s="2868"/>
      <c r="E580" s="1624"/>
      <c r="F580" s="1613"/>
      <c r="G580" s="2199"/>
      <c r="H580" s="1501" t="str">
        <f t="shared" si="13"/>
        <v/>
      </c>
    </row>
    <row r="581" spans="1:8" s="2" customFormat="1">
      <c r="A581" s="1791">
        <f>$A$4</f>
        <v>20</v>
      </c>
      <c r="B581" s="1618">
        <v>3.44</v>
      </c>
      <c r="C581" s="859" t="s">
        <v>2515</v>
      </c>
      <c r="D581" s="1611" t="s">
        <v>2517</v>
      </c>
      <c r="E581" s="1619" t="s">
        <v>561</v>
      </c>
      <c r="F581" s="1613">
        <v>220</v>
      </c>
      <c r="G581" s="2199"/>
      <c r="H581" s="1501">
        <f t="shared" si="13"/>
        <v>0</v>
      </c>
    </row>
    <row r="582" spans="1:8" s="2" customFormat="1">
      <c r="A582" s="1763"/>
      <c r="B582" s="1618"/>
      <c r="C582" s="859"/>
      <c r="D582" s="2868"/>
      <c r="E582" s="1624"/>
      <c r="F582" s="1613"/>
      <c r="G582" s="2199"/>
      <c r="H582" s="1501" t="str">
        <f t="shared" si="13"/>
        <v/>
      </c>
    </row>
    <row r="583" spans="1:8" s="2" customFormat="1">
      <c r="A583" s="1791">
        <f>$A$4</f>
        <v>20</v>
      </c>
      <c r="B583" s="1618">
        <v>3.45</v>
      </c>
      <c r="C583" s="859" t="s">
        <v>2515</v>
      </c>
      <c r="D583" s="1611" t="s">
        <v>1130</v>
      </c>
      <c r="E583" s="1619" t="s">
        <v>561</v>
      </c>
      <c r="F583" s="1613">
        <v>430</v>
      </c>
      <c r="G583" s="2199"/>
      <c r="H583" s="1501">
        <f t="shared" si="13"/>
        <v>0</v>
      </c>
    </row>
    <row r="584" spans="1:8" s="2" customFormat="1">
      <c r="A584" s="1763"/>
      <c r="B584" s="1618"/>
      <c r="C584" s="2942"/>
      <c r="D584" s="1611"/>
      <c r="E584" s="1619"/>
      <c r="F584" s="1613" t="s">
        <v>2518</v>
      </c>
      <c r="G584" s="2199"/>
      <c r="H584" s="1501" t="str">
        <f t="shared" si="13"/>
        <v/>
      </c>
    </row>
    <row r="585" spans="1:8" s="2" customFormat="1" ht="15.6">
      <c r="A585" s="1791">
        <f>$A$4</f>
        <v>20</v>
      </c>
      <c r="B585" s="1618">
        <v>3.46</v>
      </c>
      <c r="C585" s="859" t="s">
        <v>2515</v>
      </c>
      <c r="D585" s="1611" t="s">
        <v>2519</v>
      </c>
      <c r="E585" s="1619" t="s">
        <v>561</v>
      </c>
      <c r="F585" s="1613">
        <v>388</v>
      </c>
      <c r="G585" s="2199"/>
      <c r="H585" s="1501">
        <f t="shared" si="13"/>
        <v>0</v>
      </c>
    </row>
    <row r="586" spans="1:8" s="2" customFormat="1">
      <c r="A586" s="1763"/>
      <c r="B586" s="1618"/>
      <c r="C586" s="2942"/>
      <c r="D586" s="1611"/>
      <c r="E586" s="1619"/>
      <c r="F586" s="1613"/>
      <c r="G586" s="2199"/>
      <c r="H586" s="1501" t="str">
        <f t="shared" si="13"/>
        <v/>
      </c>
    </row>
    <row r="587" spans="1:8" s="2" customFormat="1" ht="15.6">
      <c r="A587" s="1791">
        <f>$A$4</f>
        <v>20</v>
      </c>
      <c r="B587" s="1618">
        <v>3.47</v>
      </c>
      <c r="C587" s="859" t="s">
        <v>2515</v>
      </c>
      <c r="D587" s="1611" t="s">
        <v>2520</v>
      </c>
      <c r="E587" s="1619" t="s">
        <v>561</v>
      </c>
      <c r="F587" s="1613">
        <v>116</v>
      </c>
      <c r="G587" s="2199"/>
      <c r="H587" s="1501">
        <f t="shared" si="13"/>
        <v>0</v>
      </c>
    </row>
    <row r="588" spans="1:8" s="2" customFormat="1">
      <c r="A588" s="1763"/>
      <c r="B588" s="1618"/>
      <c r="C588" s="2953"/>
      <c r="D588" s="1552"/>
      <c r="E588" s="1550"/>
      <c r="F588" s="1613"/>
      <c r="G588" s="2199"/>
      <c r="H588" s="1501" t="str">
        <f t="shared" si="13"/>
        <v/>
      </c>
    </row>
    <row r="589" spans="1:8" s="2" customFormat="1">
      <c r="A589" s="1791">
        <f>$A$4</f>
        <v>20</v>
      </c>
      <c r="B589" s="1618">
        <v>3.48</v>
      </c>
      <c r="C589" s="859" t="s">
        <v>2515</v>
      </c>
      <c r="D589" s="1611" t="s">
        <v>2522</v>
      </c>
      <c r="E589" s="1619" t="s">
        <v>561</v>
      </c>
      <c r="F589" s="1613">
        <v>10</v>
      </c>
      <c r="G589" s="2199"/>
      <c r="H589" s="1501">
        <f t="shared" si="13"/>
        <v>0</v>
      </c>
    </row>
    <row r="590" spans="1:8" s="2" customFormat="1">
      <c r="A590" s="1763"/>
      <c r="B590" s="1618"/>
      <c r="C590" s="859"/>
      <c r="D590" s="2868"/>
      <c r="E590" s="1624"/>
      <c r="F590" s="1613"/>
      <c r="G590" s="2199"/>
      <c r="H590" s="1501" t="str">
        <f t="shared" si="13"/>
        <v/>
      </c>
    </row>
    <row r="591" spans="1:8" s="2" customFormat="1">
      <c r="A591" s="1763"/>
      <c r="B591" s="2928" t="s">
        <v>586</v>
      </c>
      <c r="C591" s="2887"/>
      <c r="D591" s="2898" t="s">
        <v>2576</v>
      </c>
      <c r="E591" s="1621"/>
      <c r="F591" s="1622"/>
      <c r="G591" s="2199"/>
      <c r="H591" s="1501" t="str">
        <f t="shared" si="13"/>
        <v/>
      </c>
    </row>
    <row r="592" spans="1:8" s="2" customFormat="1">
      <c r="A592" s="1763"/>
      <c r="B592" s="2889"/>
      <c r="C592" s="2869"/>
      <c r="D592" s="2899"/>
      <c r="E592" s="1621"/>
      <c r="F592" s="1622"/>
      <c r="G592" s="2199"/>
      <c r="H592" s="1501" t="str">
        <f t="shared" si="13"/>
        <v/>
      </c>
    </row>
    <row r="593" spans="1:8" s="2" customFormat="1">
      <c r="A593" s="1791">
        <f>$A$4</f>
        <v>20</v>
      </c>
      <c r="B593" s="1618">
        <v>3.49</v>
      </c>
      <c r="C593" s="1620" t="s">
        <v>2515</v>
      </c>
      <c r="D593" s="1611" t="s">
        <v>1124</v>
      </c>
      <c r="E593" s="1621" t="s">
        <v>2485</v>
      </c>
      <c r="F593" s="1622">
        <v>5</v>
      </c>
      <c r="G593" s="2199"/>
      <c r="H593" s="1501">
        <f t="shared" si="13"/>
        <v>0</v>
      </c>
    </row>
    <row r="594" spans="1:8" s="2" customFormat="1">
      <c r="A594" s="1791"/>
      <c r="B594" s="1618"/>
      <c r="C594" s="1620"/>
      <c r="D594" s="1611"/>
      <c r="E594" s="1621"/>
      <c r="F594" s="1622"/>
      <c r="G594" s="2199"/>
      <c r="H594" s="1614"/>
    </row>
    <row r="595" spans="1:8" s="2" customFormat="1">
      <c r="A595" s="1763"/>
      <c r="B595" s="2954"/>
      <c r="C595" s="1620"/>
      <c r="D595" s="1611"/>
      <c r="E595" s="1621"/>
      <c r="F595" s="1622"/>
      <c r="G595" s="2932"/>
      <c r="H595" s="1625"/>
    </row>
    <row r="596" spans="1:8" s="2" customFormat="1">
      <c r="A596" s="1786"/>
      <c r="B596" s="787"/>
      <c r="C596" s="861"/>
      <c r="D596" s="862"/>
      <c r="E596" s="870"/>
      <c r="F596" s="800"/>
      <c r="G596" s="1485"/>
      <c r="H596" s="2936"/>
    </row>
    <row r="597" spans="1:8" s="2" customFormat="1">
      <c r="A597" s="2566"/>
      <c r="B597" s="566"/>
      <c r="C597" s="419"/>
      <c r="D597" s="413" t="s">
        <v>289</v>
      </c>
      <c r="E597" s="418"/>
      <c r="F597" s="425"/>
      <c r="G597" s="1486"/>
      <c r="H597" s="2937">
        <f>SUM(H525:H595)</f>
        <v>0</v>
      </c>
    </row>
    <row r="598" spans="1:8" s="2" customFormat="1">
      <c r="A598" s="1763"/>
      <c r="B598" s="1791"/>
      <c r="C598" s="1616"/>
      <c r="D598" s="1552" t="s">
        <v>290</v>
      </c>
      <c r="E598" s="2196"/>
      <c r="F598" s="1550"/>
      <c r="G598" s="2948"/>
      <c r="H598" s="1625">
        <f>H597</f>
        <v>0</v>
      </c>
    </row>
    <row r="599" spans="1:8" s="2" customFormat="1">
      <c r="A599" s="1763"/>
      <c r="B599" s="2889"/>
      <c r="C599" s="1620"/>
      <c r="D599" s="2899"/>
      <c r="E599" s="1621"/>
      <c r="F599" s="1622"/>
      <c r="G599" s="2199"/>
      <c r="H599" s="1614"/>
    </row>
    <row r="600" spans="1:8" s="2" customFormat="1">
      <c r="A600" s="1791">
        <f>$A$4</f>
        <v>20</v>
      </c>
      <c r="B600" s="2943">
        <v>3.5</v>
      </c>
      <c r="C600" s="1620" t="s">
        <v>2515</v>
      </c>
      <c r="D600" s="1611" t="s">
        <v>1126</v>
      </c>
      <c r="E600" s="1621" t="s">
        <v>2485</v>
      </c>
      <c r="F600" s="2927">
        <v>4</v>
      </c>
      <c r="G600" s="2199"/>
      <c r="H600" s="1501">
        <f t="shared" ref="H600:H663" si="14">IF(E600="","",ROUND(F600*G600,2))</f>
        <v>0</v>
      </c>
    </row>
    <row r="601" spans="1:8" s="2" customFormat="1">
      <c r="A601" s="1763"/>
      <c r="B601" s="1791"/>
      <c r="C601" s="1616"/>
      <c r="D601" s="1552"/>
      <c r="E601" s="2196"/>
      <c r="F601" s="1550"/>
      <c r="G601" s="2199"/>
      <c r="H601" s="1501" t="str">
        <f t="shared" si="14"/>
        <v/>
      </c>
    </row>
    <row r="602" spans="1:8" s="2" customFormat="1">
      <c r="A602" s="1791">
        <f>$A$4</f>
        <v>20</v>
      </c>
      <c r="B602" s="1618">
        <v>3.51</v>
      </c>
      <c r="C602" s="1620" t="s">
        <v>2515</v>
      </c>
      <c r="D602" s="1611" t="s">
        <v>2516</v>
      </c>
      <c r="E602" s="1621" t="s">
        <v>2485</v>
      </c>
      <c r="F602" s="2927">
        <v>1</v>
      </c>
      <c r="G602" s="2199"/>
      <c r="H602" s="1501">
        <f t="shared" si="14"/>
        <v>0</v>
      </c>
    </row>
    <row r="603" spans="1:8" s="2" customFormat="1">
      <c r="A603" s="1763"/>
      <c r="B603" s="2889"/>
      <c r="C603" s="2877"/>
      <c r="D603" s="2898"/>
      <c r="E603" s="1621"/>
      <c r="F603" s="1622"/>
      <c r="G603" s="2199"/>
      <c r="H603" s="1501" t="str">
        <f t="shared" si="14"/>
        <v/>
      </c>
    </row>
    <row r="604" spans="1:8" s="2" customFormat="1">
      <c r="A604" s="1791">
        <f>$A$4</f>
        <v>20</v>
      </c>
      <c r="B604" s="1618">
        <v>3.52</v>
      </c>
      <c r="C604" s="1620" t="s">
        <v>2515</v>
      </c>
      <c r="D604" s="1611" t="s">
        <v>1128</v>
      </c>
      <c r="E604" s="1621" t="s">
        <v>2485</v>
      </c>
      <c r="F604" s="1622">
        <v>8</v>
      </c>
      <c r="G604" s="2199"/>
      <c r="H604" s="1501">
        <f t="shared" si="14"/>
        <v>0</v>
      </c>
    </row>
    <row r="605" spans="1:8" s="2" customFormat="1">
      <c r="A605" s="1763"/>
      <c r="B605" s="2889"/>
      <c r="C605" s="2869"/>
      <c r="D605" s="2899"/>
      <c r="E605" s="1621"/>
      <c r="F605" s="1622"/>
      <c r="G605" s="2199"/>
      <c r="H605" s="1501" t="str">
        <f t="shared" si="14"/>
        <v/>
      </c>
    </row>
    <row r="606" spans="1:8" s="2" customFormat="1">
      <c r="A606" s="1791">
        <f>$A$4</f>
        <v>20</v>
      </c>
      <c r="B606" s="1618">
        <v>3.53</v>
      </c>
      <c r="C606" s="1620" t="s">
        <v>2515</v>
      </c>
      <c r="D606" s="1611" t="s">
        <v>2517</v>
      </c>
      <c r="E606" s="1621" t="s">
        <v>2485</v>
      </c>
      <c r="F606" s="1622">
        <v>4</v>
      </c>
      <c r="G606" s="2199"/>
      <c r="H606" s="1501">
        <f t="shared" si="14"/>
        <v>0</v>
      </c>
    </row>
    <row r="607" spans="1:8" s="2" customFormat="1">
      <c r="A607" s="1763"/>
      <c r="B607" s="2889"/>
      <c r="C607" s="1620"/>
      <c r="D607" s="2899"/>
      <c r="E607" s="1621"/>
      <c r="F607" s="1622"/>
      <c r="G607" s="2199"/>
      <c r="H607" s="1501" t="str">
        <f t="shared" si="14"/>
        <v/>
      </c>
    </row>
    <row r="608" spans="1:8" s="2" customFormat="1">
      <c r="A608" s="1791">
        <f>$A$4</f>
        <v>20</v>
      </c>
      <c r="B608" s="1618">
        <v>3.54</v>
      </c>
      <c r="C608" s="1620" t="s">
        <v>2515</v>
      </c>
      <c r="D608" s="1611" t="s">
        <v>1130</v>
      </c>
      <c r="E608" s="1621" t="s">
        <v>2485</v>
      </c>
      <c r="F608" s="1622">
        <v>7</v>
      </c>
      <c r="G608" s="2199"/>
      <c r="H608" s="1501">
        <f t="shared" si="14"/>
        <v>0</v>
      </c>
    </row>
    <row r="609" spans="1:8" s="2" customFormat="1">
      <c r="A609" s="1763"/>
      <c r="B609" s="2889"/>
      <c r="C609" s="2877"/>
      <c r="D609" s="2898"/>
      <c r="E609" s="1621"/>
      <c r="F609" s="1622"/>
      <c r="G609" s="2199"/>
      <c r="H609" s="1501" t="str">
        <f t="shared" si="14"/>
        <v/>
      </c>
    </row>
    <row r="610" spans="1:8" s="2" customFormat="1" ht="15.6">
      <c r="A610" s="1791">
        <f>$A$4</f>
        <v>20</v>
      </c>
      <c r="B610" s="1618">
        <v>3.55</v>
      </c>
      <c r="C610" s="1620" t="s">
        <v>2515</v>
      </c>
      <c r="D610" s="1611" t="s">
        <v>2519</v>
      </c>
      <c r="E610" s="1621" t="s">
        <v>2485</v>
      </c>
      <c r="F610" s="1622">
        <v>8</v>
      </c>
      <c r="G610" s="2199"/>
      <c r="H610" s="1501">
        <f t="shared" si="14"/>
        <v>0</v>
      </c>
    </row>
    <row r="611" spans="1:8" s="2" customFormat="1">
      <c r="A611" s="1763"/>
      <c r="B611" s="1618"/>
      <c r="C611" s="1620"/>
      <c r="D611" s="1611"/>
      <c r="E611" s="2951"/>
      <c r="F611" s="1622"/>
      <c r="G611" s="2199"/>
      <c r="H611" s="1501" t="str">
        <f t="shared" si="14"/>
        <v/>
      </c>
    </row>
    <row r="612" spans="1:8" s="2" customFormat="1" ht="15.6">
      <c r="A612" s="1791">
        <f>$A$4</f>
        <v>20</v>
      </c>
      <c r="B612" s="1618">
        <v>3.56</v>
      </c>
      <c r="C612" s="1620" t="s">
        <v>2515</v>
      </c>
      <c r="D612" s="1611" t="s">
        <v>2520</v>
      </c>
      <c r="E612" s="1621" t="s">
        <v>2485</v>
      </c>
      <c r="F612" s="1622">
        <v>4</v>
      </c>
      <c r="G612" s="2199"/>
      <c r="H612" s="1501">
        <f t="shared" si="14"/>
        <v>0</v>
      </c>
    </row>
    <row r="613" spans="1:8" s="2" customFormat="1">
      <c r="A613" s="1763"/>
      <c r="B613" s="1618"/>
      <c r="C613" s="1612"/>
      <c r="D613" s="1611"/>
      <c r="E613" s="2951"/>
      <c r="F613" s="2955"/>
      <c r="G613" s="2199"/>
      <c r="H613" s="1501" t="str">
        <f t="shared" si="14"/>
        <v/>
      </c>
    </row>
    <row r="614" spans="1:8" s="2" customFormat="1">
      <c r="A614" s="1791">
        <f>$A$4</f>
        <v>20</v>
      </c>
      <c r="B614" s="1618">
        <v>3.57</v>
      </c>
      <c r="C614" s="1620" t="s">
        <v>2515</v>
      </c>
      <c r="D614" s="1611" t="s">
        <v>2522</v>
      </c>
      <c r="E614" s="1621" t="s">
        <v>2485</v>
      </c>
      <c r="F614" s="2927">
        <v>1</v>
      </c>
      <c r="G614" s="2199"/>
      <c r="H614" s="1501">
        <f t="shared" si="14"/>
        <v>0</v>
      </c>
    </row>
    <row r="615" spans="1:8" s="2" customFormat="1">
      <c r="A615" s="1763"/>
      <c r="B615" s="1618"/>
      <c r="C615" s="1610"/>
      <c r="D615" s="2868"/>
      <c r="E615" s="1624"/>
      <c r="F615" s="1613"/>
      <c r="G615" s="2199"/>
      <c r="H615" s="1501" t="str">
        <f t="shared" si="14"/>
        <v/>
      </c>
    </row>
    <row r="616" spans="1:8" s="2" customFormat="1">
      <c r="A616" s="1791"/>
      <c r="B616" s="2934" t="s">
        <v>597</v>
      </c>
      <c r="C616" s="2902"/>
      <c r="D616" s="2879" t="s">
        <v>1139</v>
      </c>
      <c r="E616" s="2956"/>
      <c r="F616" s="2906"/>
      <c r="G616" s="2199"/>
      <c r="H616" s="1501" t="str">
        <f t="shared" si="14"/>
        <v/>
      </c>
    </row>
    <row r="617" spans="1:8" s="2" customFormat="1">
      <c r="A617" s="1763"/>
      <c r="B617" s="2934"/>
      <c r="C617" s="2902"/>
      <c r="D617" s="2879"/>
      <c r="E617" s="2956"/>
      <c r="F617" s="2906"/>
      <c r="G617" s="2199"/>
      <c r="H617" s="1501" t="str">
        <f t="shared" si="14"/>
        <v/>
      </c>
    </row>
    <row r="618" spans="1:8" s="2" customFormat="1">
      <c r="A618" s="1791"/>
      <c r="B618" s="2934"/>
      <c r="C618" s="2902"/>
      <c r="D618" s="2907" t="s">
        <v>2557</v>
      </c>
      <c r="E618" s="2956"/>
      <c r="F618" s="2906"/>
      <c r="G618" s="2199"/>
      <c r="H618" s="1501" t="str">
        <f t="shared" si="14"/>
        <v/>
      </c>
    </row>
    <row r="619" spans="1:8" s="2" customFormat="1">
      <c r="A619" s="1763"/>
      <c r="B619" s="2905"/>
      <c r="C619" s="2904"/>
      <c r="D619" s="2908"/>
      <c r="E619" s="2956"/>
      <c r="F619" s="2906"/>
      <c r="G619" s="2199"/>
      <c r="H619" s="1501" t="str">
        <f t="shared" si="14"/>
        <v/>
      </c>
    </row>
    <row r="620" spans="1:8" s="2" customFormat="1">
      <c r="A620" s="1791">
        <f>$A$4</f>
        <v>20</v>
      </c>
      <c r="B620" s="1618">
        <v>3.58</v>
      </c>
      <c r="C620" s="1620" t="s">
        <v>2515</v>
      </c>
      <c r="D620" s="2886" t="s">
        <v>1148</v>
      </c>
      <c r="E620" s="2043" t="s">
        <v>561</v>
      </c>
      <c r="F620" s="2885">
        <v>15</v>
      </c>
      <c r="G620" s="2199"/>
      <c r="H620" s="1501">
        <f t="shared" si="14"/>
        <v>0</v>
      </c>
    </row>
    <row r="621" spans="1:8" s="2" customFormat="1">
      <c r="A621" s="1763"/>
      <c r="B621" s="2905"/>
      <c r="C621" s="1620"/>
      <c r="D621" s="2886"/>
      <c r="E621" s="2043"/>
      <c r="F621" s="2885"/>
      <c r="G621" s="2199"/>
      <c r="H621" s="1501" t="str">
        <f t="shared" si="14"/>
        <v/>
      </c>
    </row>
    <row r="622" spans="1:8" s="2" customFormat="1">
      <c r="A622" s="1791">
        <f>$A$4</f>
        <v>20</v>
      </c>
      <c r="B622" s="1618">
        <v>3.59</v>
      </c>
      <c r="C622" s="1620" t="s">
        <v>2515</v>
      </c>
      <c r="D622" s="2886" t="s">
        <v>1150</v>
      </c>
      <c r="E622" s="2950" t="s">
        <v>561</v>
      </c>
      <c r="F622" s="2885">
        <v>15</v>
      </c>
      <c r="G622" s="2199"/>
      <c r="H622" s="1501">
        <f t="shared" si="14"/>
        <v>0</v>
      </c>
    </row>
    <row r="623" spans="1:8" s="2" customFormat="1">
      <c r="A623" s="1763"/>
      <c r="B623" s="2905"/>
      <c r="C623" s="2877"/>
      <c r="D623" s="2886"/>
      <c r="E623" s="2950"/>
      <c r="F623" s="2885"/>
      <c r="G623" s="2199"/>
      <c r="H623" s="1501" t="str">
        <f t="shared" si="14"/>
        <v/>
      </c>
    </row>
    <row r="624" spans="1:8" s="2" customFormat="1">
      <c r="A624" s="1791">
        <f>$A$4</f>
        <v>20</v>
      </c>
      <c r="B624" s="2943">
        <v>3.6</v>
      </c>
      <c r="C624" s="1620" t="s">
        <v>2515</v>
      </c>
      <c r="D624" s="2035" t="s">
        <v>1165</v>
      </c>
      <c r="E624" s="2950" t="s">
        <v>2485</v>
      </c>
      <c r="F624" s="2885">
        <v>3</v>
      </c>
      <c r="G624" s="2199"/>
      <c r="H624" s="1501">
        <f t="shared" si="14"/>
        <v>0</v>
      </c>
    </row>
    <row r="625" spans="1:8" s="2" customFormat="1">
      <c r="A625" s="1763"/>
      <c r="B625" s="2905"/>
      <c r="C625" s="1620"/>
      <c r="D625" s="2035"/>
      <c r="E625" s="2950"/>
      <c r="F625" s="2885"/>
      <c r="G625" s="2199"/>
      <c r="H625" s="1501" t="str">
        <f t="shared" si="14"/>
        <v/>
      </c>
    </row>
    <row r="626" spans="1:8" s="2" customFormat="1">
      <c r="A626" s="1791">
        <f>$A$4</f>
        <v>20</v>
      </c>
      <c r="B626" s="1618">
        <v>3.61</v>
      </c>
      <c r="C626" s="1620" t="s">
        <v>2515</v>
      </c>
      <c r="D626" s="2035" t="s">
        <v>1167</v>
      </c>
      <c r="E626" s="2950" t="s">
        <v>2485</v>
      </c>
      <c r="F626" s="2885">
        <v>3</v>
      </c>
      <c r="G626" s="2199"/>
      <c r="H626" s="1501">
        <f t="shared" si="14"/>
        <v>0</v>
      </c>
    </row>
    <row r="627" spans="1:8" s="2" customFormat="1">
      <c r="A627" s="1763"/>
      <c r="B627" s="2905"/>
      <c r="C627" s="1612"/>
      <c r="D627" s="1611"/>
      <c r="E627" s="2951"/>
      <c r="F627" s="2927"/>
      <c r="G627" s="2199"/>
      <c r="H627" s="1501" t="str">
        <f t="shared" si="14"/>
        <v/>
      </c>
    </row>
    <row r="628" spans="1:8" s="2" customFormat="1">
      <c r="A628" s="1763"/>
      <c r="B628" s="2934" t="s">
        <v>1515</v>
      </c>
      <c r="C628" s="1612"/>
      <c r="D628" s="2910" t="s">
        <v>1235</v>
      </c>
      <c r="E628" s="2951"/>
      <c r="F628" s="2927"/>
      <c r="G628" s="2199"/>
      <c r="H628" s="1501" t="str">
        <f t="shared" si="14"/>
        <v/>
      </c>
    </row>
    <row r="629" spans="1:8" s="2" customFormat="1">
      <c r="A629" s="1763"/>
      <c r="B629" s="2905"/>
      <c r="C629" s="1612"/>
      <c r="D629" s="2910"/>
      <c r="E629" s="2951"/>
      <c r="F629" s="2927"/>
      <c r="G629" s="2199"/>
      <c r="H629" s="1501" t="str">
        <f t="shared" si="14"/>
        <v/>
      </c>
    </row>
    <row r="630" spans="1:8" s="2" customFormat="1" ht="15" customHeight="1">
      <c r="A630" s="1791">
        <f>$A$4</f>
        <v>20</v>
      </c>
      <c r="B630" s="1618">
        <v>3.62</v>
      </c>
      <c r="C630" s="1612" t="s">
        <v>2515</v>
      </c>
      <c r="D630" s="1626" t="s">
        <v>2559</v>
      </c>
      <c r="E630" s="2911" t="s">
        <v>561</v>
      </c>
      <c r="F630" s="2885">
        <v>5</v>
      </c>
      <c r="G630" s="2199"/>
      <c r="H630" s="1501">
        <f t="shared" si="14"/>
        <v>0</v>
      </c>
    </row>
    <row r="631" spans="1:8" s="2" customFormat="1">
      <c r="A631" s="1763"/>
      <c r="B631" s="2905"/>
      <c r="C631" s="1612"/>
      <c r="D631" s="2035"/>
      <c r="E631" s="2957"/>
      <c r="F631" s="2885"/>
      <c r="G631" s="2199"/>
      <c r="H631" s="1501" t="str">
        <f t="shared" si="14"/>
        <v/>
      </c>
    </row>
    <row r="632" spans="1:8" s="2" customFormat="1" ht="26.4">
      <c r="A632" s="1791">
        <f>$A$4</f>
        <v>20</v>
      </c>
      <c r="B632" s="1618">
        <v>3.63</v>
      </c>
      <c r="C632" s="1612" t="s">
        <v>2515</v>
      </c>
      <c r="D632" s="1626" t="s">
        <v>2558</v>
      </c>
      <c r="E632" s="1617" t="s">
        <v>561</v>
      </c>
      <c r="F632" s="1627">
        <v>65</v>
      </c>
      <c r="G632" s="2199"/>
      <c r="H632" s="1501">
        <f t="shared" si="14"/>
        <v>0</v>
      </c>
    </row>
    <row r="633" spans="1:8" s="2" customFormat="1">
      <c r="A633" s="1763"/>
      <c r="B633" s="2905"/>
      <c r="C633" s="1612"/>
      <c r="D633" s="2035"/>
      <c r="E633" s="2957"/>
      <c r="F633" s="2885"/>
      <c r="G633" s="2199"/>
      <c r="H633" s="1501" t="str">
        <f t="shared" si="14"/>
        <v/>
      </c>
    </row>
    <row r="634" spans="1:8" s="2" customFormat="1">
      <c r="A634" s="1791">
        <f>$A$4</f>
        <v>20</v>
      </c>
      <c r="B634" s="1618">
        <v>3.64</v>
      </c>
      <c r="C634" s="2909" t="s">
        <v>2535</v>
      </c>
      <c r="D634" s="2914" t="s">
        <v>2536</v>
      </c>
      <c r="E634" s="2913" t="s">
        <v>2485</v>
      </c>
      <c r="F634" s="1627">
        <v>4</v>
      </c>
      <c r="G634" s="2199"/>
      <c r="H634" s="1501">
        <f t="shared" si="14"/>
        <v>0</v>
      </c>
    </row>
    <row r="635" spans="1:8" s="2" customFormat="1">
      <c r="A635" s="1763"/>
      <c r="B635" s="2905"/>
      <c r="C635" s="2909"/>
      <c r="D635" s="2914"/>
      <c r="E635" s="2913"/>
      <c r="F635" s="2913"/>
      <c r="G635" s="2199"/>
      <c r="H635" s="1501" t="str">
        <f t="shared" si="14"/>
        <v/>
      </c>
    </row>
    <row r="636" spans="1:8" s="2" customFormat="1">
      <c r="A636" s="1791">
        <f>$A$4</f>
        <v>20</v>
      </c>
      <c r="B636" s="1618">
        <v>3.65</v>
      </c>
      <c r="C636" s="1612" t="s">
        <v>2535</v>
      </c>
      <c r="D636" s="2035" t="s">
        <v>2537</v>
      </c>
      <c r="E636" s="2911" t="s">
        <v>2485</v>
      </c>
      <c r="F636" s="1627">
        <v>4</v>
      </c>
      <c r="G636" s="2199"/>
      <c r="H636" s="1501">
        <f t="shared" si="14"/>
        <v>0</v>
      </c>
    </row>
    <row r="637" spans="1:8" s="2" customFormat="1">
      <c r="A637" s="1763"/>
      <c r="B637" s="2905"/>
      <c r="C637" s="1612"/>
      <c r="D637" s="2035"/>
      <c r="E637" s="2911"/>
      <c r="F637" s="1627"/>
      <c r="G637" s="1487"/>
      <c r="H637" s="1501" t="str">
        <f t="shared" si="14"/>
        <v/>
      </c>
    </row>
    <row r="638" spans="1:8" s="2" customFormat="1">
      <c r="A638" s="1763"/>
      <c r="B638" s="2934" t="s">
        <v>1516</v>
      </c>
      <c r="C638" s="2909"/>
      <c r="D638" s="2910" t="s">
        <v>2538</v>
      </c>
      <c r="E638" s="1617"/>
      <c r="F638" s="2927"/>
      <c r="G638" s="2199"/>
      <c r="H638" s="1501" t="str">
        <f t="shared" si="14"/>
        <v/>
      </c>
    </row>
    <row r="639" spans="1:8" s="2" customFormat="1">
      <c r="A639" s="1763"/>
      <c r="B639" s="2905"/>
      <c r="C639" s="2909"/>
      <c r="D639" s="2910"/>
      <c r="E639" s="1617"/>
      <c r="F639" s="2927"/>
      <c r="G639" s="2199"/>
      <c r="H639" s="1501" t="str">
        <f t="shared" si="14"/>
        <v/>
      </c>
    </row>
    <row r="640" spans="1:8" s="2" customFormat="1">
      <c r="A640" s="1791">
        <f>$A$4</f>
        <v>20</v>
      </c>
      <c r="B640" s="1618">
        <v>3.66</v>
      </c>
      <c r="C640" s="1612">
        <v>1.3</v>
      </c>
      <c r="D640" s="1626" t="s">
        <v>2539</v>
      </c>
      <c r="E640" s="1617" t="s">
        <v>230</v>
      </c>
      <c r="F640" s="1627">
        <v>1</v>
      </c>
      <c r="G640" s="2199"/>
      <c r="H640" s="1501">
        <f t="shared" si="14"/>
        <v>0</v>
      </c>
    </row>
    <row r="641" spans="1:8" s="2" customFormat="1">
      <c r="A641" s="1763"/>
      <c r="B641" s="2905"/>
      <c r="C641" s="865"/>
      <c r="D641" s="1626"/>
      <c r="E641" s="2918"/>
      <c r="F641" s="1627"/>
      <c r="G641" s="1487"/>
      <c r="H641" s="1501" t="str">
        <f t="shared" si="14"/>
        <v/>
      </c>
    </row>
    <row r="642" spans="1:8" s="2" customFormat="1">
      <c r="A642" s="1791">
        <f>$A$4</f>
        <v>20</v>
      </c>
      <c r="B642" s="1618">
        <v>3.67</v>
      </c>
      <c r="C642" s="865">
        <v>1.2</v>
      </c>
      <c r="D642" s="1626" t="s">
        <v>2541</v>
      </c>
      <c r="E642" s="2918" t="s">
        <v>230</v>
      </c>
      <c r="F642" s="1627">
        <v>1</v>
      </c>
      <c r="G642" s="1487"/>
      <c r="H642" s="1501">
        <f t="shared" si="14"/>
        <v>0</v>
      </c>
    </row>
    <row r="643" spans="1:8" s="2" customFormat="1">
      <c r="A643" s="1763"/>
      <c r="B643" s="2954"/>
      <c r="C643" s="865"/>
      <c r="D643" s="1626"/>
      <c r="E643" s="2918"/>
      <c r="F643" s="1627"/>
      <c r="G643" s="1487"/>
      <c r="H643" s="1501" t="str">
        <f t="shared" si="14"/>
        <v/>
      </c>
    </row>
    <row r="644" spans="1:8" s="2" customFormat="1" ht="26.4">
      <c r="A644" s="1763"/>
      <c r="B644" s="1753">
        <v>4</v>
      </c>
      <c r="C644" s="1687"/>
      <c r="D644" s="2847" t="s">
        <v>2577</v>
      </c>
      <c r="E644" s="2939"/>
      <c r="F644" s="1670"/>
      <c r="G644" s="2199"/>
      <c r="H644" s="1501" t="str">
        <f t="shared" si="14"/>
        <v/>
      </c>
    </row>
    <row r="645" spans="1:8" s="2" customFormat="1">
      <c r="A645" s="1763"/>
      <c r="B645" s="1667"/>
      <c r="C645" s="1687"/>
      <c r="D645" s="2030"/>
      <c r="E645" s="2939"/>
      <c r="F645" s="1670"/>
      <c r="G645" s="2199"/>
      <c r="H645" s="1501" t="str">
        <f t="shared" si="14"/>
        <v/>
      </c>
    </row>
    <row r="646" spans="1:8" s="2" customFormat="1">
      <c r="A646" s="1763"/>
      <c r="B646" s="2919" t="s">
        <v>543</v>
      </c>
      <c r="C646" s="1623"/>
      <c r="D646" s="2847" t="s">
        <v>2578</v>
      </c>
      <c r="E646" s="1624"/>
      <c r="F646" s="2848"/>
      <c r="G646" s="2199"/>
      <c r="H646" s="1501" t="str">
        <f t="shared" si="14"/>
        <v/>
      </c>
    </row>
    <row r="647" spans="1:8" s="2" customFormat="1">
      <c r="A647" s="1763"/>
      <c r="B647" s="2919"/>
      <c r="C647" s="1610"/>
      <c r="D647" s="856" t="s">
        <v>2579</v>
      </c>
      <c r="E647" s="2940"/>
      <c r="F647" s="2855"/>
      <c r="G647" s="2199"/>
      <c r="H647" s="1501" t="str">
        <f t="shared" si="14"/>
        <v/>
      </c>
    </row>
    <row r="648" spans="1:8" s="2" customFormat="1">
      <c r="A648" s="1763"/>
      <c r="B648" s="2921"/>
      <c r="C648" s="1610"/>
      <c r="D648" s="857"/>
      <c r="E648" s="2940"/>
      <c r="F648" s="2855"/>
      <c r="G648" s="2199"/>
      <c r="H648" s="1501" t="str">
        <f t="shared" si="14"/>
        <v/>
      </c>
    </row>
    <row r="649" spans="1:8" s="12" customFormat="1" ht="26.4">
      <c r="A649" s="1791">
        <f>$A$4</f>
        <v>20</v>
      </c>
      <c r="B649" s="2889">
        <v>4.0999999999999996</v>
      </c>
      <c r="C649" s="1610" t="s">
        <v>2483</v>
      </c>
      <c r="D649" s="1647" t="s">
        <v>2580</v>
      </c>
      <c r="E649" s="1610" t="s">
        <v>2485</v>
      </c>
      <c r="F649" s="2855">
        <v>1</v>
      </c>
      <c r="G649" s="2857"/>
      <c r="H649" s="1501">
        <f t="shared" si="14"/>
        <v>0</v>
      </c>
    </row>
    <row r="650" spans="1:8" s="2" customFormat="1">
      <c r="A650" s="1763"/>
      <c r="B650" s="2921"/>
      <c r="C650" s="1610"/>
      <c r="D650" s="856"/>
      <c r="E650" s="2940"/>
      <c r="F650" s="2855"/>
      <c r="G650" s="2857"/>
      <c r="H650" s="1501" t="str">
        <f t="shared" si="14"/>
        <v/>
      </c>
    </row>
    <row r="651" spans="1:8" s="2" customFormat="1" ht="26.4">
      <c r="A651" s="1791">
        <f>$A$4</f>
        <v>20</v>
      </c>
      <c r="B651" s="2889">
        <v>4.2</v>
      </c>
      <c r="C651" s="1610" t="s">
        <v>2486</v>
      </c>
      <c r="D651" s="2859" t="s">
        <v>2581</v>
      </c>
      <c r="E651" s="2940" t="s">
        <v>2485</v>
      </c>
      <c r="F651" s="2855">
        <v>1</v>
      </c>
      <c r="G651" s="2857"/>
      <c r="H651" s="1501">
        <f t="shared" si="14"/>
        <v>0</v>
      </c>
    </row>
    <row r="652" spans="1:8" s="2" customFormat="1">
      <c r="A652" s="1763"/>
      <c r="B652" s="2921"/>
      <c r="C652" s="1610"/>
      <c r="D652" s="857"/>
      <c r="E652" s="2940"/>
      <c r="F652" s="2855"/>
      <c r="G652" s="2858"/>
      <c r="H652" s="1501" t="str">
        <f t="shared" si="14"/>
        <v/>
      </c>
    </row>
    <row r="653" spans="1:8" s="2" customFormat="1" ht="26.4">
      <c r="A653" s="1791">
        <f>$A$4</f>
        <v>20</v>
      </c>
      <c r="B653" s="2889">
        <v>4.3</v>
      </c>
      <c r="C653" s="1610" t="s">
        <v>2483</v>
      </c>
      <c r="D653" s="1646" t="s">
        <v>2582</v>
      </c>
      <c r="E653" s="2940" t="s">
        <v>2485</v>
      </c>
      <c r="F653" s="2855">
        <v>2</v>
      </c>
      <c r="G653" s="2858"/>
      <c r="H653" s="1501">
        <f t="shared" si="14"/>
        <v>0</v>
      </c>
    </row>
    <row r="654" spans="1:8" s="2" customFormat="1">
      <c r="A654" s="1763"/>
      <c r="B654" s="2921"/>
      <c r="C654" s="1610"/>
      <c r="D654" s="856"/>
      <c r="E654" s="2940"/>
      <c r="F654" s="2855"/>
      <c r="G654" s="2858"/>
      <c r="H654" s="1501" t="str">
        <f t="shared" si="14"/>
        <v/>
      </c>
    </row>
    <row r="655" spans="1:8" s="2" customFormat="1" ht="26.4">
      <c r="A655" s="1791">
        <f>$A$4</f>
        <v>20</v>
      </c>
      <c r="B655" s="2889">
        <v>4.4000000000000004</v>
      </c>
      <c r="C655" s="1610" t="s">
        <v>2486</v>
      </c>
      <c r="D655" s="2859" t="s">
        <v>2494</v>
      </c>
      <c r="E655" s="2940" t="s">
        <v>2485</v>
      </c>
      <c r="F655" s="2855">
        <v>2</v>
      </c>
      <c r="G655" s="2858"/>
      <c r="H655" s="1501">
        <f t="shared" si="14"/>
        <v>0</v>
      </c>
    </row>
    <row r="656" spans="1:8" s="2" customFormat="1">
      <c r="A656" s="1763"/>
      <c r="B656" s="2921"/>
      <c r="C656" s="1610"/>
      <c r="D656" s="857"/>
      <c r="E656" s="2940"/>
      <c r="F656" s="2855"/>
      <c r="G656" s="2858"/>
      <c r="H656" s="1501" t="str">
        <f t="shared" si="14"/>
        <v/>
      </c>
    </row>
    <row r="657" spans="1:8" s="2" customFormat="1" ht="16.5" customHeight="1">
      <c r="A657" s="1791">
        <f>$A$4</f>
        <v>20</v>
      </c>
      <c r="B657" s="2889">
        <v>4.5</v>
      </c>
      <c r="C657" s="1610" t="s">
        <v>2502</v>
      </c>
      <c r="D657" s="857" t="s">
        <v>2505</v>
      </c>
      <c r="E657" s="1610"/>
      <c r="F657" s="2855"/>
      <c r="G657" s="2858"/>
      <c r="H657" s="1501" t="str">
        <f t="shared" si="14"/>
        <v/>
      </c>
    </row>
    <row r="658" spans="1:8" s="2" customFormat="1">
      <c r="A658" s="1763"/>
      <c r="B658" s="2954"/>
      <c r="C658" s="865"/>
      <c r="D658" s="1626"/>
      <c r="E658" s="2918"/>
      <c r="F658" s="1627"/>
      <c r="G658" s="1487"/>
      <c r="H658" s="1501" t="str">
        <f t="shared" si="14"/>
        <v/>
      </c>
    </row>
    <row r="659" spans="1:8" s="2" customFormat="1" ht="26.4">
      <c r="A659" s="1791">
        <f>$A$4</f>
        <v>20</v>
      </c>
      <c r="B659" s="2889">
        <v>4.5999999999999996</v>
      </c>
      <c r="C659" s="1610" t="s">
        <v>2486</v>
      </c>
      <c r="D659" s="2859" t="s">
        <v>2506</v>
      </c>
      <c r="E659" s="2940" t="s">
        <v>2485</v>
      </c>
      <c r="F659" s="2855">
        <v>18</v>
      </c>
      <c r="G659" s="2858"/>
      <c r="H659" s="1501">
        <f t="shared" si="14"/>
        <v>0</v>
      </c>
    </row>
    <row r="660" spans="1:8" s="2" customFormat="1">
      <c r="A660" s="1763"/>
      <c r="B660" s="2921"/>
      <c r="C660" s="1610"/>
      <c r="D660" s="857"/>
      <c r="E660" s="2940"/>
      <c r="F660" s="2855"/>
      <c r="G660" s="2858"/>
      <c r="H660" s="1501" t="str">
        <f t="shared" si="14"/>
        <v/>
      </c>
    </row>
    <row r="661" spans="1:8" s="2" customFormat="1" ht="26.4">
      <c r="A661" s="1791">
        <f>$A$4</f>
        <v>20</v>
      </c>
      <c r="B661" s="2889">
        <v>4.7</v>
      </c>
      <c r="C661" s="1610" t="s">
        <v>2583</v>
      </c>
      <c r="D661" s="2859" t="s">
        <v>2584</v>
      </c>
      <c r="E661" s="1783" t="s">
        <v>2485</v>
      </c>
      <c r="F661" s="2860">
        <v>1</v>
      </c>
      <c r="G661" s="2858"/>
      <c r="H661" s="1501">
        <f t="shared" si="14"/>
        <v>0</v>
      </c>
    </row>
    <row r="662" spans="1:8" s="2" customFormat="1">
      <c r="A662" s="1763"/>
      <c r="B662" s="2958"/>
      <c r="C662" s="1610"/>
      <c r="D662" s="857"/>
      <c r="E662" s="1783"/>
      <c r="F662" s="2896"/>
      <c r="G662" s="2858"/>
      <c r="H662" s="1501" t="str">
        <f t="shared" si="14"/>
        <v/>
      </c>
    </row>
    <row r="663" spans="1:8" s="2" customFormat="1" ht="26.4">
      <c r="A663" s="1791">
        <f>$A$4</f>
        <v>20</v>
      </c>
      <c r="B663" s="2889">
        <v>4.8</v>
      </c>
      <c r="C663" s="1610" t="s">
        <v>2585</v>
      </c>
      <c r="D663" s="857" t="s">
        <v>2586</v>
      </c>
      <c r="E663" s="1610" t="s">
        <v>2485</v>
      </c>
      <c r="F663" s="2855">
        <v>1</v>
      </c>
      <c r="G663" s="2858"/>
      <c r="H663" s="1501">
        <f t="shared" si="14"/>
        <v>0</v>
      </c>
    </row>
    <row r="664" spans="1:8" s="2" customFormat="1">
      <c r="A664" s="1763"/>
      <c r="B664" s="2958"/>
      <c r="C664" s="1610"/>
      <c r="D664" s="857"/>
      <c r="E664" s="1610"/>
      <c r="F664" s="2855"/>
      <c r="G664" s="2858"/>
      <c r="H664" s="1625"/>
    </row>
    <row r="665" spans="1:8" s="2" customFormat="1">
      <c r="A665" s="1763"/>
      <c r="B665" s="2941"/>
      <c r="C665" s="1623"/>
      <c r="D665" s="867"/>
      <c r="E665" s="1624"/>
      <c r="F665" s="2933"/>
      <c r="G665" s="2199"/>
      <c r="H665" s="1625"/>
    </row>
    <row r="666" spans="1:8" s="2" customFormat="1">
      <c r="A666" s="1763"/>
      <c r="B666" s="2941"/>
      <c r="C666" s="1623"/>
      <c r="D666" s="867"/>
      <c r="E666" s="1624"/>
      <c r="F666" s="2933"/>
      <c r="G666" s="2199"/>
      <c r="H666" s="1625"/>
    </row>
    <row r="667" spans="1:8" s="2" customFormat="1">
      <c r="A667" s="1763"/>
      <c r="B667" s="2941"/>
      <c r="C667" s="1623"/>
      <c r="D667" s="867"/>
      <c r="E667" s="1624"/>
      <c r="F667" s="2933"/>
      <c r="G667" s="2199"/>
      <c r="H667" s="1625"/>
    </row>
    <row r="668" spans="1:8" s="2" customFormat="1">
      <c r="A668" s="1763"/>
      <c r="B668" s="2941"/>
      <c r="C668" s="1623"/>
      <c r="D668" s="867"/>
      <c r="E668" s="1624"/>
      <c r="F668" s="2933"/>
      <c r="G668" s="2199"/>
      <c r="H668" s="1625"/>
    </row>
    <row r="669" spans="1:8" s="2" customFormat="1">
      <c r="A669" s="1763"/>
      <c r="B669" s="2958"/>
      <c r="C669" s="1610"/>
      <c r="D669" s="857"/>
      <c r="E669" s="1783"/>
      <c r="F669" s="2896"/>
      <c r="G669" s="2858"/>
      <c r="H669" s="1614"/>
    </row>
    <row r="670" spans="1:8" s="2" customFormat="1">
      <c r="A670" s="1763"/>
      <c r="B670" s="2958"/>
      <c r="C670" s="1610"/>
      <c r="D670" s="857"/>
      <c r="E670" s="1610"/>
      <c r="F670" s="2855"/>
      <c r="G670" s="2858"/>
      <c r="H670" s="1625"/>
    </row>
    <row r="671" spans="1:8" s="2" customFormat="1">
      <c r="A671" s="1786"/>
      <c r="B671" s="787"/>
      <c r="C671" s="861"/>
      <c r="D671" s="862"/>
      <c r="E671" s="870"/>
      <c r="F671" s="800"/>
      <c r="G671" s="1485"/>
      <c r="H671" s="2936"/>
    </row>
    <row r="672" spans="1:8" s="2" customFormat="1">
      <c r="A672" s="2566"/>
      <c r="B672" s="566"/>
      <c r="C672" s="419"/>
      <c r="D672" s="413" t="s">
        <v>289</v>
      </c>
      <c r="E672" s="418"/>
      <c r="F672" s="425"/>
      <c r="G672" s="1486"/>
      <c r="H672" s="2937">
        <f>SUM(H598:H670)</f>
        <v>0</v>
      </c>
    </row>
    <row r="673" spans="1:8" s="2" customFormat="1">
      <c r="A673" s="1763"/>
      <c r="B673" s="1791"/>
      <c r="C673" s="1616"/>
      <c r="D673" s="2162" t="s">
        <v>290</v>
      </c>
      <c r="E673" s="2196"/>
      <c r="F673" s="1550"/>
      <c r="G673" s="2199"/>
      <c r="H673" s="1625">
        <f>H672</f>
        <v>0</v>
      </c>
    </row>
    <row r="674" spans="1:8" s="2" customFormat="1">
      <c r="A674" s="1763"/>
      <c r="B674" s="1791"/>
      <c r="C674" s="1616"/>
      <c r="D674" s="1552"/>
      <c r="E674" s="2196"/>
      <c r="F674" s="1550"/>
      <c r="G674" s="2199"/>
      <c r="H674" s="1625"/>
    </row>
    <row r="675" spans="1:8" s="2" customFormat="1">
      <c r="A675" s="1763"/>
      <c r="B675" s="2919" t="s">
        <v>549</v>
      </c>
      <c r="C675" s="1623"/>
      <c r="D675" s="2879" t="s">
        <v>1121</v>
      </c>
      <c r="E675" s="2959"/>
      <c r="F675" s="1613"/>
      <c r="G675" s="2199"/>
      <c r="H675" s="1625"/>
    </row>
    <row r="676" spans="1:8" s="2" customFormat="1">
      <c r="A676" s="1763"/>
      <c r="B676" s="1791"/>
      <c r="C676" s="1610"/>
      <c r="D676" s="2859"/>
      <c r="E676" s="2368"/>
      <c r="F676" s="2896"/>
      <c r="G676" s="2858"/>
      <c r="H676" s="1614"/>
    </row>
    <row r="677" spans="1:8" s="2" customFormat="1">
      <c r="A677" s="1763"/>
      <c r="B677" s="2919"/>
      <c r="C677" s="868"/>
      <c r="D677" s="2867" t="s">
        <v>2551</v>
      </c>
      <c r="E677" s="2959"/>
      <c r="F677" s="1613"/>
      <c r="G677" s="2199"/>
      <c r="H677" s="1625"/>
    </row>
    <row r="678" spans="1:8" s="2" customFormat="1">
      <c r="A678" s="1763"/>
      <c r="B678" s="2919"/>
      <c r="C678" s="868"/>
      <c r="D678" s="2867"/>
      <c r="E678" s="2959"/>
      <c r="F678" s="1613"/>
      <c r="G678" s="2199"/>
      <c r="H678" s="1625"/>
    </row>
    <row r="679" spans="1:8" s="2" customFormat="1">
      <c r="A679" s="1791">
        <f>$A$4</f>
        <v>20</v>
      </c>
      <c r="B679" s="2889">
        <v>4.9000000000000004</v>
      </c>
      <c r="C679" s="1620" t="s">
        <v>2515</v>
      </c>
      <c r="D679" s="1611" t="s">
        <v>1124</v>
      </c>
      <c r="E679" s="2959" t="s">
        <v>561</v>
      </c>
      <c r="F679" s="1613">
        <v>720</v>
      </c>
      <c r="G679" s="2199"/>
      <c r="H679" s="1501">
        <f t="shared" ref="H679:H742" si="15">IF(E679="","",ROUND(F679*G679,2))</f>
        <v>0</v>
      </c>
    </row>
    <row r="680" spans="1:8" s="2" customFormat="1">
      <c r="A680" s="1763"/>
      <c r="B680" s="2954"/>
      <c r="C680" s="865"/>
      <c r="D680" s="1626"/>
      <c r="E680" s="2918"/>
      <c r="F680" s="1627"/>
      <c r="G680" s="1487"/>
      <c r="H680" s="1501" t="str">
        <f t="shared" si="15"/>
        <v/>
      </c>
    </row>
    <row r="681" spans="1:8" s="2" customFormat="1">
      <c r="A681" s="1791">
        <f>$A$4</f>
        <v>20</v>
      </c>
      <c r="B681" s="2960">
        <v>4.0999999999999996</v>
      </c>
      <c r="C681" s="1620" t="s">
        <v>2515</v>
      </c>
      <c r="D681" s="1611" t="s">
        <v>1126</v>
      </c>
      <c r="E681" s="1619" t="s">
        <v>561</v>
      </c>
      <c r="F681" s="1613">
        <v>1845</v>
      </c>
      <c r="G681" s="2199"/>
      <c r="H681" s="1501">
        <f t="shared" si="15"/>
        <v>0</v>
      </c>
    </row>
    <row r="682" spans="1:8" s="2" customFormat="1">
      <c r="A682" s="1763"/>
      <c r="B682" s="1618"/>
      <c r="C682" s="1610"/>
      <c r="D682" s="2868"/>
      <c r="E682" s="1624"/>
      <c r="F682" s="1613"/>
      <c r="G682" s="2199"/>
      <c r="H682" s="1501" t="str">
        <f t="shared" si="15"/>
        <v/>
      </c>
    </row>
    <row r="683" spans="1:8" s="2" customFormat="1">
      <c r="A683" s="1791">
        <f>$A$4</f>
        <v>20</v>
      </c>
      <c r="B683" s="2889">
        <v>4.1100000000000003</v>
      </c>
      <c r="C683" s="1620" t="s">
        <v>2515</v>
      </c>
      <c r="D683" s="1611" t="s">
        <v>1128</v>
      </c>
      <c r="E683" s="1619" t="s">
        <v>561</v>
      </c>
      <c r="F683" s="1613">
        <v>2010</v>
      </c>
      <c r="G683" s="2876"/>
      <c r="H683" s="1501">
        <f t="shared" si="15"/>
        <v>0</v>
      </c>
    </row>
    <row r="684" spans="1:8" s="2" customFormat="1">
      <c r="A684" s="1763"/>
      <c r="B684" s="1618"/>
      <c r="C684" s="859"/>
      <c r="D684" s="2868"/>
      <c r="E684" s="1624"/>
      <c r="F684" s="1613"/>
      <c r="G684" s="2199"/>
      <c r="H684" s="1501" t="str">
        <f t="shared" si="15"/>
        <v/>
      </c>
    </row>
    <row r="685" spans="1:8" s="2" customFormat="1">
      <c r="A685" s="1791">
        <f>$A$4</f>
        <v>20</v>
      </c>
      <c r="B685" s="2889">
        <v>4.12</v>
      </c>
      <c r="C685" s="1620" t="s">
        <v>2515</v>
      </c>
      <c r="D685" s="1611" t="s">
        <v>1130</v>
      </c>
      <c r="E685" s="1619" t="s">
        <v>561</v>
      </c>
      <c r="F685" s="1613">
        <v>210</v>
      </c>
      <c r="G685" s="2876"/>
      <c r="H685" s="1501">
        <f t="shared" si="15"/>
        <v>0</v>
      </c>
    </row>
    <row r="686" spans="1:8" s="2" customFormat="1">
      <c r="A686" s="1763"/>
      <c r="B686" s="1618"/>
      <c r="C686" s="1612"/>
      <c r="D686" s="863"/>
      <c r="E686" s="1619"/>
      <c r="F686" s="1613" t="s">
        <v>2518</v>
      </c>
      <c r="G686" s="2876"/>
      <c r="H686" s="1501" t="str">
        <f t="shared" si="15"/>
        <v/>
      </c>
    </row>
    <row r="687" spans="1:8" s="2" customFormat="1" ht="15.6">
      <c r="A687" s="1791">
        <f>$A$4</f>
        <v>20</v>
      </c>
      <c r="B687" s="2889">
        <v>4.13</v>
      </c>
      <c r="C687" s="1620" t="s">
        <v>2515</v>
      </c>
      <c r="D687" s="863" t="s">
        <v>2519</v>
      </c>
      <c r="E687" s="1619" t="s">
        <v>561</v>
      </c>
      <c r="F687" s="1613">
        <v>210</v>
      </c>
      <c r="G687" s="2876"/>
      <c r="H687" s="1501">
        <f t="shared" si="15"/>
        <v>0</v>
      </c>
    </row>
    <row r="688" spans="1:8" s="2" customFormat="1">
      <c r="A688" s="1763"/>
      <c r="B688" s="1618"/>
      <c r="C688" s="1612"/>
      <c r="D688" s="863"/>
      <c r="E688" s="1619"/>
      <c r="F688" s="1613"/>
      <c r="G688" s="2876"/>
      <c r="H688" s="1501" t="str">
        <f t="shared" si="15"/>
        <v/>
      </c>
    </row>
    <row r="689" spans="1:8" s="2" customFormat="1">
      <c r="A689" s="1791">
        <f>$A$4</f>
        <v>20</v>
      </c>
      <c r="B689" s="2889">
        <v>4.1399999999999997</v>
      </c>
      <c r="C689" s="1620" t="s">
        <v>2515</v>
      </c>
      <c r="D689" s="1611" t="s">
        <v>2522</v>
      </c>
      <c r="E689" s="1619" t="s">
        <v>561</v>
      </c>
      <c r="F689" s="1613">
        <v>10</v>
      </c>
      <c r="G689" s="2199"/>
      <c r="H689" s="1501">
        <f t="shared" si="15"/>
        <v>0</v>
      </c>
    </row>
    <row r="690" spans="1:8" s="2" customFormat="1">
      <c r="A690" s="1763"/>
      <c r="B690" s="1618"/>
      <c r="C690" s="859"/>
      <c r="D690" s="2868"/>
      <c r="E690" s="1624"/>
      <c r="F690" s="1613"/>
      <c r="G690" s="1487"/>
      <c r="H690" s="1501" t="str">
        <f t="shared" si="15"/>
        <v/>
      </c>
    </row>
    <row r="691" spans="1:8" s="2" customFormat="1">
      <c r="A691" s="1791">
        <f>$A$4</f>
        <v>20</v>
      </c>
      <c r="B691" s="2889">
        <v>4.1500000000000004</v>
      </c>
      <c r="C691" s="2869" t="s">
        <v>2552</v>
      </c>
      <c r="D691" s="1611" t="s">
        <v>2553</v>
      </c>
      <c r="E691" s="1612" t="s">
        <v>561</v>
      </c>
      <c r="F691" s="1613">
        <v>240</v>
      </c>
      <c r="G691" s="2199"/>
      <c r="H691" s="1501">
        <f t="shared" si="15"/>
        <v>0</v>
      </c>
    </row>
    <row r="692" spans="1:8" s="2" customFormat="1">
      <c r="A692" s="1763"/>
      <c r="B692" s="1618"/>
      <c r="C692" s="1610"/>
      <c r="D692" s="2854"/>
      <c r="E692" s="1619"/>
      <c r="F692" s="2878"/>
      <c r="G692" s="2199"/>
      <c r="H692" s="1501" t="str">
        <f t="shared" si="15"/>
        <v/>
      </c>
    </row>
    <row r="693" spans="1:8" s="2" customFormat="1">
      <c r="A693" s="1763"/>
      <c r="B693" s="2926" t="s">
        <v>558</v>
      </c>
      <c r="C693" s="2877"/>
      <c r="D693" s="2879" t="s">
        <v>1139</v>
      </c>
      <c r="E693" s="2949"/>
      <c r="F693" s="2881"/>
      <c r="G693" s="2199"/>
      <c r="H693" s="1501" t="str">
        <f t="shared" si="15"/>
        <v/>
      </c>
    </row>
    <row r="694" spans="1:8" s="2" customFormat="1">
      <c r="A694" s="1763"/>
      <c r="B694" s="2926"/>
      <c r="C694" s="2877"/>
      <c r="D694" s="2879"/>
      <c r="E694" s="2949"/>
      <c r="F694" s="2881"/>
      <c r="G694" s="2199"/>
      <c r="H694" s="1501" t="str">
        <f t="shared" si="15"/>
        <v/>
      </c>
    </row>
    <row r="695" spans="1:8" s="2" customFormat="1">
      <c r="A695" s="1763"/>
      <c r="B695" s="2926"/>
      <c r="C695" s="2877"/>
      <c r="D695" s="2882" t="s">
        <v>1140</v>
      </c>
      <c r="E695" s="2949"/>
      <c r="F695" s="2881"/>
      <c r="G695" s="2199"/>
      <c r="H695" s="1501" t="str">
        <f t="shared" si="15"/>
        <v/>
      </c>
    </row>
    <row r="696" spans="1:8" s="2" customFormat="1">
      <c r="A696" s="1763"/>
      <c r="B696" s="2880"/>
      <c r="C696" s="1620"/>
      <c r="D696" s="2883"/>
      <c r="E696" s="2949"/>
      <c r="F696" s="2881"/>
      <c r="G696" s="2199"/>
      <c r="H696" s="1501" t="str">
        <f t="shared" si="15"/>
        <v/>
      </c>
    </row>
    <row r="697" spans="1:8" s="2" customFormat="1">
      <c r="A697" s="1791">
        <f>$A$4</f>
        <v>20</v>
      </c>
      <c r="B697" s="2889">
        <v>4.16</v>
      </c>
      <c r="C697" s="1620" t="s">
        <v>2515</v>
      </c>
      <c r="D697" s="2886" t="s">
        <v>1148</v>
      </c>
      <c r="E697" s="2043" t="s">
        <v>561</v>
      </c>
      <c r="F697" s="2885">
        <v>30</v>
      </c>
      <c r="G697" s="2199"/>
      <c r="H697" s="1501">
        <f t="shared" si="15"/>
        <v>0</v>
      </c>
    </row>
    <row r="698" spans="1:8" s="2" customFormat="1">
      <c r="A698" s="1763"/>
      <c r="B698" s="2880"/>
      <c r="C698" s="1620"/>
      <c r="D698" s="2886"/>
      <c r="E698" s="2043"/>
      <c r="F698" s="2885"/>
      <c r="G698" s="2199"/>
      <c r="H698" s="1501" t="str">
        <f t="shared" si="15"/>
        <v/>
      </c>
    </row>
    <row r="699" spans="1:8" s="2" customFormat="1">
      <c r="A699" s="1791">
        <f>$A$4</f>
        <v>20</v>
      </c>
      <c r="B699" s="2889">
        <v>4.17</v>
      </c>
      <c r="C699" s="1620" t="s">
        <v>2515</v>
      </c>
      <c r="D699" s="2886" t="s">
        <v>1150</v>
      </c>
      <c r="E699" s="2950" t="s">
        <v>561</v>
      </c>
      <c r="F699" s="2885">
        <v>60</v>
      </c>
      <c r="G699" s="2199"/>
      <c r="H699" s="1501">
        <f t="shared" si="15"/>
        <v>0</v>
      </c>
    </row>
    <row r="700" spans="1:8" s="2" customFormat="1">
      <c r="A700" s="1763"/>
      <c r="B700" s="2880"/>
      <c r="C700" s="2877"/>
      <c r="D700" s="2886"/>
      <c r="E700" s="2950"/>
      <c r="F700" s="2885"/>
      <c r="G700" s="2199"/>
      <c r="H700" s="1501" t="str">
        <f t="shared" si="15"/>
        <v/>
      </c>
    </row>
    <row r="701" spans="1:8" s="2" customFormat="1">
      <c r="A701" s="1791">
        <f>$A$4</f>
        <v>20</v>
      </c>
      <c r="B701" s="2889">
        <v>4.18</v>
      </c>
      <c r="C701" s="1620" t="s">
        <v>2515</v>
      </c>
      <c r="D701" s="2035" t="s">
        <v>1165</v>
      </c>
      <c r="E701" s="2950" t="s">
        <v>2485</v>
      </c>
      <c r="F701" s="2885">
        <v>4</v>
      </c>
      <c r="G701" s="2199"/>
      <c r="H701" s="1501">
        <f t="shared" si="15"/>
        <v>0</v>
      </c>
    </row>
    <row r="702" spans="1:8" s="2" customFormat="1">
      <c r="A702" s="1763"/>
      <c r="B702" s="2880"/>
      <c r="C702" s="1620"/>
      <c r="D702" s="2035"/>
      <c r="E702" s="2950"/>
      <c r="F702" s="2885"/>
      <c r="G702" s="2199"/>
      <c r="H702" s="1501" t="str">
        <f t="shared" si="15"/>
        <v/>
      </c>
    </row>
    <row r="703" spans="1:8" s="2" customFormat="1">
      <c r="A703" s="1791">
        <f>$A$4</f>
        <v>20</v>
      </c>
      <c r="B703" s="2889">
        <v>4.1900000000000004</v>
      </c>
      <c r="C703" s="1612" t="s">
        <v>2515</v>
      </c>
      <c r="D703" s="2035" t="s">
        <v>1167</v>
      </c>
      <c r="E703" s="2950" t="s">
        <v>2485</v>
      </c>
      <c r="F703" s="2885">
        <v>4</v>
      </c>
      <c r="G703" s="2199"/>
      <c r="H703" s="1501">
        <f t="shared" si="15"/>
        <v>0</v>
      </c>
    </row>
    <row r="704" spans="1:8" s="2" customFormat="1">
      <c r="A704" s="1763"/>
      <c r="B704" s="2930"/>
      <c r="C704" s="1612"/>
      <c r="D704" s="2035"/>
      <c r="E704" s="2950"/>
      <c r="F704" s="2885"/>
      <c r="G704" s="2199"/>
      <c r="H704" s="1501" t="str">
        <f t="shared" si="15"/>
        <v/>
      </c>
    </row>
    <row r="705" spans="1:8" s="2" customFormat="1" ht="26.4">
      <c r="A705" s="1763"/>
      <c r="B705" s="2928" t="s">
        <v>562</v>
      </c>
      <c r="C705" s="1610"/>
      <c r="D705" s="866" t="s">
        <v>2587</v>
      </c>
      <c r="E705" s="2940"/>
      <c r="F705" s="2855"/>
      <c r="G705" s="2199"/>
      <c r="H705" s="1501" t="str">
        <f t="shared" si="15"/>
        <v/>
      </c>
    </row>
    <row r="706" spans="1:8" s="2" customFormat="1">
      <c r="A706" s="1763"/>
      <c r="B706" s="2930"/>
      <c r="C706" s="1610"/>
      <c r="D706" s="857"/>
      <c r="E706" s="2940"/>
      <c r="F706" s="2855"/>
      <c r="G706" s="2199"/>
      <c r="H706" s="1501" t="str">
        <f t="shared" si="15"/>
        <v/>
      </c>
    </row>
    <row r="707" spans="1:8" s="2" customFormat="1" ht="26.4">
      <c r="A707" s="1791">
        <f>$A$4</f>
        <v>20</v>
      </c>
      <c r="B707" s="2960">
        <v>4.2</v>
      </c>
      <c r="C707" s="1610" t="s">
        <v>2483</v>
      </c>
      <c r="D707" s="1646" t="s">
        <v>2588</v>
      </c>
      <c r="E707" s="2940" t="s">
        <v>2485</v>
      </c>
      <c r="F707" s="2855">
        <v>1</v>
      </c>
      <c r="G707" s="2199"/>
      <c r="H707" s="1501">
        <f t="shared" si="15"/>
        <v>0</v>
      </c>
    </row>
    <row r="708" spans="1:8" s="2" customFormat="1">
      <c r="A708" s="1763"/>
      <c r="B708" s="2921"/>
      <c r="C708" s="1610"/>
      <c r="D708" s="857"/>
      <c r="E708" s="2940"/>
      <c r="F708" s="2855"/>
      <c r="G708" s="2858"/>
      <c r="H708" s="1501" t="str">
        <f t="shared" si="15"/>
        <v/>
      </c>
    </row>
    <row r="709" spans="1:8" s="2" customFormat="1" ht="26.4">
      <c r="A709" s="1791">
        <f>$A$4</f>
        <v>20</v>
      </c>
      <c r="B709" s="2889">
        <v>4.21</v>
      </c>
      <c r="C709" s="1610" t="s">
        <v>2486</v>
      </c>
      <c r="D709" s="2859" t="s">
        <v>2581</v>
      </c>
      <c r="E709" s="2940" t="s">
        <v>2485</v>
      </c>
      <c r="F709" s="2855">
        <v>1</v>
      </c>
      <c r="G709" s="2858"/>
      <c r="H709" s="1501">
        <f t="shared" si="15"/>
        <v>0</v>
      </c>
    </row>
    <row r="710" spans="1:8" s="2" customFormat="1">
      <c r="A710" s="1763"/>
      <c r="B710" s="2930"/>
      <c r="C710" s="1610"/>
      <c r="D710" s="857"/>
      <c r="E710" s="2940"/>
      <c r="F710" s="2855"/>
      <c r="G710" s="2858"/>
      <c r="H710" s="1501" t="str">
        <f t="shared" si="15"/>
        <v/>
      </c>
    </row>
    <row r="711" spans="1:8" s="12" customFormat="1" ht="26.4">
      <c r="A711" s="1791">
        <f>$A$4</f>
        <v>20</v>
      </c>
      <c r="B711" s="2889">
        <v>4.22</v>
      </c>
      <c r="C711" s="1610" t="s">
        <v>2483</v>
      </c>
      <c r="D711" s="1647" t="s">
        <v>2582</v>
      </c>
      <c r="E711" s="1610" t="s">
        <v>2485</v>
      </c>
      <c r="F711" s="2855">
        <v>2</v>
      </c>
      <c r="G711" s="2858"/>
      <c r="H711" s="1501">
        <f t="shared" si="15"/>
        <v>0</v>
      </c>
    </row>
    <row r="712" spans="1:8" s="2" customFormat="1">
      <c r="A712" s="1763"/>
      <c r="B712" s="2930"/>
      <c r="C712" s="1610"/>
      <c r="D712" s="856"/>
      <c r="E712" s="2940"/>
      <c r="F712" s="2855"/>
      <c r="G712" s="2858"/>
      <c r="H712" s="1501" t="str">
        <f t="shared" si="15"/>
        <v/>
      </c>
    </row>
    <row r="713" spans="1:8" s="2" customFormat="1" ht="26.4">
      <c r="A713" s="1791">
        <f>$A$4</f>
        <v>20</v>
      </c>
      <c r="B713" s="2889">
        <v>4.2300000000000004</v>
      </c>
      <c r="C713" s="1610" t="s">
        <v>2486</v>
      </c>
      <c r="D713" s="2859" t="s">
        <v>2494</v>
      </c>
      <c r="E713" s="2940" t="s">
        <v>2485</v>
      </c>
      <c r="F713" s="2855">
        <v>2</v>
      </c>
      <c r="G713" s="2858"/>
      <c r="H713" s="1501">
        <f t="shared" si="15"/>
        <v>0</v>
      </c>
    </row>
    <row r="714" spans="1:8" s="2" customFormat="1">
      <c r="A714" s="1763"/>
      <c r="B714" s="2930"/>
      <c r="C714" s="1612"/>
      <c r="D714" s="2035"/>
      <c r="E714" s="2950"/>
      <c r="F714" s="2885"/>
      <c r="G714" s="2199"/>
      <c r="H714" s="1501" t="str">
        <f t="shared" si="15"/>
        <v/>
      </c>
    </row>
    <row r="715" spans="1:8" s="2" customFormat="1">
      <c r="A715" s="1791">
        <f>$A$4</f>
        <v>20</v>
      </c>
      <c r="B715" s="2889">
        <v>4.24</v>
      </c>
      <c r="C715" s="1610" t="s">
        <v>2502</v>
      </c>
      <c r="D715" s="857" t="s">
        <v>2505</v>
      </c>
      <c r="E715" s="1624"/>
      <c r="F715" s="1613"/>
      <c r="G715" s="2199"/>
      <c r="H715" s="1501" t="str">
        <f t="shared" si="15"/>
        <v/>
      </c>
    </row>
    <row r="716" spans="1:8" s="2" customFormat="1">
      <c r="A716" s="1763"/>
      <c r="B716" s="2930"/>
      <c r="C716" s="1610"/>
      <c r="D716" s="857"/>
      <c r="E716" s="2940"/>
      <c r="F716" s="2855"/>
      <c r="G716" s="2858"/>
      <c r="H716" s="1501" t="str">
        <f t="shared" si="15"/>
        <v/>
      </c>
    </row>
    <row r="717" spans="1:8" s="2" customFormat="1" ht="26.4">
      <c r="A717" s="1791">
        <f>$A$4</f>
        <v>20</v>
      </c>
      <c r="B717" s="2889">
        <v>4.25</v>
      </c>
      <c r="C717" s="1610" t="s">
        <v>2486</v>
      </c>
      <c r="D717" s="2859" t="s">
        <v>2506</v>
      </c>
      <c r="E717" s="2940" t="s">
        <v>2485</v>
      </c>
      <c r="F717" s="2855">
        <v>18</v>
      </c>
      <c r="G717" s="2858"/>
      <c r="H717" s="1501">
        <f t="shared" si="15"/>
        <v>0</v>
      </c>
    </row>
    <row r="718" spans="1:8" s="2" customFormat="1">
      <c r="A718" s="1763"/>
      <c r="B718" s="2930"/>
      <c r="C718" s="1612"/>
      <c r="D718" s="2035"/>
      <c r="E718" s="2950"/>
      <c r="F718" s="2885"/>
      <c r="G718" s="2199"/>
      <c r="H718" s="1501" t="str">
        <f t="shared" si="15"/>
        <v/>
      </c>
    </row>
    <row r="719" spans="1:8" s="2" customFormat="1" ht="26.4">
      <c r="A719" s="1791">
        <f>$A$4</f>
        <v>20</v>
      </c>
      <c r="B719" s="2889">
        <v>4.26</v>
      </c>
      <c r="C719" s="1610" t="s">
        <v>2583</v>
      </c>
      <c r="D719" s="2859" t="s">
        <v>2584</v>
      </c>
      <c r="E719" s="1783" t="s">
        <v>2485</v>
      </c>
      <c r="F719" s="2860">
        <v>1</v>
      </c>
      <c r="G719" s="2858"/>
      <c r="H719" s="1501">
        <f t="shared" si="15"/>
        <v>0</v>
      </c>
    </row>
    <row r="720" spans="1:8" s="2" customFormat="1">
      <c r="A720" s="1763"/>
      <c r="B720" s="2930"/>
      <c r="C720" s="1610"/>
      <c r="D720" s="2859"/>
      <c r="E720" s="1783"/>
      <c r="F720" s="2860"/>
      <c r="G720" s="2858"/>
      <c r="H720" s="1501" t="str">
        <f t="shared" si="15"/>
        <v/>
      </c>
    </row>
    <row r="721" spans="1:8" s="2" customFormat="1" ht="26.4">
      <c r="A721" s="1791">
        <f>$A$4</f>
        <v>20</v>
      </c>
      <c r="B721" s="2889">
        <v>4.2699999999999996</v>
      </c>
      <c r="C721" s="1610" t="s">
        <v>2585</v>
      </c>
      <c r="D721" s="857" t="s">
        <v>2586</v>
      </c>
      <c r="E721" s="1610" t="s">
        <v>2485</v>
      </c>
      <c r="F721" s="2855">
        <v>1</v>
      </c>
      <c r="G721" s="2858"/>
      <c r="H721" s="1501">
        <f t="shared" si="15"/>
        <v>0</v>
      </c>
    </row>
    <row r="722" spans="1:8" s="2" customFormat="1">
      <c r="A722" s="1763"/>
      <c r="B722" s="2930"/>
      <c r="C722" s="1610"/>
      <c r="D722" s="2859"/>
      <c r="E722" s="2961"/>
      <c r="F722" s="2855"/>
      <c r="G722" s="2858"/>
      <c r="H722" s="1501" t="str">
        <f t="shared" si="15"/>
        <v/>
      </c>
    </row>
    <row r="723" spans="1:8" s="2" customFormat="1">
      <c r="A723" s="1763"/>
      <c r="B723" s="2919" t="s">
        <v>580</v>
      </c>
      <c r="C723" s="1623"/>
      <c r="D723" s="867" t="s">
        <v>1121</v>
      </c>
      <c r="E723" s="1624"/>
      <c r="F723" s="1613"/>
      <c r="G723" s="2199"/>
      <c r="H723" s="1501" t="str">
        <f t="shared" si="15"/>
        <v/>
      </c>
    </row>
    <row r="724" spans="1:8" s="2" customFormat="1">
      <c r="A724" s="1763"/>
      <c r="B724" s="1618"/>
      <c r="C724" s="859"/>
      <c r="D724" s="2868"/>
      <c r="E724" s="1624"/>
      <c r="F724" s="1613"/>
      <c r="G724" s="2199"/>
      <c r="H724" s="1501" t="str">
        <f t="shared" si="15"/>
        <v/>
      </c>
    </row>
    <row r="725" spans="1:8" s="2" customFormat="1">
      <c r="A725" s="1763"/>
      <c r="B725" s="2919"/>
      <c r="C725" s="868"/>
      <c r="D725" s="2867" t="s">
        <v>2589</v>
      </c>
      <c r="E725" s="1624"/>
      <c r="F725" s="1613"/>
      <c r="G725" s="2199"/>
      <c r="H725" s="1501" t="str">
        <f t="shared" si="15"/>
        <v/>
      </c>
    </row>
    <row r="726" spans="1:8" s="2" customFormat="1">
      <c r="A726" s="1763"/>
      <c r="B726" s="1618"/>
      <c r="C726" s="859"/>
      <c r="D726" s="2868"/>
      <c r="E726" s="1624"/>
      <c r="F726" s="1613"/>
      <c r="G726" s="2199"/>
      <c r="H726" s="1501" t="str">
        <f t="shared" si="15"/>
        <v/>
      </c>
    </row>
    <row r="727" spans="1:8" s="2" customFormat="1">
      <c r="A727" s="1791">
        <f>$A$4</f>
        <v>20</v>
      </c>
      <c r="B727" s="1618">
        <v>4.28</v>
      </c>
      <c r="C727" s="1620" t="s">
        <v>2515</v>
      </c>
      <c r="D727" s="1611" t="s">
        <v>1124</v>
      </c>
      <c r="E727" s="1624" t="s">
        <v>561</v>
      </c>
      <c r="F727" s="1613">
        <v>720</v>
      </c>
      <c r="G727" s="2199"/>
      <c r="H727" s="1501">
        <f t="shared" si="15"/>
        <v>0</v>
      </c>
    </row>
    <row r="728" spans="1:8" s="2" customFormat="1">
      <c r="A728" s="1763"/>
      <c r="B728" s="1618"/>
      <c r="C728" s="859"/>
      <c r="D728" s="2868"/>
      <c r="E728" s="1624"/>
      <c r="F728" s="1613"/>
      <c r="G728" s="2199"/>
      <c r="H728" s="1501" t="str">
        <f t="shared" si="15"/>
        <v/>
      </c>
    </row>
    <row r="729" spans="1:8" s="2" customFormat="1">
      <c r="A729" s="1791">
        <f>$A$4</f>
        <v>20</v>
      </c>
      <c r="B729" s="1618">
        <v>4.29</v>
      </c>
      <c r="C729" s="1620" t="s">
        <v>2515</v>
      </c>
      <c r="D729" s="1611" t="s">
        <v>1126</v>
      </c>
      <c r="E729" s="1619" t="s">
        <v>561</v>
      </c>
      <c r="F729" s="1613">
        <v>1845</v>
      </c>
      <c r="G729" s="2199"/>
      <c r="H729" s="1501">
        <f t="shared" si="15"/>
        <v>0</v>
      </c>
    </row>
    <row r="730" spans="1:8" s="2" customFormat="1">
      <c r="A730" s="1763"/>
      <c r="B730" s="1618"/>
      <c r="C730" s="1610"/>
      <c r="D730" s="2868"/>
      <c r="E730" s="1624"/>
      <c r="F730" s="1613"/>
      <c r="G730" s="2199"/>
      <c r="H730" s="1501" t="str">
        <f t="shared" si="15"/>
        <v/>
      </c>
    </row>
    <row r="731" spans="1:8" s="2" customFormat="1">
      <c r="A731" s="1791">
        <f>$A$4</f>
        <v>20</v>
      </c>
      <c r="B731" s="2943">
        <v>4.3</v>
      </c>
      <c r="C731" s="1620" t="s">
        <v>2515</v>
      </c>
      <c r="D731" s="1611" t="s">
        <v>1128</v>
      </c>
      <c r="E731" s="1619" t="s">
        <v>561</v>
      </c>
      <c r="F731" s="1613">
        <v>2010</v>
      </c>
      <c r="G731" s="2876"/>
      <c r="H731" s="1501">
        <f t="shared" si="15"/>
        <v>0</v>
      </c>
    </row>
    <row r="732" spans="1:8" s="2" customFormat="1">
      <c r="A732" s="1763"/>
      <c r="B732" s="1618"/>
      <c r="C732" s="859"/>
      <c r="D732" s="2868"/>
      <c r="E732" s="1624"/>
      <c r="F732" s="1613"/>
      <c r="G732" s="2199"/>
      <c r="H732" s="1501" t="str">
        <f t="shared" si="15"/>
        <v/>
      </c>
    </row>
    <row r="733" spans="1:8" s="2" customFormat="1">
      <c r="A733" s="1791">
        <f>$A$4</f>
        <v>20</v>
      </c>
      <c r="B733" s="1618">
        <v>4.3099999999999996</v>
      </c>
      <c r="C733" s="1620" t="s">
        <v>2515</v>
      </c>
      <c r="D733" s="1611" t="s">
        <v>1130</v>
      </c>
      <c r="E733" s="1619" t="s">
        <v>561</v>
      </c>
      <c r="F733" s="1613">
        <v>210</v>
      </c>
      <c r="G733" s="2876"/>
      <c r="H733" s="1501">
        <f t="shared" si="15"/>
        <v>0</v>
      </c>
    </row>
    <row r="734" spans="1:8" s="2" customFormat="1">
      <c r="A734" s="1763"/>
      <c r="B734" s="1618"/>
      <c r="C734" s="1620"/>
      <c r="D734" s="1611"/>
      <c r="E734" s="1619"/>
      <c r="F734" s="1613"/>
      <c r="G734" s="2199"/>
      <c r="H734" s="1501" t="str">
        <f t="shared" si="15"/>
        <v/>
      </c>
    </row>
    <row r="735" spans="1:8" s="2" customFormat="1">
      <c r="A735" s="1763"/>
      <c r="B735" s="1618"/>
      <c r="C735" s="1620"/>
      <c r="D735" s="1611"/>
      <c r="E735" s="1619"/>
      <c r="F735" s="1613"/>
      <c r="G735" s="2199"/>
      <c r="H735" s="1501" t="str">
        <f t="shared" si="15"/>
        <v/>
      </c>
    </row>
    <row r="736" spans="1:8" s="2" customFormat="1">
      <c r="A736" s="1763"/>
      <c r="B736" s="1618"/>
      <c r="C736" s="1620"/>
      <c r="D736" s="1611"/>
      <c r="E736" s="1619"/>
      <c r="F736" s="1613"/>
      <c r="G736" s="2199"/>
      <c r="H736" s="1501" t="str">
        <f t="shared" si="15"/>
        <v/>
      </c>
    </row>
    <row r="737" spans="1:8" s="2" customFormat="1" ht="15.6">
      <c r="A737" s="1791">
        <f>$A$4</f>
        <v>20</v>
      </c>
      <c r="B737" s="1618">
        <v>4.32</v>
      </c>
      <c r="C737" s="1620" t="s">
        <v>2515</v>
      </c>
      <c r="D737" s="863" t="s">
        <v>2519</v>
      </c>
      <c r="E737" s="1619" t="s">
        <v>561</v>
      </c>
      <c r="F737" s="1613">
        <v>210</v>
      </c>
      <c r="G737" s="2876"/>
      <c r="H737" s="1501">
        <f t="shared" si="15"/>
        <v>0</v>
      </c>
    </row>
    <row r="738" spans="1:8" s="2" customFormat="1">
      <c r="A738" s="1763"/>
      <c r="B738" s="1618"/>
      <c r="C738" s="1612"/>
      <c r="D738" s="863"/>
      <c r="E738" s="1619"/>
      <c r="F738" s="1613"/>
      <c r="G738" s="2876"/>
      <c r="H738" s="1501" t="str">
        <f t="shared" si="15"/>
        <v/>
      </c>
    </row>
    <row r="739" spans="1:8" s="2" customFormat="1">
      <c r="A739" s="1791">
        <f>$A$4</f>
        <v>20</v>
      </c>
      <c r="B739" s="2943">
        <v>4.33</v>
      </c>
      <c r="C739" s="1620" t="s">
        <v>2515</v>
      </c>
      <c r="D739" s="1611" t="s">
        <v>2522</v>
      </c>
      <c r="E739" s="1619" t="s">
        <v>561</v>
      </c>
      <c r="F739" s="1613">
        <v>10</v>
      </c>
      <c r="G739" s="2199"/>
      <c r="H739" s="1501">
        <f t="shared" si="15"/>
        <v>0</v>
      </c>
    </row>
    <row r="740" spans="1:8" s="2" customFormat="1">
      <c r="A740" s="1763"/>
      <c r="B740" s="1618"/>
      <c r="C740" s="1620"/>
      <c r="D740" s="1611"/>
      <c r="E740" s="1619"/>
      <c r="F740" s="1613"/>
      <c r="G740" s="2199"/>
      <c r="H740" s="1501" t="str">
        <f t="shared" si="15"/>
        <v/>
      </c>
    </row>
    <row r="741" spans="1:8" s="2" customFormat="1">
      <c r="A741" s="1791">
        <f>$A$4</f>
        <v>20</v>
      </c>
      <c r="B741" s="1618">
        <v>4.34</v>
      </c>
      <c r="C741" s="2869" t="s">
        <v>2552</v>
      </c>
      <c r="D741" s="1611" t="s">
        <v>2553</v>
      </c>
      <c r="E741" s="1612" t="s">
        <v>561</v>
      </c>
      <c r="F741" s="1613">
        <v>240</v>
      </c>
      <c r="G741" s="2199"/>
      <c r="H741" s="1501">
        <f t="shared" si="15"/>
        <v>0</v>
      </c>
    </row>
    <row r="742" spans="1:8" s="2" customFormat="1">
      <c r="A742" s="1763"/>
      <c r="B742" s="2930"/>
      <c r="C742" s="1610"/>
      <c r="D742" s="2859"/>
      <c r="E742" s="2961"/>
      <c r="F742" s="2855"/>
      <c r="G742" s="2858"/>
      <c r="H742" s="1501" t="str">
        <f t="shared" si="15"/>
        <v/>
      </c>
    </row>
    <row r="743" spans="1:8" s="2" customFormat="1">
      <c r="A743" s="1791"/>
      <c r="B743" s="2928" t="s">
        <v>586</v>
      </c>
      <c r="C743" s="2887"/>
      <c r="D743" s="2898" t="s">
        <v>2576</v>
      </c>
      <c r="E743" s="1621"/>
      <c r="F743" s="1622"/>
      <c r="G743" s="2199"/>
      <c r="H743" s="1501" t="str">
        <f t="shared" ref="H743:H746" si="16">IF(E743="","",ROUND(F743*G743,2))</f>
        <v/>
      </c>
    </row>
    <row r="744" spans="1:8" s="2" customFormat="1">
      <c r="A744" s="1763"/>
      <c r="B744" s="2889"/>
      <c r="C744" s="2869"/>
      <c r="D744" s="2899"/>
      <c r="E744" s="1621"/>
      <c r="F744" s="1622"/>
      <c r="G744" s="2199"/>
      <c r="H744" s="1501" t="str">
        <f t="shared" si="16"/>
        <v/>
      </c>
    </row>
    <row r="745" spans="1:8" s="2" customFormat="1">
      <c r="A745" s="1791">
        <f>$A$4</f>
        <v>20</v>
      </c>
      <c r="B745" s="1618">
        <v>4.3499999999999996</v>
      </c>
      <c r="C745" s="1612" t="s">
        <v>2515</v>
      </c>
      <c r="D745" s="1611" t="s">
        <v>1124</v>
      </c>
      <c r="E745" s="1617" t="s">
        <v>2485</v>
      </c>
      <c r="F745" s="1622">
        <v>4</v>
      </c>
      <c r="G745" s="2199"/>
      <c r="H745" s="1501">
        <f t="shared" si="16"/>
        <v>0</v>
      </c>
    </row>
    <row r="746" spans="1:8" s="2" customFormat="1">
      <c r="A746" s="1791"/>
      <c r="B746" s="1618"/>
      <c r="C746" s="1612"/>
      <c r="D746" s="1611"/>
      <c r="E746" s="1617"/>
      <c r="F746" s="1622"/>
      <c r="G746" s="2199"/>
      <c r="H746" s="1501" t="str">
        <f t="shared" si="16"/>
        <v/>
      </c>
    </row>
    <row r="747" spans="1:8" s="2" customFormat="1">
      <c r="A747" s="1763"/>
      <c r="B747" s="1618"/>
      <c r="C747" s="1620"/>
      <c r="D747" s="1611"/>
      <c r="E747" s="1619"/>
      <c r="F747" s="1613"/>
      <c r="G747" s="2199"/>
      <c r="H747" s="1625"/>
    </row>
    <row r="748" spans="1:8" s="2" customFormat="1">
      <c r="A748" s="1786"/>
      <c r="B748" s="787"/>
      <c r="C748" s="861"/>
      <c r="D748" s="862"/>
      <c r="E748" s="870"/>
      <c r="F748" s="800"/>
      <c r="G748" s="1485"/>
      <c r="H748" s="2936"/>
    </row>
    <row r="749" spans="1:8" s="2" customFormat="1">
      <c r="A749" s="2566"/>
      <c r="B749" s="566"/>
      <c r="C749" s="419"/>
      <c r="D749" s="413" t="s">
        <v>289</v>
      </c>
      <c r="E749" s="418"/>
      <c r="F749" s="425"/>
      <c r="G749" s="1486"/>
      <c r="H749" s="2937">
        <f>SUM(H673:H747)</f>
        <v>0</v>
      </c>
    </row>
    <row r="750" spans="1:8" s="2" customFormat="1">
      <c r="A750" s="1763"/>
      <c r="B750" s="1791"/>
      <c r="C750" s="1616"/>
      <c r="D750" s="1552" t="s">
        <v>290</v>
      </c>
      <c r="E750" s="2196"/>
      <c r="F750" s="1550"/>
      <c r="G750" s="2199"/>
      <c r="H750" s="1625">
        <f>H749</f>
        <v>0</v>
      </c>
    </row>
    <row r="751" spans="1:8" s="2" customFormat="1">
      <c r="A751" s="1763"/>
      <c r="B751" s="1791"/>
      <c r="C751" s="1616"/>
      <c r="D751" s="1552"/>
      <c r="E751" s="2196"/>
      <c r="F751" s="1550"/>
      <c r="G751" s="2199"/>
      <c r="H751" s="1625"/>
    </row>
    <row r="752" spans="1:8" s="2" customFormat="1">
      <c r="A752" s="1791">
        <f>$A$4</f>
        <v>20</v>
      </c>
      <c r="B752" s="2943">
        <v>4.3600000000000003</v>
      </c>
      <c r="C752" s="1612" t="s">
        <v>2515</v>
      </c>
      <c r="D752" s="1611" t="s">
        <v>1126</v>
      </c>
      <c r="E752" s="1617" t="s">
        <v>2485</v>
      </c>
      <c r="F752" s="2927">
        <v>27</v>
      </c>
      <c r="G752" s="2199"/>
      <c r="H752" s="1501">
        <f t="shared" ref="H752:H815" si="17">IF(E752="","",ROUND(F752*G752,2))</f>
        <v>0</v>
      </c>
    </row>
    <row r="753" spans="1:8" s="2" customFormat="1">
      <c r="A753" s="1763"/>
      <c r="B753" s="2889"/>
      <c r="C753" s="2869"/>
      <c r="D753" s="2898"/>
      <c r="E753" s="1621"/>
      <c r="F753" s="1622"/>
      <c r="G753" s="2199"/>
      <c r="H753" s="1501" t="str">
        <f t="shared" si="17"/>
        <v/>
      </c>
    </row>
    <row r="754" spans="1:8" s="2" customFormat="1">
      <c r="A754" s="1791">
        <f>$A$4</f>
        <v>20</v>
      </c>
      <c r="B754" s="1618">
        <v>4.37</v>
      </c>
      <c r="C754" s="1612" t="s">
        <v>2515</v>
      </c>
      <c r="D754" s="1611" t="s">
        <v>1128</v>
      </c>
      <c r="E754" s="1617" t="s">
        <v>2485</v>
      </c>
      <c r="F754" s="1622">
        <v>21</v>
      </c>
      <c r="G754" s="2199"/>
      <c r="H754" s="1501">
        <f t="shared" si="17"/>
        <v>0</v>
      </c>
    </row>
    <row r="755" spans="1:8" s="2" customFormat="1">
      <c r="A755" s="1763"/>
      <c r="B755" s="2921"/>
      <c r="C755" s="1610"/>
      <c r="D755" s="857"/>
      <c r="E755" s="2940"/>
      <c r="F755" s="2855"/>
      <c r="G755" s="2858"/>
      <c r="H755" s="1501" t="str">
        <f t="shared" si="17"/>
        <v/>
      </c>
    </row>
    <row r="756" spans="1:8" s="2" customFormat="1">
      <c r="A756" s="1791">
        <f>$A$4</f>
        <v>20</v>
      </c>
      <c r="B756" s="1618">
        <v>4.38</v>
      </c>
      <c r="C756" s="1612" t="s">
        <v>2515</v>
      </c>
      <c r="D756" s="1611" t="s">
        <v>1130</v>
      </c>
      <c r="E756" s="1617" t="s">
        <v>2485</v>
      </c>
      <c r="F756" s="1622">
        <v>3</v>
      </c>
      <c r="G756" s="2199"/>
      <c r="H756" s="1501">
        <f t="shared" si="17"/>
        <v>0</v>
      </c>
    </row>
    <row r="757" spans="1:8" s="2" customFormat="1">
      <c r="A757" s="1763"/>
      <c r="B757" s="2889"/>
      <c r="C757" s="1612"/>
      <c r="D757" s="1611"/>
      <c r="E757" s="2951"/>
      <c r="F757" s="1622"/>
      <c r="G757" s="2199"/>
      <c r="H757" s="1501" t="str">
        <f t="shared" si="17"/>
        <v/>
      </c>
    </row>
    <row r="758" spans="1:8" s="2" customFormat="1" ht="15.6">
      <c r="A758" s="1791">
        <f>$A$4</f>
        <v>20</v>
      </c>
      <c r="B758" s="1618">
        <v>4.3899999999999997</v>
      </c>
      <c r="C758" s="1612" t="s">
        <v>2515</v>
      </c>
      <c r="D758" s="1611" t="s">
        <v>2519</v>
      </c>
      <c r="E758" s="1617" t="s">
        <v>2485</v>
      </c>
      <c r="F758" s="1622">
        <v>3</v>
      </c>
      <c r="G758" s="2199"/>
      <c r="H758" s="1501">
        <f t="shared" si="17"/>
        <v>0</v>
      </c>
    </row>
    <row r="759" spans="1:8" s="2" customFormat="1">
      <c r="A759" s="1763"/>
      <c r="B759" s="2889"/>
      <c r="C759" s="1612"/>
      <c r="D759" s="1611"/>
      <c r="E759" s="2951"/>
      <c r="F759" s="1622"/>
      <c r="G759" s="2199"/>
      <c r="H759" s="1501" t="str">
        <f t="shared" si="17"/>
        <v/>
      </c>
    </row>
    <row r="760" spans="1:8" s="2" customFormat="1">
      <c r="A760" s="1791">
        <f>$A$4</f>
        <v>20</v>
      </c>
      <c r="B760" s="2943">
        <v>4.4000000000000004</v>
      </c>
      <c r="C760" s="1612" t="s">
        <v>2515</v>
      </c>
      <c r="D760" s="1611" t="s">
        <v>2522</v>
      </c>
      <c r="E760" s="1617" t="s">
        <v>2485</v>
      </c>
      <c r="F760" s="2927">
        <v>1</v>
      </c>
      <c r="G760" s="2199"/>
      <c r="H760" s="1501">
        <f t="shared" si="17"/>
        <v>0</v>
      </c>
    </row>
    <row r="761" spans="1:8" s="2" customFormat="1">
      <c r="A761" s="1763"/>
      <c r="B761" s="2889"/>
      <c r="C761" s="1612"/>
      <c r="D761" s="1611"/>
      <c r="E761" s="2951"/>
      <c r="F761" s="2955"/>
      <c r="G761" s="2199"/>
      <c r="H761" s="1501" t="str">
        <f t="shared" si="17"/>
        <v/>
      </c>
    </row>
    <row r="762" spans="1:8" s="2" customFormat="1">
      <c r="A762" s="1791">
        <f>$A$4</f>
        <v>20</v>
      </c>
      <c r="B762" s="1618">
        <v>4.41</v>
      </c>
      <c r="C762" s="2869" t="s">
        <v>2552</v>
      </c>
      <c r="D762" s="1611" t="s">
        <v>2553</v>
      </c>
      <c r="E762" s="1617" t="s">
        <v>2485</v>
      </c>
      <c r="F762" s="1622">
        <v>1</v>
      </c>
      <c r="G762" s="2199"/>
      <c r="H762" s="1501">
        <f t="shared" si="17"/>
        <v>0</v>
      </c>
    </row>
    <row r="763" spans="1:8" s="2" customFormat="1">
      <c r="A763" s="1763"/>
      <c r="B763" s="1618"/>
      <c r="C763" s="2869"/>
      <c r="D763" s="1611"/>
      <c r="E763" s="1617"/>
      <c r="F763" s="1622"/>
      <c r="G763" s="2199"/>
      <c r="H763" s="1501" t="str">
        <f t="shared" si="17"/>
        <v/>
      </c>
    </row>
    <row r="764" spans="1:8" s="2" customFormat="1">
      <c r="A764" s="1791"/>
      <c r="B764" s="2934" t="s">
        <v>597</v>
      </c>
      <c r="C764" s="2902"/>
      <c r="D764" s="2879" t="s">
        <v>1139</v>
      </c>
      <c r="E764" s="2956"/>
      <c r="F764" s="2906"/>
      <c r="G764" s="2199"/>
      <c r="H764" s="1501" t="str">
        <f t="shared" si="17"/>
        <v/>
      </c>
    </row>
    <row r="765" spans="1:8" s="2" customFormat="1">
      <c r="A765" s="1763"/>
      <c r="B765" s="2934"/>
      <c r="C765" s="2902"/>
      <c r="D765" s="2879"/>
      <c r="E765" s="2956"/>
      <c r="F765" s="2906"/>
      <c r="G765" s="2199"/>
      <c r="H765" s="1501" t="str">
        <f t="shared" si="17"/>
        <v/>
      </c>
    </row>
    <row r="766" spans="1:8" s="2" customFormat="1">
      <c r="A766" s="1763"/>
      <c r="B766" s="2934"/>
      <c r="C766" s="2902"/>
      <c r="D766" s="2907" t="s">
        <v>2590</v>
      </c>
      <c r="E766" s="2956"/>
      <c r="F766" s="2906"/>
      <c r="G766" s="2199"/>
      <c r="H766" s="1501" t="str">
        <f t="shared" si="17"/>
        <v/>
      </c>
    </row>
    <row r="767" spans="1:8" s="2" customFormat="1">
      <c r="A767" s="1763"/>
      <c r="B767" s="2905"/>
      <c r="C767" s="2904"/>
      <c r="D767" s="2908"/>
      <c r="E767" s="2956"/>
      <c r="F767" s="2906"/>
      <c r="G767" s="2199"/>
      <c r="H767" s="1501" t="str">
        <f t="shared" si="17"/>
        <v/>
      </c>
    </row>
    <row r="768" spans="1:8" s="2" customFormat="1">
      <c r="A768" s="1791">
        <f>$A$4</f>
        <v>20</v>
      </c>
      <c r="B768" s="1618">
        <v>4.42</v>
      </c>
      <c r="C768" s="1620" t="s">
        <v>2515</v>
      </c>
      <c r="D768" s="2886" t="s">
        <v>1148</v>
      </c>
      <c r="E768" s="2043" t="s">
        <v>561</v>
      </c>
      <c r="F768" s="2885">
        <v>30</v>
      </c>
      <c r="G768" s="2199"/>
      <c r="H768" s="1501">
        <f t="shared" si="17"/>
        <v>0</v>
      </c>
    </row>
    <row r="769" spans="1:8" s="2" customFormat="1">
      <c r="A769" s="1763"/>
      <c r="B769" s="2905"/>
      <c r="C769" s="1620"/>
      <c r="D769" s="2886"/>
      <c r="E769" s="2043"/>
      <c r="F769" s="2885"/>
      <c r="G769" s="2199"/>
      <c r="H769" s="1501" t="str">
        <f t="shared" si="17"/>
        <v/>
      </c>
    </row>
    <row r="770" spans="1:8" s="2" customFormat="1">
      <c r="A770" s="1791">
        <f>$A$4</f>
        <v>20</v>
      </c>
      <c r="B770" s="1618">
        <v>4.43</v>
      </c>
      <c r="C770" s="1620" t="s">
        <v>2515</v>
      </c>
      <c r="D770" s="2886" t="s">
        <v>1150</v>
      </c>
      <c r="E770" s="2950" t="s">
        <v>561</v>
      </c>
      <c r="F770" s="2885">
        <v>60</v>
      </c>
      <c r="G770" s="2199"/>
      <c r="H770" s="1501">
        <f t="shared" si="17"/>
        <v>0</v>
      </c>
    </row>
    <row r="771" spans="1:8" s="2" customFormat="1">
      <c r="A771" s="1763"/>
      <c r="B771" s="2905"/>
      <c r="C771" s="2877"/>
      <c r="D771" s="2886"/>
      <c r="E771" s="2950"/>
      <c r="F771" s="2885"/>
      <c r="G771" s="2199"/>
      <c r="H771" s="1501" t="str">
        <f t="shared" si="17"/>
        <v/>
      </c>
    </row>
    <row r="772" spans="1:8" s="2" customFormat="1">
      <c r="A772" s="1791">
        <f>$A$4</f>
        <v>20</v>
      </c>
      <c r="B772" s="1618">
        <v>4.4400000000000004</v>
      </c>
      <c r="C772" s="1620" t="s">
        <v>2515</v>
      </c>
      <c r="D772" s="2035" t="s">
        <v>1165</v>
      </c>
      <c r="E772" s="2950" t="s">
        <v>2485</v>
      </c>
      <c r="F772" s="2885">
        <v>4</v>
      </c>
      <c r="G772" s="2199"/>
      <c r="H772" s="1501">
        <f t="shared" si="17"/>
        <v>0</v>
      </c>
    </row>
    <row r="773" spans="1:8" s="2" customFormat="1">
      <c r="A773" s="1763"/>
      <c r="B773" s="2930"/>
      <c r="C773" s="1612"/>
      <c r="D773" s="2035"/>
      <c r="E773" s="2950"/>
      <c r="F773" s="2885"/>
      <c r="G773" s="2199"/>
      <c r="H773" s="1501" t="str">
        <f t="shared" si="17"/>
        <v/>
      </c>
    </row>
    <row r="774" spans="1:8" s="2" customFormat="1">
      <c r="A774" s="1791">
        <f>$A$4</f>
        <v>20</v>
      </c>
      <c r="B774" s="1618">
        <v>4.45</v>
      </c>
      <c r="C774" s="1612" t="s">
        <v>2515</v>
      </c>
      <c r="D774" s="2035" t="s">
        <v>1167</v>
      </c>
      <c r="E774" s="2950" t="s">
        <v>2485</v>
      </c>
      <c r="F774" s="2885">
        <v>4</v>
      </c>
      <c r="G774" s="2199"/>
      <c r="H774" s="1501">
        <f t="shared" si="17"/>
        <v>0</v>
      </c>
    </row>
    <row r="775" spans="1:8" s="2" customFormat="1" ht="13.5" customHeight="1">
      <c r="A775" s="1763"/>
      <c r="B775" s="1616"/>
      <c r="C775" s="1616"/>
      <c r="D775" s="2035"/>
      <c r="E775" s="2196"/>
      <c r="F775" s="1550"/>
      <c r="G775" s="2199"/>
      <c r="H775" s="1501" t="str">
        <f t="shared" si="17"/>
        <v/>
      </c>
    </row>
    <row r="776" spans="1:8" s="2" customFormat="1">
      <c r="A776" s="1763"/>
      <c r="B776" s="2934" t="s">
        <v>1515</v>
      </c>
      <c r="C776" s="1612"/>
      <c r="D776" s="2910" t="s">
        <v>1235</v>
      </c>
      <c r="E776" s="2951"/>
      <c r="F776" s="2927"/>
      <c r="G776" s="2199"/>
      <c r="H776" s="1501" t="str">
        <f t="shared" si="17"/>
        <v/>
      </c>
    </row>
    <row r="777" spans="1:8" s="2" customFormat="1">
      <c r="A777" s="1763"/>
      <c r="B777" s="2905"/>
      <c r="C777" s="1612"/>
      <c r="D777" s="2910"/>
      <c r="E777" s="2951"/>
      <c r="F777" s="2927"/>
      <c r="G777" s="2199"/>
      <c r="H777" s="1501" t="str">
        <f t="shared" si="17"/>
        <v/>
      </c>
    </row>
    <row r="778" spans="1:8" s="2" customFormat="1" ht="26.4">
      <c r="A778" s="1791">
        <f>$A$4</f>
        <v>20</v>
      </c>
      <c r="B778" s="1618">
        <v>4.46</v>
      </c>
      <c r="C778" s="1612" t="s">
        <v>2515</v>
      </c>
      <c r="D778" s="1626" t="s">
        <v>2558</v>
      </c>
      <c r="E778" s="1617" t="s">
        <v>561</v>
      </c>
      <c r="F778" s="1627">
        <v>230</v>
      </c>
      <c r="G778" s="2199"/>
      <c r="H778" s="1501">
        <f t="shared" si="17"/>
        <v>0</v>
      </c>
    </row>
    <row r="779" spans="1:8" s="2" customFormat="1">
      <c r="A779" s="1763"/>
      <c r="B779" s="2905"/>
      <c r="C779" s="1612"/>
      <c r="D779" s="1626"/>
      <c r="E779" s="2918"/>
      <c r="F779" s="1627"/>
      <c r="G779" s="2199"/>
      <c r="H779" s="1501" t="str">
        <f t="shared" si="17"/>
        <v/>
      </c>
    </row>
    <row r="780" spans="1:8" s="2" customFormat="1" ht="26.4">
      <c r="A780" s="1791">
        <f>$A$4</f>
        <v>20</v>
      </c>
      <c r="B780" s="1618">
        <v>4.47</v>
      </c>
      <c r="C780" s="1612" t="s">
        <v>2515</v>
      </c>
      <c r="D780" s="1626" t="s">
        <v>2559</v>
      </c>
      <c r="E780" s="2911" t="s">
        <v>561</v>
      </c>
      <c r="F780" s="2885">
        <v>5</v>
      </c>
      <c r="G780" s="2199"/>
      <c r="H780" s="1501">
        <f t="shared" si="17"/>
        <v>0</v>
      </c>
    </row>
    <row r="781" spans="1:8" s="2" customFormat="1">
      <c r="A781" s="1763"/>
      <c r="B781" s="2905"/>
      <c r="C781" s="1612"/>
      <c r="D781" s="2035"/>
      <c r="E781" s="2911"/>
      <c r="F781" s="2885"/>
      <c r="G781" s="2199"/>
      <c r="H781" s="1501" t="str">
        <f t="shared" si="17"/>
        <v/>
      </c>
    </row>
    <row r="782" spans="1:8" s="2" customFormat="1">
      <c r="A782" s="1791">
        <f>$A$4</f>
        <v>20</v>
      </c>
      <c r="B782" s="1618">
        <v>4.4800000000000004</v>
      </c>
      <c r="C782" s="1612" t="s">
        <v>2535</v>
      </c>
      <c r="D782" s="2914" t="s">
        <v>2536</v>
      </c>
      <c r="E782" s="2913" t="s">
        <v>2485</v>
      </c>
      <c r="F782" s="1627">
        <v>5</v>
      </c>
      <c r="G782" s="2199"/>
      <c r="H782" s="1501">
        <f t="shared" si="17"/>
        <v>0</v>
      </c>
    </row>
    <row r="783" spans="1:8" s="2" customFormat="1">
      <c r="A783" s="1763"/>
      <c r="B783" s="1618"/>
      <c r="C783" s="1612"/>
      <c r="D783" s="1626"/>
      <c r="E783" s="2918"/>
      <c r="F783" s="1627"/>
      <c r="G783" s="2199"/>
      <c r="H783" s="1501" t="str">
        <f t="shared" si="17"/>
        <v/>
      </c>
    </row>
    <row r="784" spans="1:8" s="2" customFormat="1">
      <c r="A784" s="1791">
        <f>$A$4</f>
        <v>20</v>
      </c>
      <c r="B784" s="1618">
        <v>4.49</v>
      </c>
      <c r="C784" s="1612" t="s">
        <v>2535</v>
      </c>
      <c r="D784" s="2035" t="s">
        <v>2537</v>
      </c>
      <c r="E784" s="2911" t="s">
        <v>2485</v>
      </c>
      <c r="F784" s="1627">
        <v>5</v>
      </c>
      <c r="G784" s="2199"/>
      <c r="H784" s="1501">
        <f t="shared" si="17"/>
        <v>0</v>
      </c>
    </row>
    <row r="785" spans="1:8" s="2" customFormat="1">
      <c r="A785" s="1763"/>
      <c r="B785" s="2962"/>
      <c r="C785" s="1612"/>
      <c r="D785" s="2035"/>
      <c r="E785" s="2911"/>
      <c r="F785" s="1627"/>
      <c r="G785" s="2199"/>
      <c r="H785" s="1501" t="str">
        <f t="shared" si="17"/>
        <v/>
      </c>
    </row>
    <row r="786" spans="1:8" s="2" customFormat="1">
      <c r="A786" s="1763"/>
      <c r="B786" s="2963" t="s">
        <v>1516</v>
      </c>
      <c r="C786" s="1612"/>
      <c r="D786" s="2910" t="s">
        <v>2538</v>
      </c>
      <c r="E786" s="1617"/>
      <c r="F786" s="2927"/>
      <c r="G786" s="2199"/>
      <c r="H786" s="1501" t="str">
        <f t="shared" si="17"/>
        <v/>
      </c>
    </row>
    <row r="787" spans="1:8" s="2" customFormat="1">
      <c r="A787" s="1763"/>
      <c r="B787" s="2962"/>
      <c r="C787" s="1612"/>
      <c r="D787" s="2910"/>
      <c r="E787" s="1617"/>
      <c r="F787" s="2927"/>
      <c r="G787" s="2199"/>
      <c r="H787" s="1501" t="str">
        <f t="shared" si="17"/>
        <v/>
      </c>
    </row>
    <row r="788" spans="1:8" s="2" customFormat="1">
      <c r="A788" s="1791">
        <f>$A$4</f>
        <v>20</v>
      </c>
      <c r="B788" s="2943">
        <v>4.5</v>
      </c>
      <c r="C788" s="1612" t="s">
        <v>2552</v>
      </c>
      <c r="D788" s="1626" t="s">
        <v>2560</v>
      </c>
      <c r="E788" s="1617" t="s">
        <v>2485</v>
      </c>
      <c r="F788" s="1627">
        <v>2</v>
      </c>
      <c r="G788" s="2199"/>
      <c r="H788" s="1501">
        <f t="shared" si="17"/>
        <v>0</v>
      </c>
    </row>
    <row r="789" spans="1:8" s="2" customFormat="1">
      <c r="A789" s="1763"/>
      <c r="B789" s="2962"/>
      <c r="C789" s="1612"/>
      <c r="D789" s="2035"/>
      <c r="E789" s="2911"/>
      <c r="F789" s="2885"/>
      <c r="G789" s="2199"/>
      <c r="H789" s="1501" t="str">
        <f t="shared" si="17"/>
        <v/>
      </c>
    </row>
    <row r="790" spans="1:8" s="2" customFormat="1">
      <c r="A790" s="1791">
        <f>$A$4</f>
        <v>20</v>
      </c>
      <c r="B790" s="1618">
        <v>4.51</v>
      </c>
      <c r="C790" s="1612" t="s">
        <v>2552</v>
      </c>
      <c r="D790" s="1626" t="s">
        <v>2561</v>
      </c>
      <c r="E790" s="2911" t="s">
        <v>2485</v>
      </c>
      <c r="F790" s="2885">
        <v>2</v>
      </c>
      <c r="G790" s="2199"/>
      <c r="H790" s="1501">
        <f t="shared" si="17"/>
        <v>0</v>
      </c>
    </row>
    <row r="791" spans="1:8" s="2" customFormat="1">
      <c r="A791" s="1763"/>
      <c r="B791" s="2962"/>
      <c r="C791" s="1612"/>
      <c r="D791" s="1626"/>
      <c r="E791" s="2911"/>
      <c r="F791" s="2885"/>
      <c r="G791" s="2199"/>
      <c r="H791" s="1501" t="str">
        <f t="shared" si="17"/>
        <v/>
      </c>
    </row>
    <row r="792" spans="1:8" s="2" customFormat="1">
      <c r="A792" s="1791">
        <f>$A$4</f>
        <v>20</v>
      </c>
      <c r="B792" s="1618">
        <v>4.5199999999999996</v>
      </c>
      <c r="C792" s="1612">
        <v>1.3</v>
      </c>
      <c r="D792" s="1626" t="s">
        <v>2539</v>
      </c>
      <c r="E792" s="1617" t="s">
        <v>230</v>
      </c>
      <c r="F792" s="1627">
        <v>1</v>
      </c>
      <c r="G792" s="2199"/>
      <c r="H792" s="1501">
        <f t="shared" si="17"/>
        <v>0</v>
      </c>
    </row>
    <row r="793" spans="1:8" s="2" customFormat="1">
      <c r="A793" s="1763"/>
      <c r="B793" s="1551"/>
      <c r="C793" s="1612"/>
      <c r="D793" s="1626"/>
      <c r="E793" s="1617"/>
      <c r="F793" s="1627"/>
      <c r="G793" s="2199"/>
      <c r="H793" s="1501" t="str">
        <f t="shared" si="17"/>
        <v/>
      </c>
    </row>
    <row r="794" spans="1:8" s="6" customFormat="1">
      <c r="A794" s="1791">
        <f>$A$4</f>
        <v>20</v>
      </c>
      <c r="B794" s="1753">
        <v>5</v>
      </c>
      <c r="C794" s="1672"/>
      <c r="D794" s="2938" t="s">
        <v>2591</v>
      </c>
      <c r="E794" s="2964"/>
      <c r="F794" s="2096"/>
      <c r="G794" s="2965"/>
      <c r="H794" s="1501" t="str">
        <f t="shared" si="17"/>
        <v/>
      </c>
    </row>
    <row r="795" spans="1:8" s="2" customFormat="1">
      <c r="A795" s="1763"/>
      <c r="B795" s="1667"/>
      <c r="C795" s="1687"/>
      <c r="D795" s="2030"/>
      <c r="E795" s="2939"/>
      <c r="F795" s="1670"/>
      <c r="G795" s="2966"/>
      <c r="H795" s="1501" t="str">
        <f t="shared" si="17"/>
        <v/>
      </c>
    </row>
    <row r="796" spans="1:8" s="2" customFormat="1">
      <c r="A796" s="1763"/>
      <c r="B796" s="2919" t="s">
        <v>543</v>
      </c>
      <c r="C796" s="1623"/>
      <c r="D796" s="2847" t="s">
        <v>2578</v>
      </c>
      <c r="E796" s="1624"/>
      <c r="F796" s="2848"/>
      <c r="G796" s="2966"/>
      <c r="H796" s="1501" t="str">
        <f t="shared" si="17"/>
        <v/>
      </c>
    </row>
    <row r="797" spans="1:8" s="2" customFormat="1">
      <c r="A797" s="1763"/>
      <c r="B797" s="1618"/>
      <c r="C797" s="1623"/>
      <c r="D797" s="2920"/>
      <c r="E797" s="1624"/>
      <c r="F797" s="2848"/>
      <c r="G797" s="2966"/>
      <c r="H797" s="1501" t="str">
        <f t="shared" si="17"/>
        <v/>
      </c>
    </row>
    <row r="798" spans="1:8" s="2" customFormat="1" ht="26.4">
      <c r="A798" s="1763"/>
      <c r="B798" s="2919"/>
      <c r="C798" s="1610"/>
      <c r="D798" s="866" t="s">
        <v>2592</v>
      </c>
      <c r="E798" s="2940"/>
      <c r="F798" s="2855"/>
      <c r="G798" s="2966"/>
      <c r="H798" s="1501" t="str">
        <f t="shared" si="17"/>
        <v/>
      </c>
    </row>
    <row r="799" spans="1:8" s="2" customFormat="1">
      <c r="A799" s="1763"/>
      <c r="B799" s="2921"/>
      <c r="C799" s="1610"/>
      <c r="D799" s="857"/>
      <c r="E799" s="2940"/>
      <c r="F799" s="2855"/>
      <c r="G799" s="2966"/>
      <c r="H799" s="1501" t="str">
        <f t="shared" si="17"/>
        <v/>
      </c>
    </row>
    <row r="800" spans="1:8" s="12" customFormat="1" ht="26.4">
      <c r="A800" s="1791">
        <f>$A$4</f>
        <v>20</v>
      </c>
      <c r="B800" s="2922">
        <v>5.0999999999999996</v>
      </c>
      <c r="C800" s="1610" t="s">
        <v>2483</v>
      </c>
      <c r="D800" s="1647" t="s">
        <v>2593</v>
      </c>
      <c r="E800" s="1610" t="s">
        <v>2485</v>
      </c>
      <c r="F800" s="2855">
        <v>1</v>
      </c>
      <c r="G800" s="2199"/>
      <c r="H800" s="1501">
        <f t="shared" si="17"/>
        <v>0</v>
      </c>
    </row>
    <row r="801" spans="1:8" s="2" customFormat="1">
      <c r="A801" s="1763"/>
      <c r="B801" s="2921"/>
      <c r="C801" s="1610"/>
      <c r="D801" s="856"/>
      <c r="E801" s="2940"/>
      <c r="F801" s="2855"/>
      <c r="G801" s="2858"/>
      <c r="H801" s="1501" t="str">
        <f t="shared" si="17"/>
        <v/>
      </c>
    </row>
    <row r="802" spans="1:8" s="2" customFormat="1" ht="26.4">
      <c r="A802" s="1791">
        <f>$A$4</f>
        <v>20</v>
      </c>
      <c r="B802" s="2922">
        <v>5.2</v>
      </c>
      <c r="C802" s="1610" t="s">
        <v>2486</v>
      </c>
      <c r="D802" s="2859" t="s">
        <v>2594</v>
      </c>
      <c r="E802" s="2940" t="s">
        <v>2485</v>
      </c>
      <c r="F802" s="2855">
        <v>1</v>
      </c>
      <c r="G802" s="2858"/>
      <c r="H802" s="1501">
        <f t="shared" si="17"/>
        <v>0</v>
      </c>
    </row>
    <row r="803" spans="1:8" s="2" customFormat="1">
      <c r="A803" s="1763"/>
      <c r="B803" s="2921"/>
      <c r="C803" s="1610"/>
      <c r="D803" s="857"/>
      <c r="E803" s="2940"/>
      <c r="F803" s="2855"/>
      <c r="G803" s="2858"/>
      <c r="H803" s="1501" t="str">
        <f t="shared" si="17"/>
        <v/>
      </c>
    </row>
    <row r="804" spans="1:8" s="2" customFormat="1" ht="26.4">
      <c r="A804" s="1791">
        <f>$A$4</f>
        <v>20</v>
      </c>
      <c r="B804" s="2922">
        <v>5.3</v>
      </c>
      <c r="C804" s="1610" t="s">
        <v>2595</v>
      </c>
      <c r="D804" s="857" t="s">
        <v>2596</v>
      </c>
      <c r="E804" s="2940" t="s">
        <v>2485</v>
      </c>
      <c r="F804" s="2855">
        <v>1</v>
      </c>
      <c r="G804" s="2858"/>
      <c r="H804" s="1501">
        <f t="shared" si="17"/>
        <v>0</v>
      </c>
    </row>
    <row r="805" spans="1:8" s="2" customFormat="1">
      <c r="A805" s="1763"/>
      <c r="B805" s="1791"/>
      <c r="C805" s="1616"/>
      <c r="D805" s="1552"/>
      <c r="E805" s="2196"/>
      <c r="F805" s="2196"/>
      <c r="G805" s="2199"/>
      <c r="H805" s="1501" t="str">
        <f t="shared" si="17"/>
        <v/>
      </c>
    </row>
    <row r="806" spans="1:8" s="2" customFormat="1" ht="26.4">
      <c r="A806" s="1791">
        <f>$A$4</f>
        <v>20</v>
      </c>
      <c r="B806" s="2922">
        <v>5.4</v>
      </c>
      <c r="C806" s="1610" t="s">
        <v>2486</v>
      </c>
      <c r="D806" s="2859" t="s">
        <v>2594</v>
      </c>
      <c r="E806" s="2940" t="s">
        <v>2485</v>
      </c>
      <c r="F806" s="2855">
        <v>1</v>
      </c>
      <c r="G806" s="2858"/>
      <c r="H806" s="1501">
        <f t="shared" si="17"/>
        <v>0</v>
      </c>
    </row>
    <row r="807" spans="1:8" s="2" customFormat="1">
      <c r="A807" s="1763"/>
      <c r="B807" s="2921"/>
      <c r="C807" s="1610"/>
      <c r="D807" s="2859"/>
      <c r="E807" s="2940"/>
      <c r="F807" s="2855"/>
      <c r="G807" s="2858"/>
      <c r="H807" s="1501" t="str">
        <f t="shared" si="17"/>
        <v/>
      </c>
    </row>
    <row r="808" spans="1:8" s="2" customFormat="1" ht="26.4">
      <c r="A808" s="1791">
        <f>$A$4</f>
        <v>20</v>
      </c>
      <c r="B808" s="2922">
        <v>5.5</v>
      </c>
      <c r="C808" s="1610" t="s">
        <v>2597</v>
      </c>
      <c r="D808" s="2859" t="s">
        <v>2598</v>
      </c>
      <c r="E808" s="1783" t="s">
        <v>2485</v>
      </c>
      <c r="F808" s="2860">
        <v>1</v>
      </c>
      <c r="G808" s="2858"/>
      <c r="H808" s="1501">
        <f t="shared" si="17"/>
        <v>0</v>
      </c>
    </row>
    <row r="809" spans="1:8" s="2" customFormat="1">
      <c r="A809" s="1763"/>
      <c r="B809" s="2921"/>
      <c r="C809" s="1610"/>
      <c r="D809" s="857"/>
      <c r="E809" s="2940"/>
      <c r="F809" s="2855"/>
      <c r="G809" s="2199"/>
      <c r="H809" s="1501" t="str">
        <f t="shared" si="17"/>
        <v/>
      </c>
    </row>
    <row r="810" spans="1:8" s="2" customFormat="1">
      <c r="A810" s="1763"/>
      <c r="B810" s="2919" t="s">
        <v>549</v>
      </c>
      <c r="C810" s="1623"/>
      <c r="D810" s="867" t="s">
        <v>1121</v>
      </c>
      <c r="E810" s="1624"/>
      <c r="F810" s="1613"/>
      <c r="G810" s="2199"/>
      <c r="H810" s="1501" t="str">
        <f t="shared" si="17"/>
        <v/>
      </c>
    </row>
    <row r="811" spans="1:8" s="2" customFormat="1">
      <c r="A811" s="1763"/>
      <c r="B811" s="2919"/>
      <c r="C811" s="868"/>
      <c r="D811" s="2867" t="s">
        <v>2599</v>
      </c>
      <c r="E811" s="1624"/>
      <c r="F811" s="1613"/>
      <c r="G811" s="2199"/>
      <c r="H811" s="1501" t="str">
        <f t="shared" si="17"/>
        <v/>
      </c>
    </row>
    <row r="812" spans="1:8" s="2" customFormat="1">
      <c r="A812" s="1763"/>
      <c r="B812" s="1618"/>
      <c r="C812" s="859"/>
      <c r="D812" s="2868"/>
      <c r="E812" s="1624"/>
      <c r="F812" s="1613"/>
      <c r="G812" s="2199"/>
      <c r="H812" s="1501" t="str">
        <f t="shared" si="17"/>
        <v/>
      </c>
    </row>
    <row r="813" spans="1:8" s="2" customFormat="1">
      <c r="A813" s="1791">
        <f>$A$4</f>
        <v>20</v>
      </c>
      <c r="B813" s="2922">
        <v>5.6</v>
      </c>
      <c r="C813" s="1620" t="s">
        <v>2515</v>
      </c>
      <c r="D813" s="1611" t="s">
        <v>1124</v>
      </c>
      <c r="E813" s="1624" t="s">
        <v>561</v>
      </c>
      <c r="F813" s="1613">
        <v>20</v>
      </c>
      <c r="G813" s="2199"/>
      <c r="H813" s="1501">
        <f t="shared" si="17"/>
        <v>0</v>
      </c>
    </row>
    <row r="814" spans="1:8" s="2" customFormat="1">
      <c r="A814" s="1763"/>
      <c r="B814" s="1618"/>
      <c r="C814" s="859"/>
      <c r="D814" s="2868"/>
      <c r="E814" s="1624"/>
      <c r="F814" s="1613"/>
      <c r="G814" s="2199"/>
      <c r="H814" s="1501" t="str">
        <f t="shared" si="17"/>
        <v/>
      </c>
    </row>
    <row r="815" spans="1:8" s="2" customFormat="1">
      <c r="A815" s="1791">
        <f>$A$4</f>
        <v>20</v>
      </c>
      <c r="B815" s="2922">
        <v>5.7</v>
      </c>
      <c r="C815" s="1620" t="s">
        <v>2515</v>
      </c>
      <c r="D815" s="1611" t="s">
        <v>1128</v>
      </c>
      <c r="E815" s="1619" t="s">
        <v>561</v>
      </c>
      <c r="F815" s="1613">
        <v>75</v>
      </c>
      <c r="G815" s="2199"/>
      <c r="H815" s="1501">
        <f t="shared" si="17"/>
        <v>0</v>
      </c>
    </row>
    <row r="816" spans="1:8" s="2" customFormat="1">
      <c r="A816" s="1763"/>
      <c r="B816" s="1618"/>
      <c r="C816" s="859"/>
      <c r="D816" s="2868"/>
      <c r="E816" s="1624"/>
      <c r="F816" s="1613"/>
      <c r="G816" s="2199"/>
      <c r="H816" s="1501" t="str">
        <f t="shared" ref="H816:H822" si="18">IF(E816="","",ROUND(F816*G816,2))</f>
        <v/>
      </c>
    </row>
    <row r="817" spans="1:8" s="2" customFormat="1">
      <c r="A817" s="1791">
        <f>$A$4</f>
        <v>20</v>
      </c>
      <c r="B817" s="2922">
        <v>5.8</v>
      </c>
      <c r="C817" s="1620" t="s">
        <v>2515</v>
      </c>
      <c r="D817" s="1611" t="s">
        <v>1130</v>
      </c>
      <c r="E817" s="1619" t="s">
        <v>561</v>
      </c>
      <c r="F817" s="1613">
        <v>71</v>
      </c>
      <c r="G817" s="2199"/>
      <c r="H817" s="1501">
        <f t="shared" si="18"/>
        <v>0</v>
      </c>
    </row>
    <row r="818" spans="1:8" s="2" customFormat="1">
      <c r="A818" s="1763"/>
      <c r="B818" s="1618"/>
      <c r="C818" s="1612"/>
      <c r="D818" s="863"/>
      <c r="E818" s="1619"/>
      <c r="F818" s="1613" t="s">
        <v>2518</v>
      </c>
      <c r="G818" s="2199"/>
      <c r="H818" s="1501" t="str">
        <f t="shared" si="18"/>
        <v/>
      </c>
    </row>
    <row r="819" spans="1:8" s="2" customFormat="1" ht="15.6">
      <c r="A819" s="1791">
        <f>$A$4</f>
        <v>20</v>
      </c>
      <c r="B819" s="2922">
        <v>5.9</v>
      </c>
      <c r="C819" s="1620" t="s">
        <v>2515</v>
      </c>
      <c r="D819" s="863" t="s">
        <v>2519</v>
      </c>
      <c r="E819" s="1619" t="s">
        <v>561</v>
      </c>
      <c r="F819" s="1613">
        <v>75</v>
      </c>
      <c r="G819" s="2199"/>
      <c r="H819" s="1501">
        <f t="shared" si="18"/>
        <v>0</v>
      </c>
    </row>
    <row r="820" spans="1:8" s="2" customFormat="1">
      <c r="A820" s="1791"/>
      <c r="B820" s="2922"/>
      <c r="C820" s="1620"/>
      <c r="D820" s="863"/>
      <c r="E820" s="1619"/>
      <c r="F820" s="2933"/>
      <c r="G820" s="2199"/>
      <c r="H820" s="1501" t="str">
        <f t="shared" si="18"/>
        <v/>
      </c>
    </row>
    <row r="821" spans="1:8" s="2" customFormat="1">
      <c r="A821" s="1791">
        <f>$A$4</f>
        <v>20</v>
      </c>
      <c r="B821" s="2925">
        <v>5.0999999999999996</v>
      </c>
      <c r="C821" s="1620" t="s">
        <v>2515</v>
      </c>
      <c r="D821" s="1611" t="s">
        <v>2522</v>
      </c>
      <c r="E821" s="1619" t="s">
        <v>561</v>
      </c>
      <c r="F821" s="1613">
        <v>10</v>
      </c>
      <c r="G821" s="2199"/>
      <c r="H821" s="1501">
        <f t="shared" si="18"/>
        <v>0</v>
      </c>
    </row>
    <row r="822" spans="1:8" s="2" customFormat="1">
      <c r="A822" s="1791"/>
      <c r="B822" s="2925"/>
      <c r="C822" s="1620"/>
      <c r="D822" s="863"/>
      <c r="E822" s="1619"/>
      <c r="F822" s="2933"/>
      <c r="G822" s="2199"/>
      <c r="H822" s="1501" t="str">
        <f t="shared" si="18"/>
        <v/>
      </c>
    </row>
    <row r="823" spans="1:8" s="2" customFormat="1">
      <c r="A823" s="1791"/>
      <c r="B823" s="2925"/>
      <c r="C823" s="1620"/>
      <c r="D823" s="863"/>
      <c r="E823" s="1619"/>
      <c r="F823" s="2933"/>
      <c r="G823" s="2199"/>
      <c r="H823" s="1614"/>
    </row>
    <row r="824" spans="1:8" s="2" customFormat="1">
      <c r="A824" s="1763"/>
      <c r="B824" s="2921"/>
      <c r="C824" s="1610"/>
      <c r="D824" s="857"/>
      <c r="E824" s="1783"/>
      <c r="F824" s="2896"/>
      <c r="G824" s="2858"/>
      <c r="H824" s="1625"/>
    </row>
    <row r="825" spans="1:8" s="2" customFormat="1">
      <c r="A825" s="1786"/>
      <c r="B825" s="787"/>
      <c r="C825" s="861"/>
      <c r="D825" s="862"/>
      <c r="E825" s="870"/>
      <c r="F825" s="800"/>
      <c r="G825" s="1485"/>
      <c r="H825" s="2936"/>
    </row>
    <row r="826" spans="1:8" s="2" customFormat="1">
      <c r="A826" s="2566"/>
      <c r="B826" s="566"/>
      <c r="C826" s="419"/>
      <c r="D826" s="413" t="s">
        <v>289</v>
      </c>
      <c r="E826" s="418"/>
      <c r="F826" s="425"/>
      <c r="G826" s="1486"/>
      <c r="H826" s="2937">
        <f>SUM(H750:H824)</f>
        <v>0</v>
      </c>
    </row>
    <row r="827" spans="1:8" s="2" customFormat="1">
      <c r="A827" s="1763"/>
      <c r="B827" s="1791"/>
      <c r="C827" s="1616"/>
      <c r="D827" s="1552" t="s">
        <v>290</v>
      </c>
      <c r="E827" s="2196"/>
      <c r="F827" s="1550"/>
      <c r="G827" s="2199"/>
      <c r="H827" s="1625">
        <f>H826</f>
        <v>0</v>
      </c>
    </row>
    <row r="828" spans="1:8" s="2" customFormat="1">
      <c r="A828" s="1763"/>
      <c r="B828" s="1618"/>
      <c r="C828" s="1616"/>
      <c r="D828" s="2165"/>
      <c r="E828" s="1550"/>
      <c r="F828" s="1613"/>
      <c r="G828" s="2199"/>
      <c r="H828" s="1614"/>
    </row>
    <row r="829" spans="1:8" s="2" customFormat="1">
      <c r="A829" s="1763"/>
      <c r="B829" s="2926" t="s">
        <v>558</v>
      </c>
      <c r="C829" s="2877"/>
      <c r="D829" s="2879" t="s">
        <v>1139</v>
      </c>
      <c r="E829" s="2949"/>
      <c r="F829" s="2881"/>
      <c r="G829" s="2199"/>
      <c r="H829" s="1614"/>
    </row>
    <row r="830" spans="1:8" s="2" customFormat="1">
      <c r="A830" s="1763"/>
      <c r="B830" s="2926"/>
      <c r="C830" s="2877"/>
      <c r="D830" s="2879"/>
      <c r="E830" s="2949"/>
      <c r="F830" s="2881"/>
      <c r="G830" s="2199"/>
      <c r="H830" s="1614"/>
    </row>
    <row r="831" spans="1:8" s="2" customFormat="1">
      <c r="A831" s="1763"/>
      <c r="B831" s="2926"/>
      <c r="C831" s="2877"/>
      <c r="D831" s="2882" t="s">
        <v>1140</v>
      </c>
      <c r="E831" s="2949"/>
      <c r="F831" s="2881"/>
      <c r="G831" s="2199"/>
      <c r="H831" s="1614"/>
    </row>
    <row r="832" spans="1:8" s="2" customFormat="1">
      <c r="A832" s="1763"/>
      <c r="B832" s="2880"/>
      <c r="C832" s="1620"/>
      <c r="D832" s="2886"/>
      <c r="E832" s="2043"/>
      <c r="F832" s="2885"/>
      <c r="G832" s="2199"/>
      <c r="H832" s="1614"/>
    </row>
    <row r="833" spans="1:8" s="2" customFormat="1">
      <c r="A833" s="1791">
        <f>$A$4</f>
        <v>20</v>
      </c>
      <c r="B833" s="2922">
        <v>5.1100000000000003</v>
      </c>
      <c r="C833" s="1620" t="s">
        <v>2515</v>
      </c>
      <c r="D833" s="2886" t="s">
        <v>1150</v>
      </c>
      <c r="E833" s="2950" t="s">
        <v>561</v>
      </c>
      <c r="F833" s="2885">
        <v>20</v>
      </c>
      <c r="G833" s="2199"/>
      <c r="H833" s="1501">
        <f t="shared" ref="H833:H896" si="19">IF(E833="","",ROUND(F833*G833,2))</f>
        <v>0</v>
      </c>
    </row>
    <row r="834" spans="1:8" s="2" customFormat="1">
      <c r="A834" s="1763"/>
      <c r="B834" s="2880"/>
      <c r="C834" s="2877"/>
      <c r="D834" s="2886"/>
      <c r="E834" s="2950"/>
      <c r="F834" s="2885"/>
      <c r="G834" s="2199"/>
      <c r="H834" s="1501" t="str">
        <f t="shared" si="19"/>
        <v/>
      </c>
    </row>
    <row r="835" spans="1:8" s="2" customFormat="1">
      <c r="A835" s="1791">
        <f>$A$4</f>
        <v>20</v>
      </c>
      <c r="B835" s="2922">
        <v>5.12</v>
      </c>
      <c r="C835" s="1620" t="s">
        <v>2515</v>
      </c>
      <c r="D835" s="2035" t="s">
        <v>1169</v>
      </c>
      <c r="E835" s="2950" t="s">
        <v>2485</v>
      </c>
      <c r="F835" s="2885">
        <v>1</v>
      </c>
      <c r="G835" s="2199"/>
      <c r="H835" s="1501">
        <f t="shared" si="19"/>
        <v>0</v>
      </c>
    </row>
    <row r="836" spans="1:8" s="2" customFormat="1">
      <c r="A836" s="1763"/>
      <c r="B836" s="1617"/>
      <c r="C836" s="1612"/>
      <c r="D836" s="2035"/>
      <c r="E836" s="2950"/>
      <c r="F836" s="2885"/>
      <c r="G836" s="2199"/>
      <c r="H836" s="1501" t="str">
        <f t="shared" si="19"/>
        <v/>
      </c>
    </row>
    <row r="837" spans="1:8" s="2" customFormat="1">
      <c r="A837" s="1791">
        <f>$A$4</f>
        <v>20</v>
      </c>
      <c r="B837" s="2922">
        <v>5.13</v>
      </c>
      <c r="C837" s="1620" t="s">
        <v>2515</v>
      </c>
      <c r="D837" s="2035" t="s">
        <v>1171</v>
      </c>
      <c r="E837" s="2950" t="s">
        <v>2485</v>
      </c>
      <c r="F837" s="2885">
        <v>2</v>
      </c>
      <c r="G837" s="2199"/>
      <c r="H837" s="1501">
        <f t="shared" si="19"/>
        <v>0</v>
      </c>
    </row>
    <row r="838" spans="1:8" s="2" customFormat="1">
      <c r="A838" s="1763"/>
      <c r="B838" s="1791"/>
      <c r="C838" s="1616"/>
      <c r="D838" s="1552"/>
      <c r="E838" s="2196"/>
      <c r="F838" s="1550"/>
      <c r="G838" s="2199"/>
      <c r="H838" s="1501" t="str">
        <f t="shared" si="19"/>
        <v/>
      </c>
    </row>
    <row r="839" spans="1:8" s="2" customFormat="1" ht="26.4">
      <c r="A839" s="1763"/>
      <c r="B839" s="2928" t="s">
        <v>562</v>
      </c>
      <c r="C839" s="1610"/>
      <c r="D839" s="866" t="s">
        <v>2600</v>
      </c>
      <c r="E839" s="2940"/>
      <c r="F839" s="2855"/>
      <c r="G839" s="2199"/>
      <c r="H839" s="1501" t="str">
        <f t="shared" si="19"/>
        <v/>
      </c>
    </row>
    <row r="840" spans="1:8" s="2" customFormat="1">
      <c r="A840" s="1763"/>
      <c r="B840" s="2967"/>
      <c r="C840" s="1610"/>
      <c r="D840" s="866"/>
      <c r="E840" s="2940"/>
      <c r="F840" s="2855"/>
      <c r="G840" s="2199"/>
      <c r="H840" s="1501" t="str">
        <f t="shared" si="19"/>
        <v/>
      </c>
    </row>
    <row r="841" spans="1:8" s="12" customFormat="1" ht="26.4">
      <c r="A841" s="1791">
        <f>$A$4</f>
        <v>20</v>
      </c>
      <c r="B841" s="2922">
        <v>5.14</v>
      </c>
      <c r="C841" s="1610" t="s">
        <v>2483</v>
      </c>
      <c r="D841" s="1647" t="s">
        <v>2593</v>
      </c>
      <c r="E841" s="1610" t="s">
        <v>2485</v>
      </c>
      <c r="F841" s="2855">
        <v>1</v>
      </c>
      <c r="G841" s="2199"/>
      <c r="H841" s="1501">
        <f t="shared" si="19"/>
        <v>0</v>
      </c>
    </row>
    <row r="842" spans="1:8" s="2" customFormat="1">
      <c r="A842" s="1763"/>
      <c r="B842" s="2967"/>
      <c r="C842" s="1610"/>
      <c r="D842" s="856"/>
      <c r="E842" s="2940"/>
      <c r="F842" s="2855"/>
      <c r="G842" s="2199"/>
      <c r="H842" s="1501" t="str">
        <f t="shared" si="19"/>
        <v/>
      </c>
    </row>
    <row r="843" spans="1:8" s="2" customFormat="1" ht="26.4">
      <c r="A843" s="1791">
        <f>$A$4</f>
        <v>20</v>
      </c>
      <c r="B843" s="2922">
        <v>5.15</v>
      </c>
      <c r="C843" s="1610" t="s">
        <v>2486</v>
      </c>
      <c r="D843" s="2859" t="s">
        <v>2594</v>
      </c>
      <c r="E843" s="2940" t="s">
        <v>2485</v>
      </c>
      <c r="F843" s="2855">
        <v>1</v>
      </c>
      <c r="G843" s="2199"/>
      <c r="H843" s="1501">
        <f t="shared" si="19"/>
        <v>0</v>
      </c>
    </row>
    <row r="844" spans="1:8" s="2" customFormat="1">
      <c r="A844" s="1763"/>
      <c r="B844" s="2967"/>
      <c r="C844" s="1610"/>
      <c r="D844" s="857"/>
      <c r="E844" s="2940"/>
      <c r="F844" s="2855"/>
      <c r="G844" s="2199"/>
      <c r="H844" s="1501" t="str">
        <f t="shared" si="19"/>
        <v/>
      </c>
    </row>
    <row r="845" spans="1:8" s="2" customFormat="1" ht="26.4">
      <c r="A845" s="1791">
        <f>$A$4</f>
        <v>20</v>
      </c>
      <c r="B845" s="2922">
        <v>5.16</v>
      </c>
      <c r="C845" s="1610" t="s">
        <v>2595</v>
      </c>
      <c r="D845" s="857" t="s">
        <v>2596</v>
      </c>
      <c r="E845" s="2940" t="s">
        <v>2485</v>
      </c>
      <c r="F845" s="2855">
        <v>1</v>
      </c>
      <c r="G845" s="2199"/>
      <c r="H845" s="1501">
        <f t="shared" si="19"/>
        <v>0</v>
      </c>
    </row>
    <row r="846" spans="1:8" s="2" customFormat="1">
      <c r="A846" s="1763"/>
      <c r="B846" s="2967"/>
      <c r="C846" s="1610"/>
      <c r="D846" s="857"/>
      <c r="E846" s="2940"/>
      <c r="F846" s="2855"/>
      <c r="G846" s="2199"/>
      <c r="H846" s="1501" t="str">
        <f t="shared" si="19"/>
        <v/>
      </c>
    </row>
    <row r="847" spans="1:8" s="2" customFormat="1" ht="26.4">
      <c r="A847" s="1791">
        <f>$A$4</f>
        <v>20</v>
      </c>
      <c r="B847" s="2922">
        <v>5.17</v>
      </c>
      <c r="C847" s="1610" t="s">
        <v>2486</v>
      </c>
      <c r="D847" s="2859" t="s">
        <v>2594</v>
      </c>
      <c r="E847" s="2940" t="s">
        <v>2485</v>
      </c>
      <c r="F847" s="2855">
        <v>1</v>
      </c>
      <c r="G847" s="2199"/>
      <c r="H847" s="1501">
        <f t="shared" si="19"/>
        <v>0</v>
      </c>
    </row>
    <row r="848" spans="1:8" s="2" customFormat="1">
      <c r="A848" s="1763"/>
      <c r="B848" s="2967"/>
      <c r="C848" s="1610"/>
      <c r="D848" s="2859"/>
      <c r="E848" s="2940"/>
      <c r="F848" s="2855"/>
      <c r="G848" s="2199"/>
      <c r="H848" s="1501" t="str">
        <f t="shared" si="19"/>
        <v/>
      </c>
    </row>
    <row r="849" spans="1:8" s="2" customFormat="1" ht="26.4">
      <c r="A849" s="1791">
        <f>$A$4</f>
        <v>20</v>
      </c>
      <c r="B849" s="2922">
        <v>5.18</v>
      </c>
      <c r="C849" s="1610" t="s">
        <v>2597</v>
      </c>
      <c r="D849" s="2859" t="s">
        <v>2598</v>
      </c>
      <c r="E849" s="1783" t="s">
        <v>2485</v>
      </c>
      <c r="F849" s="2860">
        <v>1</v>
      </c>
      <c r="G849" s="2199"/>
      <c r="H849" s="1501">
        <f t="shared" si="19"/>
        <v>0</v>
      </c>
    </row>
    <row r="850" spans="1:8" s="2" customFormat="1">
      <c r="A850" s="1763"/>
      <c r="B850" s="2930"/>
      <c r="C850" s="1610"/>
      <c r="D850" s="857"/>
      <c r="E850" s="2940"/>
      <c r="F850" s="2855"/>
      <c r="G850" s="2199"/>
      <c r="H850" s="1501" t="str">
        <f t="shared" si="19"/>
        <v/>
      </c>
    </row>
    <row r="851" spans="1:8" s="2" customFormat="1">
      <c r="A851" s="1763"/>
      <c r="B851" s="2919" t="s">
        <v>580</v>
      </c>
      <c r="C851" s="868"/>
      <c r="D851" s="2867" t="s">
        <v>2601</v>
      </c>
      <c r="E851" s="1624"/>
      <c r="F851" s="1613"/>
      <c r="G851" s="2199"/>
      <c r="H851" s="1501" t="str">
        <f t="shared" si="19"/>
        <v/>
      </c>
    </row>
    <row r="852" spans="1:8" s="2" customFormat="1">
      <c r="A852" s="1763"/>
      <c r="B852" s="1618"/>
      <c r="C852" s="859"/>
      <c r="D852" s="2868"/>
      <c r="E852" s="1624"/>
      <c r="F852" s="1613"/>
      <c r="G852" s="2199"/>
      <c r="H852" s="1501" t="str">
        <f t="shared" si="19"/>
        <v/>
      </c>
    </row>
    <row r="853" spans="1:8" s="2" customFormat="1">
      <c r="A853" s="1791">
        <f>$A$4</f>
        <v>20</v>
      </c>
      <c r="B853" s="2922">
        <v>5.19</v>
      </c>
      <c r="C853" s="1620" t="s">
        <v>2515</v>
      </c>
      <c r="D853" s="1611" t="s">
        <v>1124</v>
      </c>
      <c r="E853" s="1624" t="s">
        <v>561</v>
      </c>
      <c r="F853" s="1613">
        <v>20</v>
      </c>
      <c r="G853" s="2199"/>
      <c r="H853" s="1501">
        <f t="shared" si="19"/>
        <v>0</v>
      </c>
    </row>
    <row r="854" spans="1:8" s="2" customFormat="1">
      <c r="A854" s="1763"/>
      <c r="B854" s="1618"/>
      <c r="C854" s="859"/>
      <c r="D854" s="2868"/>
      <c r="E854" s="1624"/>
      <c r="F854" s="1613"/>
      <c r="G854" s="2199"/>
      <c r="H854" s="1501" t="str">
        <f t="shared" si="19"/>
        <v/>
      </c>
    </row>
    <row r="855" spans="1:8" s="2" customFormat="1">
      <c r="A855" s="1791">
        <f>$A$4</f>
        <v>20</v>
      </c>
      <c r="B855" s="2925">
        <v>5.2</v>
      </c>
      <c r="C855" s="1620" t="s">
        <v>2515</v>
      </c>
      <c r="D855" s="1611" t="s">
        <v>1128</v>
      </c>
      <c r="E855" s="1619" t="s">
        <v>561</v>
      </c>
      <c r="F855" s="1613">
        <v>75</v>
      </c>
      <c r="G855" s="2199"/>
      <c r="H855" s="1501">
        <f t="shared" si="19"/>
        <v>0</v>
      </c>
    </row>
    <row r="856" spans="1:8" s="2" customFormat="1">
      <c r="A856" s="1763"/>
      <c r="B856" s="1618"/>
      <c r="C856" s="859"/>
      <c r="D856" s="2868"/>
      <c r="E856" s="1624"/>
      <c r="F856" s="1613"/>
      <c r="G856" s="2199"/>
      <c r="H856" s="1501" t="str">
        <f t="shared" si="19"/>
        <v/>
      </c>
    </row>
    <row r="857" spans="1:8" s="2" customFormat="1">
      <c r="A857" s="1791">
        <f>$A$4</f>
        <v>20</v>
      </c>
      <c r="B857" s="2922">
        <v>5.21</v>
      </c>
      <c r="C857" s="1620" t="s">
        <v>2515</v>
      </c>
      <c r="D857" s="1611" t="s">
        <v>1130</v>
      </c>
      <c r="E857" s="1619" t="s">
        <v>561</v>
      </c>
      <c r="F857" s="1613">
        <v>71</v>
      </c>
      <c r="G857" s="2199"/>
      <c r="H857" s="1501">
        <f t="shared" si="19"/>
        <v>0</v>
      </c>
    </row>
    <row r="858" spans="1:8" s="2" customFormat="1">
      <c r="A858" s="1763"/>
      <c r="B858" s="1618"/>
      <c r="C858" s="1612"/>
      <c r="D858" s="863"/>
      <c r="E858" s="1619"/>
      <c r="F858" s="1613" t="s">
        <v>2518</v>
      </c>
      <c r="G858" s="2199"/>
      <c r="H858" s="1501" t="str">
        <f t="shared" si="19"/>
        <v/>
      </c>
    </row>
    <row r="859" spans="1:8" s="2" customFormat="1" ht="15.6">
      <c r="A859" s="1791">
        <f>$A$4</f>
        <v>20</v>
      </c>
      <c r="B859" s="2922">
        <v>5.22</v>
      </c>
      <c r="C859" s="1620" t="s">
        <v>2515</v>
      </c>
      <c r="D859" s="863" t="s">
        <v>2519</v>
      </c>
      <c r="E859" s="1619" t="s">
        <v>561</v>
      </c>
      <c r="F859" s="1613">
        <v>75</v>
      </c>
      <c r="G859" s="2199"/>
      <c r="H859" s="1501">
        <f t="shared" si="19"/>
        <v>0</v>
      </c>
    </row>
    <row r="860" spans="1:8" s="2" customFormat="1">
      <c r="A860" s="1763"/>
      <c r="B860" s="1618"/>
      <c r="C860" s="1616"/>
      <c r="D860" s="2165"/>
      <c r="E860" s="1550"/>
      <c r="F860" s="1613"/>
      <c r="G860" s="2199"/>
      <c r="H860" s="1501" t="str">
        <f t="shared" si="19"/>
        <v/>
      </c>
    </row>
    <row r="861" spans="1:8" s="2" customFormat="1">
      <c r="A861" s="1791">
        <f>$A$4</f>
        <v>20</v>
      </c>
      <c r="B861" s="2922">
        <v>5.23</v>
      </c>
      <c r="C861" s="1620" t="s">
        <v>2515</v>
      </c>
      <c r="D861" s="1611" t="s">
        <v>2522</v>
      </c>
      <c r="E861" s="1619" t="s">
        <v>561</v>
      </c>
      <c r="F861" s="1613">
        <v>10</v>
      </c>
      <c r="G861" s="2199"/>
      <c r="H861" s="1501">
        <f t="shared" si="19"/>
        <v>0</v>
      </c>
    </row>
    <row r="862" spans="1:8" s="2" customFormat="1">
      <c r="A862" s="1763"/>
      <c r="B862" s="2930"/>
      <c r="C862" s="1610"/>
      <c r="D862" s="857"/>
      <c r="E862" s="2940"/>
      <c r="F862" s="2855"/>
      <c r="G862" s="2199"/>
      <c r="H862" s="1501" t="str">
        <f t="shared" si="19"/>
        <v/>
      </c>
    </row>
    <row r="863" spans="1:8" s="2" customFormat="1">
      <c r="A863" s="1763"/>
      <c r="B863" s="2928" t="s">
        <v>586</v>
      </c>
      <c r="C863" s="2887"/>
      <c r="D863" s="2879" t="s">
        <v>1121</v>
      </c>
      <c r="E863" s="1621"/>
      <c r="F863" s="1622"/>
      <c r="G863" s="2199"/>
      <c r="H863" s="1501" t="str">
        <f t="shared" si="19"/>
        <v/>
      </c>
    </row>
    <row r="864" spans="1:8" s="2" customFormat="1">
      <c r="A864" s="1763"/>
      <c r="B864" s="2928"/>
      <c r="C864" s="2887"/>
      <c r="D864" s="2879"/>
      <c r="E864" s="1621"/>
      <c r="F864" s="1622"/>
      <c r="G864" s="2199"/>
      <c r="H864" s="1501" t="str">
        <f t="shared" si="19"/>
        <v/>
      </c>
    </row>
    <row r="865" spans="1:8" s="2" customFormat="1">
      <c r="A865" s="1763"/>
      <c r="B865" s="2928"/>
      <c r="C865" s="2887"/>
      <c r="D865" s="2898" t="s">
        <v>2576</v>
      </c>
      <c r="E865" s="1621"/>
      <c r="F865" s="1622"/>
      <c r="G865" s="2199"/>
      <c r="H865" s="1501" t="str">
        <f t="shared" si="19"/>
        <v/>
      </c>
    </row>
    <row r="866" spans="1:8" s="2" customFormat="1">
      <c r="A866" s="1763"/>
      <c r="B866" s="2889"/>
      <c r="C866" s="2869"/>
      <c r="D866" s="2899"/>
      <c r="E866" s="1621"/>
      <c r="F866" s="1622"/>
      <c r="G866" s="2199"/>
      <c r="H866" s="1501" t="str">
        <f t="shared" si="19"/>
        <v/>
      </c>
    </row>
    <row r="867" spans="1:8" s="2" customFormat="1">
      <c r="A867" s="1791">
        <f>$A$4</f>
        <v>20</v>
      </c>
      <c r="B867" s="2922">
        <v>5.24</v>
      </c>
      <c r="C867" s="1620" t="s">
        <v>2515</v>
      </c>
      <c r="D867" s="1611" t="s">
        <v>1124</v>
      </c>
      <c r="E867" s="1621" t="s">
        <v>2485</v>
      </c>
      <c r="F867" s="1622">
        <v>1</v>
      </c>
      <c r="G867" s="2199"/>
      <c r="H867" s="1501">
        <f t="shared" si="19"/>
        <v>0</v>
      </c>
    </row>
    <row r="868" spans="1:8" s="2" customFormat="1">
      <c r="A868" s="1763"/>
      <c r="B868" s="2889"/>
      <c r="C868" s="2869"/>
      <c r="D868" s="2898"/>
      <c r="E868" s="1621"/>
      <c r="F868" s="1622"/>
      <c r="G868" s="2199"/>
      <c r="H868" s="1501" t="str">
        <f t="shared" si="19"/>
        <v/>
      </c>
    </row>
    <row r="869" spans="1:8" s="2" customFormat="1">
      <c r="A869" s="1791">
        <f>$A$4</f>
        <v>20</v>
      </c>
      <c r="B869" s="2922">
        <v>5.25</v>
      </c>
      <c r="C869" s="1620" t="s">
        <v>2515</v>
      </c>
      <c r="D869" s="1611" t="s">
        <v>1128</v>
      </c>
      <c r="E869" s="2951" t="s">
        <v>2485</v>
      </c>
      <c r="F869" s="1622">
        <v>2</v>
      </c>
      <c r="G869" s="2199"/>
      <c r="H869" s="1501">
        <f t="shared" si="19"/>
        <v>0</v>
      </c>
    </row>
    <row r="870" spans="1:8" s="2" customFormat="1">
      <c r="A870" s="1763"/>
      <c r="B870" s="2889"/>
      <c r="C870" s="2869"/>
      <c r="D870" s="2899"/>
      <c r="E870" s="1621"/>
      <c r="F870" s="1622"/>
      <c r="G870" s="2199"/>
      <c r="H870" s="1501" t="str">
        <f t="shared" si="19"/>
        <v/>
      </c>
    </row>
    <row r="871" spans="1:8" s="2" customFormat="1">
      <c r="A871" s="1791">
        <f>$A$4</f>
        <v>20</v>
      </c>
      <c r="B871" s="2922">
        <v>5.26</v>
      </c>
      <c r="C871" s="1620" t="s">
        <v>2515</v>
      </c>
      <c r="D871" s="1611" t="s">
        <v>1130</v>
      </c>
      <c r="E871" s="2951" t="s">
        <v>2485</v>
      </c>
      <c r="F871" s="1622">
        <v>2</v>
      </c>
      <c r="G871" s="2199"/>
      <c r="H871" s="1501">
        <f t="shared" si="19"/>
        <v>0</v>
      </c>
    </row>
    <row r="872" spans="1:8" s="2" customFormat="1">
      <c r="A872" s="1763"/>
      <c r="B872" s="2889"/>
      <c r="C872" s="1612"/>
      <c r="D872" s="1611"/>
      <c r="E872" s="2951"/>
      <c r="F872" s="1622"/>
      <c r="G872" s="2199"/>
      <c r="H872" s="1501" t="str">
        <f t="shared" si="19"/>
        <v/>
      </c>
    </row>
    <row r="873" spans="1:8" s="2" customFormat="1" ht="15.6">
      <c r="A873" s="1791">
        <f>$A$4</f>
        <v>20</v>
      </c>
      <c r="B873" s="2922">
        <v>5.27</v>
      </c>
      <c r="C873" s="1620" t="s">
        <v>2515</v>
      </c>
      <c r="D873" s="1611" t="s">
        <v>2519</v>
      </c>
      <c r="E873" s="2951" t="s">
        <v>2485</v>
      </c>
      <c r="F873" s="1622">
        <v>2</v>
      </c>
      <c r="G873" s="2199"/>
      <c r="H873" s="1501">
        <f t="shared" si="19"/>
        <v>0</v>
      </c>
    </row>
    <row r="874" spans="1:8" s="2" customFormat="1">
      <c r="A874" s="1763"/>
      <c r="B874" s="2905"/>
      <c r="C874" s="2904"/>
      <c r="D874" s="2968"/>
      <c r="E874" s="2969"/>
      <c r="F874" s="2970"/>
      <c r="G874" s="2199"/>
      <c r="H874" s="1501" t="str">
        <f t="shared" si="19"/>
        <v/>
      </c>
    </row>
    <row r="875" spans="1:8" s="2" customFormat="1">
      <c r="A875" s="1763"/>
      <c r="B875" s="2889"/>
      <c r="C875" s="1620"/>
      <c r="D875" s="1611"/>
      <c r="E875" s="2951"/>
      <c r="F875" s="1622"/>
      <c r="G875" s="2199"/>
      <c r="H875" s="1501" t="str">
        <f t="shared" si="19"/>
        <v/>
      </c>
    </row>
    <row r="876" spans="1:8" s="2" customFormat="1">
      <c r="A876" s="1791">
        <f>$A$4</f>
        <v>20</v>
      </c>
      <c r="B876" s="2922">
        <v>5.28</v>
      </c>
      <c r="C876" s="1620" t="s">
        <v>2515</v>
      </c>
      <c r="D876" s="1611" t="s">
        <v>2522</v>
      </c>
      <c r="E876" s="1617" t="s">
        <v>2485</v>
      </c>
      <c r="F876" s="2927">
        <v>1</v>
      </c>
      <c r="G876" s="2199"/>
      <c r="H876" s="1501">
        <f t="shared" si="19"/>
        <v>0</v>
      </c>
    </row>
    <row r="877" spans="1:8" s="2" customFormat="1">
      <c r="A877" s="1271"/>
      <c r="B877" s="2921"/>
      <c r="C877" s="1620"/>
      <c r="D877" s="1611"/>
      <c r="E877" s="1617"/>
      <c r="F877" s="2927"/>
      <c r="G877" s="2199"/>
      <c r="H877" s="1501" t="str">
        <f t="shared" si="19"/>
        <v/>
      </c>
    </row>
    <row r="878" spans="1:8" s="2" customFormat="1">
      <c r="A878" s="1763"/>
      <c r="B878" s="2934" t="s">
        <v>597</v>
      </c>
      <c r="C878" s="2902"/>
      <c r="D878" s="2879" t="s">
        <v>1139</v>
      </c>
      <c r="E878" s="2956"/>
      <c r="F878" s="2906"/>
      <c r="G878" s="2199"/>
      <c r="H878" s="1501" t="str">
        <f t="shared" si="19"/>
        <v/>
      </c>
    </row>
    <row r="879" spans="1:8" s="2" customFormat="1">
      <c r="A879" s="1763"/>
      <c r="B879" s="2934"/>
      <c r="C879" s="2902"/>
      <c r="D879" s="2879"/>
      <c r="E879" s="2956"/>
      <c r="F879" s="2906"/>
      <c r="G879" s="2199"/>
      <c r="H879" s="1501" t="str">
        <f t="shared" si="19"/>
        <v/>
      </c>
    </row>
    <row r="880" spans="1:8" s="2" customFormat="1">
      <c r="A880" s="1763"/>
      <c r="B880" s="2934"/>
      <c r="C880" s="2902"/>
      <c r="D880" s="2907" t="s">
        <v>2557</v>
      </c>
      <c r="E880" s="2956"/>
      <c r="F880" s="2906"/>
      <c r="G880" s="2199"/>
      <c r="H880" s="1501" t="str">
        <f t="shared" si="19"/>
        <v/>
      </c>
    </row>
    <row r="881" spans="1:8" s="2" customFormat="1">
      <c r="A881" s="1763"/>
      <c r="B881" s="2905"/>
      <c r="C881" s="2904"/>
      <c r="D881" s="2908"/>
      <c r="E881" s="2956"/>
      <c r="F881" s="2906"/>
      <c r="G881" s="2199"/>
      <c r="H881" s="1501" t="str">
        <f t="shared" si="19"/>
        <v/>
      </c>
    </row>
    <row r="882" spans="1:8" s="2" customFormat="1">
      <c r="A882" s="1791">
        <f>$A$4</f>
        <v>20</v>
      </c>
      <c r="B882" s="2922">
        <v>5.29</v>
      </c>
      <c r="C882" s="1620" t="s">
        <v>2515</v>
      </c>
      <c r="D882" s="2886" t="s">
        <v>1150</v>
      </c>
      <c r="E882" s="2950" t="s">
        <v>561</v>
      </c>
      <c r="F882" s="2885">
        <v>20</v>
      </c>
      <c r="G882" s="2199"/>
      <c r="H882" s="1501">
        <f t="shared" si="19"/>
        <v>0</v>
      </c>
    </row>
    <row r="883" spans="1:8" s="2" customFormat="1">
      <c r="A883" s="1763"/>
      <c r="B883" s="2921"/>
      <c r="C883" s="1620"/>
      <c r="D883" s="2886"/>
      <c r="E883" s="2950"/>
      <c r="F883" s="2885"/>
      <c r="G883" s="2199"/>
      <c r="H883" s="1501" t="str">
        <f t="shared" si="19"/>
        <v/>
      </c>
    </row>
    <row r="884" spans="1:8" s="2" customFormat="1">
      <c r="A884" s="1791">
        <f>$A$4</f>
        <v>20</v>
      </c>
      <c r="B884" s="2925">
        <v>5.3</v>
      </c>
      <c r="C884" s="1620" t="s">
        <v>2515</v>
      </c>
      <c r="D884" s="2035" t="s">
        <v>1169</v>
      </c>
      <c r="E884" s="2950" t="s">
        <v>2485</v>
      </c>
      <c r="F884" s="2885">
        <v>1</v>
      </c>
      <c r="G884" s="2199"/>
      <c r="H884" s="1501">
        <f t="shared" si="19"/>
        <v>0</v>
      </c>
    </row>
    <row r="885" spans="1:8" s="2" customFormat="1">
      <c r="A885" s="1763"/>
      <c r="B885" s="2905"/>
      <c r="C885" s="1612"/>
      <c r="D885" s="2035"/>
      <c r="E885" s="2950"/>
      <c r="F885" s="2885"/>
      <c r="G885" s="2199"/>
      <c r="H885" s="1501" t="str">
        <f t="shared" si="19"/>
        <v/>
      </c>
    </row>
    <row r="886" spans="1:8" s="2" customFormat="1">
      <c r="A886" s="1791">
        <f>$A$4</f>
        <v>20</v>
      </c>
      <c r="B886" s="2922">
        <v>5.31</v>
      </c>
      <c r="C886" s="1620" t="s">
        <v>2515</v>
      </c>
      <c r="D886" s="2035" t="s">
        <v>1171</v>
      </c>
      <c r="E886" s="2950" t="s">
        <v>2485</v>
      </c>
      <c r="F886" s="2885">
        <v>2</v>
      </c>
      <c r="G886" s="2199"/>
      <c r="H886" s="1501">
        <f t="shared" si="19"/>
        <v>0</v>
      </c>
    </row>
    <row r="887" spans="1:8" s="2" customFormat="1">
      <c r="A887" s="1763"/>
      <c r="B887" s="2905"/>
      <c r="C887" s="1612"/>
      <c r="D887" s="1611"/>
      <c r="E887" s="2951"/>
      <c r="F887" s="2927"/>
      <c r="G887" s="2199"/>
      <c r="H887" s="1501" t="str">
        <f t="shared" si="19"/>
        <v/>
      </c>
    </row>
    <row r="888" spans="1:8" s="2" customFormat="1">
      <c r="A888" s="1763"/>
      <c r="B888" s="2934" t="s">
        <v>586</v>
      </c>
      <c r="C888" s="1612"/>
      <c r="D888" s="2910" t="s">
        <v>1235</v>
      </c>
      <c r="E888" s="2951"/>
      <c r="F888" s="2927"/>
      <c r="G888" s="2199"/>
      <c r="H888" s="1501" t="str">
        <f t="shared" si="19"/>
        <v/>
      </c>
    </row>
    <row r="889" spans="1:8" s="2" customFormat="1">
      <c r="A889" s="1763"/>
      <c r="B889" s="2905"/>
      <c r="C889" s="1612"/>
      <c r="D889" s="2910"/>
      <c r="E889" s="2951"/>
      <c r="F889" s="2927"/>
      <c r="G889" s="2199"/>
      <c r="H889" s="1501" t="str">
        <f t="shared" si="19"/>
        <v/>
      </c>
    </row>
    <row r="890" spans="1:8" s="2" customFormat="1" ht="26.4">
      <c r="A890" s="1791">
        <f>$A$4</f>
        <v>20</v>
      </c>
      <c r="B890" s="2922">
        <v>5.32</v>
      </c>
      <c r="C890" s="1612" t="s">
        <v>2515</v>
      </c>
      <c r="D890" s="1626" t="s">
        <v>2558</v>
      </c>
      <c r="E890" s="1617" t="s">
        <v>561</v>
      </c>
      <c r="F890" s="1627">
        <v>65</v>
      </c>
      <c r="G890" s="2199"/>
      <c r="H890" s="1501">
        <f t="shared" si="19"/>
        <v>0</v>
      </c>
    </row>
    <row r="891" spans="1:8" s="2" customFormat="1">
      <c r="A891" s="1763"/>
      <c r="B891" s="2905"/>
      <c r="C891" s="1612"/>
      <c r="D891" s="1626"/>
      <c r="E891" s="2918"/>
      <c r="F891" s="1627"/>
      <c r="G891" s="2199"/>
      <c r="H891" s="1501" t="str">
        <f t="shared" si="19"/>
        <v/>
      </c>
    </row>
    <row r="892" spans="1:8" s="2" customFormat="1">
      <c r="A892" s="1791">
        <f>$A$4</f>
        <v>20</v>
      </c>
      <c r="B892" s="2922">
        <v>5.33</v>
      </c>
      <c r="C892" s="1612" t="s">
        <v>2535</v>
      </c>
      <c r="D892" s="2914" t="s">
        <v>2536</v>
      </c>
      <c r="E892" s="2913" t="s">
        <v>2485</v>
      </c>
      <c r="F892" s="1627">
        <v>2</v>
      </c>
      <c r="G892" s="2199"/>
      <c r="H892" s="1501">
        <f t="shared" si="19"/>
        <v>0</v>
      </c>
    </row>
    <row r="893" spans="1:8" s="2" customFormat="1">
      <c r="A893" s="1763"/>
      <c r="B893" s="1791"/>
      <c r="C893" s="1616"/>
      <c r="D893" s="1552"/>
      <c r="E893" s="2196"/>
      <c r="F893" s="1550"/>
      <c r="G893" s="2199"/>
      <c r="H893" s="1501" t="str">
        <f t="shared" si="19"/>
        <v/>
      </c>
    </row>
    <row r="894" spans="1:8" s="2" customFormat="1">
      <c r="A894" s="1791">
        <f>$A$4</f>
        <v>20</v>
      </c>
      <c r="B894" s="2922">
        <v>5.34</v>
      </c>
      <c r="C894" s="1612" t="s">
        <v>2535</v>
      </c>
      <c r="D894" s="2035" t="s">
        <v>2537</v>
      </c>
      <c r="E894" s="2911" t="s">
        <v>2485</v>
      </c>
      <c r="F894" s="1627">
        <v>2</v>
      </c>
      <c r="G894" s="2199"/>
      <c r="H894" s="1501">
        <f t="shared" si="19"/>
        <v>0</v>
      </c>
    </row>
    <row r="895" spans="1:8" s="2" customFormat="1">
      <c r="A895" s="1763"/>
      <c r="B895" s="1617"/>
      <c r="C895" s="1612"/>
      <c r="D895" s="2035"/>
      <c r="E895" s="2911"/>
      <c r="F895" s="1627"/>
      <c r="G895" s="2199"/>
      <c r="H895" s="1501" t="str">
        <f t="shared" si="19"/>
        <v/>
      </c>
    </row>
    <row r="896" spans="1:8" s="2" customFormat="1">
      <c r="A896" s="1763"/>
      <c r="B896" s="2971" t="s">
        <v>597</v>
      </c>
      <c r="C896" s="1612"/>
      <c r="D896" s="2910" t="s">
        <v>2538</v>
      </c>
      <c r="E896" s="1617"/>
      <c r="F896" s="2927"/>
      <c r="G896" s="2199"/>
      <c r="H896" s="1501" t="str">
        <f t="shared" si="19"/>
        <v/>
      </c>
    </row>
    <row r="897" spans="1:8" s="2" customFormat="1">
      <c r="A897" s="1763"/>
      <c r="B897" s="1617"/>
      <c r="C897" s="1612"/>
      <c r="D897" s="2910"/>
      <c r="E897" s="1617"/>
      <c r="F897" s="2927"/>
      <c r="G897" s="2199"/>
      <c r="H897" s="1501" t="str">
        <f t="shared" ref="H897:H899" si="20">IF(E897="","",ROUND(F897*G897,2))</f>
        <v/>
      </c>
    </row>
    <row r="898" spans="1:8" s="2" customFormat="1">
      <c r="A898" s="1791">
        <f>$A$4</f>
        <v>20</v>
      </c>
      <c r="B898" s="2922">
        <v>5.35</v>
      </c>
      <c r="C898" s="1612">
        <v>1.3</v>
      </c>
      <c r="D898" s="1626" t="s">
        <v>2539</v>
      </c>
      <c r="E898" s="1617" t="s">
        <v>230</v>
      </c>
      <c r="F898" s="1627">
        <v>1</v>
      </c>
      <c r="G898" s="2199"/>
      <c r="H898" s="1501">
        <f t="shared" si="20"/>
        <v>0</v>
      </c>
    </row>
    <row r="899" spans="1:8" s="2" customFormat="1">
      <c r="A899" s="1791"/>
      <c r="B899" s="2922"/>
      <c r="C899" s="1612"/>
      <c r="D899" s="1626"/>
      <c r="E899" s="2918"/>
      <c r="F899" s="1627"/>
      <c r="G899" s="2199"/>
      <c r="H899" s="1501" t="str">
        <f t="shared" si="20"/>
        <v/>
      </c>
    </row>
    <row r="900" spans="1:8" s="2" customFormat="1">
      <c r="A900" s="1791"/>
      <c r="B900" s="2922"/>
      <c r="C900" s="1612"/>
      <c r="D900" s="1626"/>
      <c r="E900" s="2918"/>
      <c r="F900" s="1627"/>
      <c r="G900" s="2199"/>
      <c r="H900" s="1614"/>
    </row>
    <row r="901" spans="1:8" s="2" customFormat="1">
      <c r="A901" s="1763"/>
      <c r="B901" s="2921"/>
      <c r="C901" s="1612"/>
      <c r="D901" s="1626"/>
      <c r="E901" s="2918"/>
      <c r="F901" s="1627"/>
      <c r="G901" s="2199"/>
      <c r="H901" s="1614"/>
    </row>
    <row r="902" spans="1:8" s="2" customFormat="1">
      <c r="A902" s="1791"/>
      <c r="B902" s="2921"/>
      <c r="C902" s="1620"/>
      <c r="D902" s="2886"/>
      <c r="E902" s="2950"/>
      <c r="F902" s="2885"/>
      <c r="G902" s="2199"/>
      <c r="H902" s="1625"/>
    </row>
    <row r="903" spans="1:8" s="2" customFormat="1">
      <c r="A903" s="1786"/>
      <c r="B903" s="787"/>
      <c r="C903" s="861"/>
      <c r="D903" s="862"/>
      <c r="E903" s="870"/>
      <c r="F903" s="800"/>
      <c r="G903" s="1485"/>
      <c r="H903" s="2936"/>
    </row>
    <row r="904" spans="1:8" s="2" customFormat="1">
      <c r="A904" s="2566"/>
      <c r="B904" s="566"/>
      <c r="C904" s="419"/>
      <c r="D904" s="413" t="s">
        <v>289</v>
      </c>
      <c r="E904" s="418"/>
      <c r="F904" s="425"/>
      <c r="G904" s="1486"/>
      <c r="H904" s="2937">
        <f>SUM(H827:H902)</f>
        <v>0</v>
      </c>
    </row>
    <row r="905" spans="1:8" s="2" customFormat="1">
      <c r="A905" s="1763"/>
      <c r="B905" s="2972"/>
      <c r="C905" s="2973"/>
      <c r="D905" s="2162" t="s">
        <v>290</v>
      </c>
      <c r="E905" s="2974"/>
      <c r="F905" s="2192"/>
      <c r="G905" s="2948"/>
      <c r="H905" s="2975">
        <f>H904</f>
        <v>0</v>
      </c>
    </row>
    <row r="906" spans="1:8" s="2" customFormat="1">
      <c r="A906" s="1763"/>
      <c r="B906" s="1791"/>
      <c r="C906" s="1616"/>
      <c r="D906" s="1552"/>
      <c r="E906" s="2196"/>
      <c r="F906" s="1550"/>
      <c r="G906" s="2199"/>
      <c r="H906" s="1625"/>
    </row>
    <row r="907" spans="1:8" s="374" customFormat="1">
      <c r="A907" s="1886"/>
      <c r="B907" s="1753">
        <v>6</v>
      </c>
      <c r="C907" s="1672"/>
      <c r="D907" s="1673" t="s">
        <v>2602</v>
      </c>
      <c r="E907" s="2976"/>
      <c r="F907" s="2096"/>
      <c r="G907" s="2977"/>
      <c r="H907" s="1614"/>
    </row>
    <row r="908" spans="1:8" s="2" customFormat="1">
      <c r="A908" s="1763"/>
      <c r="B908" s="1667"/>
      <c r="C908" s="1687"/>
      <c r="D908" s="2030"/>
      <c r="E908" s="2939"/>
      <c r="F908" s="1670"/>
      <c r="G908" s="2199"/>
      <c r="H908" s="1614"/>
    </row>
    <row r="909" spans="1:8" s="2" customFormat="1">
      <c r="A909" s="1763"/>
      <c r="B909" s="1618"/>
      <c r="C909" s="1623"/>
      <c r="D909" s="2847" t="s">
        <v>2578</v>
      </c>
      <c r="E909" s="1624"/>
      <c r="F909" s="2848"/>
      <c r="G909" s="2199"/>
      <c r="H909" s="1614"/>
    </row>
    <row r="910" spans="1:8" s="2" customFormat="1">
      <c r="A910" s="1763"/>
      <c r="B910" s="1618"/>
      <c r="C910" s="1623"/>
      <c r="D910" s="2920"/>
      <c r="E910" s="1624"/>
      <c r="F910" s="2848"/>
      <c r="G910" s="2199"/>
      <c r="H910" s="1614"/>
    </row>
    <row r="911" spans="1:8" s="2" customFormat="1">
      <c r="A911" s="1763"/>
      <c r="B911" s="2919" t="s">
        <v>543</v>
      </c>
      <c r="C911" s="1610"/>
      <c r="D911" s="866" t="s">
        <v>2603</v>
      </c>
      <c r="E911" s="2940"/>
      <c r="F911" s="2855"/>
      <c r="G911" s="2199"/>
      <c r="H911" s="1614"/>
    </row>
    <row r="912" spans="1:8" s="2" customFormat="1">
      <c r="A912" s="1763"/>
      <c r="B912" s="2921"/>
      <c r="C912" s="1612"/>
      <c r="D912" s="1626"/>
      <c r="E912" s="2918"/>
      <c r="F912" s="1627"/>
      <c r="G912" s="2199"/>
      <c r="H912" s="1614"/>
    </row>
    <row r="913" spans="1:8" s="2" customFormat="1" ht="26.4">
      <c r="A913" s="1791">
        <f>$A$4</f>
        <v>20</v>
      </c>
      <c r="B913" s="2922">
        <v>6.1</v>
      </c>
      <c r="C913" s="1610" t="s">
        <v>2483</v>
      </c>
      <c r="D913" s="1646" t="s">
        <v>2484</v>
      </c>
      <c r="E913" s="2940" t="s">
        <v>2485</v>
      </c>
      <c r="F913" s="2855">
        <v>4</v>
      </c>
      <c r="G913" s="2199"/>
      <c r="H913" s="1501">
        <f t="shared" ref="H913:H976" si="21">IF(E913="","",ROUND(F913*G913,2))</f>
        <v>0</v>
      </c>
    </row>
    <row r="914" spans="1:8" s="2" customFormat="1">
      <c r="A914" s="1763"/>
      <c r="B914" s="2921"/>
      <c r="C914" s="1610"/>
      <c r="D914" s="856"/>
      <c r="E914" s="2940"/>
      <c r="F914" s="2855"/>
      <c r="G914" s="2858"/>
      <c r="H914" s="1501" t="str">
        <f t="shared" si="21"/>
        <v/>
      </c>
    </row>
    <row r="915" spans="1:8" s="2" customFormat="1" ht="26.4">
      <c r="A915" s="1791">
        <f>$A$4</f>
        <v>20</v>
      </c>
      <c r="B915" s="2922">
        <v>6.2</v>
      </c>
      <c r="C915" s="1610" t="s">
        <v>2486</v>
      </c>
      <c r="D915" s="2859" t="s">
        <v>2487</v>
      </c>
      <c r="E915" s="2940" t="s">
        <v>2485</v>
      </c>
      <c r="F915" s="2855">
        <v>4</v>
      </c>
      <c r="G915" s="2858"/>
      <c r="H915" s="1501">
        <f t="shared" si="21"/>
        <v>0</v>
      </c>
    </row>
    <row r="916" spans="1:8" s="2" customFormat="1">
      <c r="A916" s="1763"/>
      <c r="B916" s="2921"/>
      <c r="C916" s="1610"/>
      <c r="D916" s="857"/>
      <c r="E916" s="2940"/>
      <c r="F916" s="2855"/>
      <c r="G916" s="2199"/>
      <c r="H916" s="1501" t="str">
        <f t="shared" si="21"/>
        <v/>
      </c>
    </row>
    <row r="917" spans="1:8" s="2" customFormat="1" ht="26.4">
      <c r="A917" s="1791"/>
      <c r="B917" s="2889"/>
      <c r="C917" s="2887"/>
      <c r="D917" s="2929" t="s">
        <v>2604</v>
      </c>
      <c r="E917" s="1621"/>
      <c r="F917" s="2890"/>
      <c r="G917" s="2199"/>
      <c r="H917" s="1501" t="str">
        <f t="shared" si="21"/>
        <v/>
      </c>
    </row>
    <row r="918" spans="1:8" s="2" customFormat="1">
      <c r="A918" s="1763"/>
      <c r="B918" s="2889"/>
      <c r="C918" s="2887"/>
      <c r="D918" s="2891"/>
      <c r="E918" s="1621"/>
      <c r="F918" s="2890"/>
      <c r="G918" s="2199"/>
      <c r="H918" s="1501" t="str">
        <f t="shared" si="21"/>
        <v/>
      </c>
    </row>
    <row r="919" spans="1:8" s="2" customFormat="1" ht="26.4">
      <c r="A919" s="1763"/>
      <c r="B919" s="2928" t="s">
        <v>549</v>
      </c>
      <c r="C919" s="1610"/>
      <c r="D919" s="866" t="s">
        <v>2600</v>
      </c>
      <c r="E919" s="2940"/>
      <c r="F919" s="2855"/>
      <c r="G919" s="2199"/>
      <c r="H919" s="1501" t="str">
        <f t="shared" si="21"/>
        <v/>
      </c>
    </row>
    <row r="920" spans="1:8" s="2" customFormat="1">
      <c r="A920" s="1763"/>
      <c r="B920" s="2930"/>
      <c r="C920" s="1610"/>
      <c r="D920" s="857"/>
      <c r="E920" s="2940"/>
      <c r="F920" s="2855"/>
      <c r="G920" s="2199"/>
      <c r="H920" s="1501" t="str">
        <f t="shared" si="21"/>
        <v/>
      </c>
    </row>
    <row r="921" spans="1:8" s="2" customFormat="1" ht="26.4">
      <c r="A921" s="1791">
        <f>$A$4</f>
        <v>20</v>
      </c>
      <c r="B921" s="2922">
        <v>6.3</v>
      </c>
      <c r="C921" s="1610" t="s">
        <v>2483</v>
      </c>
      <c r="D921" s="1646" t="s">
        <v>2484</v>
      </c>
      <c r="E921" s="2940" t="s">
        <v>2485</v>
      </c>
      <c r="F921" s="2855">
        <v>4</v>
      </c>
      <c r="G921" s="2199"/>
      <c r="H921" s="1501">
        <f t="shared" si="21"/>
        <v>0</v>
      </c>
    </row>
    <row r="922" spans="1:8" s="2" customFormat="1">
      <c r="A922" s="1763"/>
      <c r="B922" s="2930"/>
      <c r="C922" s="1610"/>
      <c r="D922" s="856"/>
      <c r="E922" s="2940"/>
      <c r="F922" s="2855"/>
      <c r="G922" s="2199"/>
      <c r="H922" s="1501" t="str">
        <f t="shared" si="21"/>
        <v/>
      </c>
    </row>
    <row r="923" spans="1:8" s="2" customFormat="1" ht="13.5" customHeight="1">
      <c r="A923" s="1791">
        <f>$A$4</f>
        <v>20</v>
      </c>
      <c r="B923" s="2922">
        <v>6.4</v>
      </c>
      <c r="C923" s="1610" t="s">
        <v>2486</v>
      </c>
      <c r="D923" s="2859" t="s">
        <v>2487</v>
      </c>
      <c r="E923" s="2940" t="s">
        <v>2485</v>
      </c>
      <c r="F923" s="2855">
        <v>4</v>
      </c>
      <c r="G923" s="2199"/>
      <c r="H923" s="1501">
        <f t="shared" si="21"/>
        <v>0</v>
      </c>
    </row>
    <row r="924" spans="1:8" s="2" customFormat="1" ht="13.5" customHeight="1">
      <c r="A924" s="1763"/>
      <c r="B924" s="2921"/>
      <c r="C924" s="1610"/>
      <c r="D924" s="2859"/>
      <c r="E924" s="2940"/>
      <c r="F924" s="2855"/>
      <c r="G924" s="2199"/>
      <c r="H924" s="1501" t="str">
        <f t="shared" si="21"/>
        <v/>
      </c>
    </row>
    <row r="925" spans="1:8" s="2" customFormat="1" ht="13.5" customHeight="1">
      <c r="A925" s="1763"/>
      <c r="B925" s="2921"/>
      <c r="C925" s="1610"/>
      <c r="D925" s="2859"/>
      <c r="E925" s="2940"/>
      <c r="F925" s="2855"/>
      <c r="G925" s="2199"/>
      <c r="H925" s="1501" t="str">
        <f t="shared" si="21"/>
        <v/>
      </c>
    </row>
    <row r="926" spans="1:8" s="2" customFormat="1" ht="13.5" customHeight="1">
      <c r="A926" s="1791">
        <f>$A$4</f>
        <v>20</v>
      </c>
      <c r="B926" s="2941">
        <v>7</v>
      </c>
      <c r="C926" s="1610"/>
      <c r="D926" s="2866" t="s">
        <v>1520</v>
      </c>
      <c r="E926" s="2940"/>
      <c r="F926" s="2855"/>
      <c r="G926" s="2199"/>
      <c r="H926" s="1501" t="str">
        <f t="shared" si="21"/>
        <v/>
      </c>
    </row>
    <row r="927" spans="1:8" s="2" customFormat="1" ht="13.5" customHeight="1">
      <c r="A927" s="1763"/>
      <c r="B927" s="2921"/>
      <c r="C927" s="1610"/>
      <c r="D927" s="2859"/>
      <c r="E927" s="2940"/>
      <c r="F927" s="2855"/>
      <c r="G927" s="2199"/>
      <c r="H927" s="1501" t="str">
        <f t="shared" si="21"/>
        <v/>
      </c>
    </row>
    <row r="928" spans="1:8" s="2" customFormat="1" ht="13.5" customHeight="1">
      <c r="A928" s="1791">
        <f>$A$4</f>
        <v>20</v>
      </c>
      <c r="B928" s="2922">
        <v>7.1</v>
      </c>
      <c r="C928" s="1610"/>
      <c r="D928" s="2859" t="s">
        <v>2605</v>
      </c>
      <c r="E928" s="2940" t="s">
        <v>548</v>
      </c>
      <c r="F928" s="2855">
        <v>1</v>
      </c>
      <c r="G928" s="2978">
        <v>709413</v>
      </c>
      <c r="H928" s="1501">
        <f t="shared" si="21"/>
        <v>709413</v>
      </c>
    </row>
    <row r="929" spans="1:8" s="2" customFormat="1" ht="13.5" customHeight="1">
      <c r="A929" s="1763"/>
      <c r="B929" s="2921"/>
      <c r="C929" s="1610"/>
      <c r="D929" s="2859"/>
      <c r="E929" s="2940"/>
      <c r="F929" s="2855"/>
      <c r="G929" s="2199"/>
      <c r="H929" s="1501" t="str">
        <f t="shared" si="21"/>
        <v/>
      </c>
    </row>
    <row r="930" spans="1:8" s="2" customFormat="1" ht="27" customHeight="1">
      <c r="A930" s="1791">
        <f>$A$4</f>
        <v>20</v>
      </c>
      <c r="B930" s="2922">
        <v>7.2</v>
      </c>
      <c r="C930" s="1610"/>
      <c r="D930" s="2859" t="s">
        <v>2606</v>
      </c>
      <c r="E930" s="2940" t="s">
        <v>548</v>
      </c>
      <c r="F930" s="2855">
        <v>1</v>
      </c>
      <c r="G930" s="2978">
        <v>283765</v>
      </c>
      <c r="H930" s="1501">
        <f t="shared" si="21"/>
        <v>283765</v>
      </c>
    </row>
    <row r="931" spans="1:8" s="2" customFormat="1" ht="13.5" customHeight="1">
      <c r="A931" s="1763"/>
      <c r="B931" s="2921"/>
      <c r="C931" s="1610"/>
      <c r="D931" s="2859"/>
      <c r="E931" s="2940"/>
      <c r="F931" s="2855"/>
      <c r="G931" s="2199"/>
      <c r="H931" s="1501" t="str">
        <f t="shared" si="21"/>
        <v/>
      </c>
    </row>
    <row r="932" spans="1:8" s="2" customFormat="1" ht="13.5" customHeight="1">
      <c r="A932" s="1791">
        <f>$A$4</f>
        <v>20</v>
      </c>
      <c r="B932" s="2922">
        <v>7.3</v>
      </c>
      <c r="C932" s="1610"/>
      <c r="D932" s="2859" t="s">
        <v>2607</v>
      </c>
      <c r="E932" s="2940" t="s">
        <v>548</v>
      </c>
      <c r="F932" s="2855">
        <v>1</v>
      </c>
      <c r="G932" s="2978">
        <v>4000000</v>
      </c>
      <c r="H932" s="1501">
        <f t="shared" si="21"/>
        <v>4000000</v>
      </c>
    </row>
    <row r="933" spans="1:8" s="2" customFormat="1" ht="13.5" customHeight="1">
      <c r="A933" s="1791"/>
      <c r="B933" s="2922"/>
      <c r="C933" s="1610"/>
      <c r="D933" s="2859"/>
      <c r="E933" s="2940"/>
      <c r="F933" s="2855"/>
      <c r="G933" s="2199"/>
      <c r="H933" s="1501" t="str">
        <f t="shared" si="21"/>
        <v/>
      </c>
    </row>
    <row r="934" spans="1:8" s="2" customFormat="1" ht="13.5" customHeight="1">
      <c r="A934" s="1791"/>
      <c r="B934" s="2922"/>
      <c r="C934" s="1610"/>
      <c r="D934" s="2859"/>
      <c r="E934" s="2940"/>
      <c r="F934" s="2855"/>
      <c r="G934" s="2199"/>
      <c r="H934" s="1501" t="str">
        <f t="shared" si="21"/>
        <v/>
      </c>
    </row>
    <row r="935" spans="1:8" s="2" customFormat="1" ht="13.5" customHeight="1">
      <c r="A935" s="1791"/>
      <c r="B935" s="2922"/>
      <c r="C935" s="1610"/>
      <c r="D935" s="2859"/>
      <c r="E935" s="2940"/>
      <c r="F935" s="2855"/>
      <c r="G935" s="2199"/>
      <c r="H935" s="1501" t="str">
        <f t="shared" si="21"/>
        <v/>
      </c>
    </row>
    <row r="936" spans="1:8" s="2" customFormat="1" ht="13.5" customHeight="1">
      <c r="A936" s="1791"/>
      <c r="B936" s="2922"/>
      <c r="C936" s="1610"/>
      <c r="D936" s="2859"/>
      <c r="E936" s="2940"/>
      <c r="F936" s="2855"/>
      <c r="G936" s="2199"/>
      <c r="H936" s="1501" t="str">
        <f t="shared" si="21"/>
        <v/>
      </c>
    </row>
    <row r="937" spans="1:8" s="2" customFormat="1" ht="13.5" customHeight="1">
      <c r="A937" s="1791"/>
      <c r="B937" s="2922"/>
      <c r="C937" s="1610"/>
      <c r="D937" s="2859"/>
      <c r="E937" s="2940"/>
      <c r="F937" s="2855"/>
      <c r="G937" s="2199"/>
      <c r="H937" s="1501" t="str">
        <f t="shared" si="21"/>
        <v/>
      </c>
    </row>
    <row r="938" spans="1:8" s="2" customFormat="1" ht="13.5" customHeight="1">
      <c r="A938" s="1791"/>
      <c r="B938" s="2922"/>
      <c r="C938" s="1610"/>
      <c r="D938" s="2859"/>
      <c r="E938" s="2940"/>
      <c r="F938" s="2855"/>
      <c r="G938" s="2199"/>
      <c r="H938" s="1501" t="str">
        <f t="shared" si="21"/>
        <v/>
      </c>
    </row>
    <row r="939" spans="1:8" s="2" customFormat="1" ht="13.5" customHeight="1">
      <c r="A939" s="1791"/>
      <c r="B939" s="2922"/>
      <c r="C939" s="1610"/>
      <c r="D939" s="2859"/>
      <c r="E939" s="2940"/>
      <c r="F939" s="2855"/>
      <c r="G939" s="2199"/>
      <c r="H939" s="1501" t="str">
        <f t="shared" si="21"/>
        <v/>
      </c>
    </row>
    <row r="940" spans="1:8" s="2" customFormat="1" ht="13.5" customHeight="1">
      <c r="A940" s="1791"/>
      <c r="B940" s="2922"/>
      <c r="C940" s="1610"/>
      <c r="D940" s="2859"/>
      <c r="E940" s="2940"/>
      <c r="F940" s="2855"/>
      <c r="G940" s="2199"/>
      <c r="H940" s="1501" t="str">
        <f t="shared" si="21"/>
        <v/>
      </c>
    </row>
    <row r="941" spans="1:8" s="2" customFormat="1" ht="13.5" customHeight="1">
      <c r="A941" s="1791"/>
      <c r="B941" s="2922"/>
      <c r="C941" s="1610"/>
      <c r="D941" s="2859"/>
      <c r="E941" s="2940"/>
      <c r="F941" s="2855"/>
      <c r="G941" s="2199"/>
      <c r="H941" s="1501" t="str">
        <f t="shared" si="21"/>
        <v/>
      </c>
    </row>
    <row r="942" spans="1:8" s="2" customFormat="1" ht="13.5" customHeight="1">
      <c r="A942" s="1791"/>
      <c r="B942" s="2922"/>
      <c r="C942" s="1610"/>
      <c r="D942" s="2859"/>
      <c r="E942" s="2940"/>
      <c r="F942" s="2855"/>
      <c r="G942" s="2199"/>
      <c r="H942" s="1501" t="str">
        <f t="shared" si="21"/>
        <v/>
      </c>
    </row>
    <row r="943" spans="1:8" s="2" customFormat="1" ht="13.5" customHeight="1">
      <c r="A943" s="1791"/>
      <c r="B943" s="2922"/>
      <c r="C943" s="1610"/>
      <c r="D943" s="2859"/>
      <c r="E943" s="2940"/>
      <c r="F943" s="2855"/>
      <c r="G943" s="2199"/>
      <c r="H943" s="1501" t="str">
        <f t="shared" si="21"/>
        <v/>
      </c>
    </row>
    <row r="944" spans="1:8" s="2" customFormat="1" ht="13.5" customHeight="1">
      <c r="A944" s="1791"/>
      <c r="B944" s="2922"/>
      <c r="C944" s="1610"/>
      <c r="D944" s="2859"/>
      <c r="E944" s="2940"/>
      <c r="F944" s="2855"/>
      <c r="G944" s="2199"/>
      <c r="H944" s="1501" t="str">
        <f t="shared" si="21"/>
        <v/>
      </c>
    </row>
    <row r="945" spans="1:8" s="2" customFormat="1" ht="13.5" customHeight="1">
      <c r="A945" s="1791"/>
      <c r="B945" s="2922"/>
      <c r="C945" s="1610"/>
      <c r="D945" s="2859"/>
      <c r="E945" s="2940"/>
      <c r="F945" s="2855"/>
      <c r="G945" s="2199"/>
      <c r="H945" s="1501" t="str">
        <f t="shared" si="21"/>
        <v/>
      </c>
    </row>
    <row r="946" spans="1:8" s="2" customFormat="1" ht="13.5" customHeight="1">
      <c r="A946" s="1791"/>
      <c r="B946" s="2922"/>
      <c r="C946" s="1610"/>
      <c r="D946" s="2859"/>
      <c r="E946" s="2940"/>
      <c r="F946" s="2855"/>
      <c r="G946" s="2199"/>
      <c r="H946" s="1501" t="str">
        <f t="shared" si="21"/>
        <v/>
      </c>
    </row>
    <row r="947" spans="1:8" s="2" customFormat="1" ht="13.5" customHeight="1">
      <c r="A947" s="1791"/>
      <c r="B947" s="2922"/>
      <c r="C947" s="1610"/>
      <c r="D947" s="2859"/>
      <c r="E947" s="2940"/>
      <c r="F947" s="2855"/>
      <c r="G947" s="2199"/>
      <c r="H947" s="1501" t="str">
        <f t="shared" si="21"/>
        <v/>
      </c>
    </row>
    <row r="948" spans="1:8" s="2" customFormat="1" ht="13.5" customHeight="1">
      <c r="A948" s="1791"/>
      <c r="B948" s="2922"/>
      <c r="C948" s="1610"/>
      <c r="D948" s="2859"/>
      <c r="E948" s="2940"/>
      <c r="F948" s="2855"/>
      <c r="G948" s="2199"/>
      <c r="H948" s="1501" t="str">
        <f t="shared" si="21"/>
        <v/>
      </c>
    </row>
    <row r="949" spans="1:8" s="2" customFormat="1" ht="13.5" customHeight="1">
      <c r="A949" s="1791"/>
      <c r="B949" s="2922"/>
      <c r="C949" s="1610"/>
      <c r="D949" s="2859"/>
      <c r="E949" s="2940"/>
      <c r="F949" s="2855"/>
      <c r="G949" s="2199"/>
      <c r="H949" s="1501" t="str">
        <f t="shared" si="21"/>
        <v/>
      </c>
    </row>
    <row r="950" spans="1:8" s="2" customFormat="1" ht="13.5" customHeight="1">
      <c r="A950" s="1791"/>
      <c r="B950" s="2922"/>
      <c r="C950" s="1610"/>
      <c r="D950" s="2859"/>
      <c r="E950" s="2940"/>
      <c r="F950" s="2855"/>
      <c r="G950" s="2199"/>
      <c r="H950" s="1501" t="str">
        <f t="shared" si="21"/>
        <v/>
      </c>
    </row>
    <row r="951" spans="1:8" s="2" customFormat="1" ht="13.5" customHeight="1">
      <c r="A951" s="1791"/>
      <c r="B951" s="2922"/>
      <c r="C951" s="1610"/>
      <c r="D951" s="2859"/>
      <c r="E951" s="2940"/>
      <c r="F951" s="2855"/>
      <c r="G951" s="2199"/>
      <c r="H951" s="1501" t="str">
        <f t="shared" si="21"/>
        <v/>
      </c>
    </row>
    <row r="952" spans="1:8" s="2" customFormat="1" ht="13.5" customHeight="1">
      <c r="A952" s="1791"/>
      <c r="B952" s="2922"/>
      <c r="C952" s="1610"/>
      <c r="D952" s="2859"/>
      <c r="E952" s="2940"/>
      <c r="F952" s="2855"/>
      <c r="G952" s="2199"/>
      <c r="H952" s="1501" t="str">
        <f t="shared" si="21"/>
        <v/>
      </c>
    </row>
    <row r="953" spans="1:8" s="2" customFormat="1" ht="13.5" customHeight="1">
      <c r="A953" s="1791"/>
      <c r="B953" s="2922"/>
      <c r="C953" s="1610"/>
      <c r="D953" s="2859"/>
      <c r="E953" s="2940"/>
      <c r="F953" s="2855"/>
      <c r="G953" s="2199"/>
      <c r="H953" s="1501" t="str">
        <f t="shared" si="21"/>
        <v/>
      </c>
    </row>
    <row r="954" spans="1:8" s="2" customFormat="1" ht="13.5" customHeight="1">
      <c r="A954" s="1791"/>
      <c r="B954" s="2922"/>
      <c r="C954" s="1610"/>
      <c r="D954" s="2859"/>
      <c r="E954" s="2940"/>
      <c r="F954" s="2855"/>
      <c r="G954" s="2199"/>
      <c r="H954" s="1501" t="str">
        <f t="shared" si="21"/>
        <v/>
      </c>
    </row>
    <row r="955" spans="1:8" s="2" customFormat="1" ht="13.5" customHeight="1">
      <c r="A955" s="1791"/>
      <c r="B955" s="2922"/>
      <c r="C955" s="1610"/>
      <c r="D955" s="2859"/>
      <c r="E955" s="2940"/>
      <c r="F955" s="2855"/>
      <c r="G955" s="2199"/>
      <c r="H955" s="1501" t="str">
        <f t="shared" si="21"/>
        <v/>
      </c>
    </row>
    <row r="956" spans="1:8" s="2" customFormat="1" ht="13.5" customHeight="1">
      <c r="A956" s="1791"/>
      <c r="B956" s="2922"/>
      <c r="C956" s="1610"/>
      <c r="D956" s="2859"/>
      <c r="E956" s="2940"/>
      <c r="F956" s="2855"/>
      <c r="G956" s="2199"/>
      <c r="H956" s="1501" t="str">
        <f t="shared" si="21"/>
        <v/>
      </c>
    </row>
    <row r="957" spans="1:8" s="2" customFormat="1" ht="13.5" customHeight="1">
      <c r="A957" s="1791"/>
      <c r="B957" s="2922"/>
      <c r="C957" s="1610"/>
      <c r="D957" s="2859"/>
      <c r="E957" s="2940"/>
      <c r="F957" s="2855"/>
      <c r="G957" s="2199"/>
      <c r="H957" s="1501" t="str">
        <f t="shared" si="21"/>
        <v/>
      </c>
    </row>
    <row r="958" spans="1:8" s="2" customFormat="1" ht="13.5" customHeight="1">
      <c r="A958" s="1791"/>
      <c r="B958" s="2922"/>
      <c r="C958" s="1610"/>
      <c r="D958" s="2859"/>
      <c r="E958" s="2940"/>
      <c r="F958" s="2855"/>
      <c r="G958" s="2199"/>
      <c r="H958" s="1501" t="str">
        <f t="shared" si="21"/>
        <v/>
      </c>
    </row>
    <row r="959" spans="1:8" s="2" customFormat="1" ht="13.5" customHeight="1">
      <c r="A959" s="1791"/>
      <c r="B959" s="2922"/>
      <c r="C959" s="1610"/>
      <c r="D959" s="2859"/>
      <c r="E959" s="2940"/>
      <c r="F959" s="2855"/>
      <c r="G959" s="2199"/>
      <c r="H959" s="1501" t="str">
        <f t="shared" si="21"/>
        <v/>
      </c>
    </row>
    <row r="960" spans="1:8" s="2" customFormat="1" ht="13.5" customHeight="1">
      <c r="A960" s="1791"/>
      <c r="B960" s="2922"/>
      <c r="C960" s="1610"/>
      <c r="D960" s="2859"/>
      <c r="E960" s="2940"/>
      <c r="F960" s="2855"/>
      <c r="G960" s="2199"/>
      <c r="H960" s="1501" t="str">
        <f t="shared" si="21"/>
        <v/>
      </c>
    </row>
    <row r="961" spans="1:8" s="2" customFormat="1" ht="13.5" customHeight="1">
      <c r="A961" s="1791"/>
      <c r="B961" s="2922"/>
      <c r="C961" s="1610"/>
      <c r="D961" s="2859"/>
      <c r="E961" s="2940"/>
      <c r="F961" s="2855"/>
      <c r="G961" s="2199"/>
      <c r="H961" s="1501" t="str">
        <f t="shared" si="21"/>
        <v/>
      </c>
    </row>
    <row r="962" spans="1:8" s="2" customFormat="1" ht="13.5" customHeight="1">
      <c r="A962" s="1791"/>
      <c r="B962" s="2922"/>
      <c r="C962" s="1610"/>
      <c r="D962" s="2859"/>
      <c r="E962" s="2940"/>
      <c r="F962" s="2855"/>
      <c r="G962" s="2199"/>
      <c r="H962" s="1501" t="str">
        <f t="shared" si="21"/>
        <v/>
      </c>
    </row>
    <row r="963" spans="1:8" s="2" customFormat="1" ht="13.5" customHeight="1">
      <c r="A963" s="1791"/>
      <c r="B963" s="2922"/>
      <c r="C963" s="1610"/>
      <c r="D963" s="2859"/>
      <c r="E963" s="2940"/>
      <c r="F963" s="2855"/>
      <c r="G963" s="2199"/>
      <c r="H963" s="1501" t="str">
        <f t="shared" si="21"/>
        <v/>
      </c>
    </row>
    <row r="964" spans="1:8" s="2" customFormat="1" ht="13.5" customHeight="1">
      <c r="A964" s="1791"/>
      <c r="B964" s="2922"/>
      <c r="C964" s="1610"/>
      <c r="D964" s="2859"/>
      <c r="E964" s="2940"/>
      <c r="F964" s="2855"/>
      <c r="G964" s="2199"/>
      <c r="H964" s="1501" t="str">
        <f t="shared" si="21"/>
        <v/>
      </c>
    </row>
    <row r="965" spans="1:8" s="2" customFormat="1" ht="13.5" customHeight="1">
      <c r="A965" s="1791"/>
      <c r="B965" s="2922"/>
      <c r="C965" s="1610"/>
      <c r="D965" s="2859"/>
      <c r="E965" s="2940"/>
      <c r="F965" s="2855"/>
      <c r="G965" s="2199"/>
      <c r="H965" s="1501" t="str">
        <f t="shared" si="21"/>
        <v/>
      </c>
    </row>
    <row r="966" spans="1:8" s="2" customFormat="1" ht="13.5" customHeight="1">
      <c r="A966" s="1791"/>
      <c r="B966" s="2922"/>
      <c r="C966" s="1610"/>
      <c r="D966" s="2859"/>
      <c r="E966" s="2940"/>
      <c r="F966" s="2855"/>
      <c r="G966" s="2199"/>
      <c r="H966" s="1501" t="str">
        <f t="shared" si="21"/>
        <v/>
      </c>
    </row>
    <row r="967" spans="1:8" s="2" customFormat="1" ht="13.5" customHeight="1">
      <c r="A967" s="1791"/>
      <c r="B967" s="2922"/>
      <c r="C967" s="1610"/>
      <c r="D967" s="2859"/>
      <c r="E967" s="2940"/>
      <c r="F967" s="2855"/>
      <c r="G967" s="2199"/>
      <c r="H967" s="1501" t="str">
        <f t="shared" si="21"/>
        <v/>
      </c>
    </row>
    <row r="968" spans="1:8" s="2" customFormat="1" ht="13.5" customHeight="1">
      <c r="A968" s="1791"/>
      <c r="B968" s="2922"/>
      <c r="C968" s="1610"/>
      <c r="D968" s="2859"/>
      <c r="E968" s="2940"/>
      <c r="F968" s="2855"/>
      <c r="G968" s="2199"/>
      <c r="H968" s="1501" t="str">
        <f t="shared" si="21"/>
        <v/>
      </c>
    </row>
    <row r="969" spans="1:8" s="2" customFormat="1" ht="13.5" customHeight="1">
      <c r="A969" s="1791"/>
      <c r="B969" s="2922"/>
      <c r="C969" s="1610"/>
      <c r="D969" s="2859"/>
      <c r="E969" s="2940"/>
      <c r="F969" s="2855"/>
      <c r="G969" s="2199"/>
      <c r="H969" s="1501" t="str">
        <f t="shared" si="21"/>
        <v/>
      </c>
    </row>
    <row r="970" spans="1:8" s="2" customFormat="1" ht="13.5" customHeight="1">
      <c r="A970" s="1791"/>
      <c r="B970" s="2922"/>
      <c r="C970" s="1610"/>
      <c r="D970" s="2859"/>
      <c r="E970" s="2940"/>
      <c r="F970" s="2855"/>
      <c r="G970" s="2199"/>
      <c r="H970" s="1501" t="str">
        <f t="shared" si="21"/>
        <v/>
      </c>
    </row>
    <row r="971" spans="1:8" s="2" customFormat="1" ht="13.5" customHeight="1">
      <c r="A971" s="1791"/>
      <c r="B971" s="2922"/>
      <c r="C971" s="1610"/>
      <c r="D971" s="2859"/>
      <c r="E971" s="2940"/>
      <c r="F971" s="2855"/>
      <c r="G971" s="2199"/>
      <c r="H971" s="1501" t="str">
        <f t="shared" si="21"/>
        <v/>
      </c>
    </row>
    <row r="972" spans="1:8" s="2" customFormat="1" ht="13.5" customHeight="1">
      <c r="A972" s="1791"/>
      <c r="B972" s="2922"/>
      <c r="C972" s="1610"/>
      <c r="D972" s="2859"/>
      <c r="E972" s="2940"/>
      <c r="F972" s="2855"/>
      <c r="G972" s="2199"/>
      <c r="H972" s="1501" t="str">
        <f t="shared" si="21"/>
        <v/>
      </c>
    </row>
    <row r="973" spans="1:8" s="2" customFormat="1" ht="13.5" customHeight="1">
      <c r="A973" s="1791"/>
      <c r="B973" s="2922"/>
      <c r="C973" s="1610"/>
      <c r="D973" s="2859"/>
      <c r="E973" s="2940"/>
      <c r="F973" s="2855"/>
      <c r="G973" s="2199"/>
      <c r="H973" s="1501" t="str">
        <f t="shared" si="21"/>
        <v/>
      </c>
    </row>
    <row r="974" spans="1:8" s="2" customFormat="1" ht="13.5" customHeight="1">
      <c r="A974" s="1791"/>
      <c r="B974" s="2922"/>
      <c r="C974" s="1610"/>
      <c r="D974" s="2859"/>
      <c r="E974" s="2940"/>
      <c r="F974" s="2855"/>
      <c r="G974" s="2199"/>
      <c r="H974" s="1501" t="str">
        <f t="shared" si="21"/>
        <v/>
      </c>
    </row>
    <row r="975" spans="1:8" s="2" customFormat="1" ht="13.5" customHeight="1">
      <c r="A975" s="1763"/>
      <c r="B975" s="2921"/>
      <c r="C975" s="1610"/>
      <c r="D975" s="2859"/>
      <c r="E975" s="2940"/>
      <c r="F975" s="2855"/>
      <c r="G975" s="2199"/>
      <c r="H975" s="1501" t="str">
        <f t="shared" si="21"/>
        <v/>
      </c>
    </row>
    <row r="976" spans="1:8" s="2" customFormat="1" ht="13.5" customHeight="1">
      <c r="A976" s="1763"/>
      <c r="B976" s="2921"/>
      <c r="C976" s="1610"/>
      <c r="D976" s="2859"/>
      <c r="E976" s="2940"/>
      <c r="F976" s="2855"/>
      <c r="G976" s="2199"/>
      <c r="H976" s="1501" t="str">
        <f t="shared" si="21"/>
        <v/>
      </c>
    </row>
    <row r="977" spans="1:8" s="2" customFormat="1" ht="13.5" customHeight="1">
      <c r="A977" s="1763"/>
      <c r="B977" s="2921"/>
      <c r="C977" s="1610"/>
      <c r="D977" s="2859"/>
      <c r="E977" s="2940"/>
      <c r="F977" s="2855"/>
      <c r="G977" s="2199"/>
      <c r="H977" s="1501" t="str">
        <f t="shared" ref="H977:H978" si="22">IF(E977="","",ROUND(F977*G977,2))</f>
        <v/>
      </c>
    </row>
    <row r="978" spans="1:8" s="2" customFormat="1" ht="13.5" customHeight="1">
      <c r="A978" s="1763"/>
      <c r="B978" s="2921"/>
      <c r="C978" s="1610"/>
      <c r="D978" s="2859"/>
      <c r="E978" s="2940"/>
      <c r="F978" s="2855"/>
      <c r="G978" s="2199"/>
      <c r="H978" s="1501" t="str">
        <f t="shared" si="22"/>
        <v/>
      </c>
    </row>
    <row r="979" spans="1:8" s="2" customFormat="1" ht="13.5" customHeight="1">
      <c r="A979" s="1763"/>
      <c r="B979" s="2921"/>
      <c r="C979" s="1610"/>
      <c r="D979" s="2859"/>
      <c r="E979" s="2940"/>
      <c r="F979" s="2855"/>
      <c r="G979" s="2199"/>
      <c r="H979" s="1625"/>
    </row>
    <row r="980" spans="1:8" s="2" customFormat="1">
      <c r="A980" s="1754"/>
      <c r="B980" s="428"/>
      <c r="C980" s="523"/>
      <c r="D980" s="429"/>
      <c r="E980" s="502"/>
      <c r="F980" s="524"/>
      <c r="G980" s="1488"/>
      <c r="H980" s="2979"/>
    </row>
    <row r="981" spans="1:8" s="2" customFormat="1">
      <c r="A981" s="2380"/>
      <c r="B981" s="316"/>
      <c r="C981" s="458"/>
      <c r="D981" s="491" t="s">
        <v>2608</v>
      </c>
      <c r="E981" s="490"/>
      <c r="F981" s="317"/>
      <c r="G981" s="1489"/>
      <c r="H981" s="2980">
        <f>SUM(H905:H979)</f>
        <v>4993178</v>
      </c>
    </row>
    <row r="982" spans="1:8">
      <c r="G982" s="347"/>
    </row>
    <row r="983" spans="1:8">
      <c r="H983" s="684"/>
    </row>
    <row r="987" spans="1:8">
      <c r="H987" s="691"/>
    </row>
  </sheetData>
  <sheetProtection algorithmName="SHA-512" hashValue="3TWwV/jaRHZR4PEnsEjAVMK6dDtwHpksTijsPEtp3jTUkVByNzqhAie9l8GuAF/kJzI4m3EqH+1krEwIecJHSg==" saltValue="QSSsNXxVrUbwvMDJqMNGPw==" spinCount="100000" sheet="1" objects="1" scenarios="1"/>
  <mergeCells count="1">
    <mergeCell ref="A1:H1"/>
  </mergeCells>
  <phoneticPr fontId="33" type="noConversion"/>
  <pageMargins left="0.59055118110236227" right="0.59055118110236227" top="1.1023622047244095" bottom="0.78740157480314965" header="0.27559055118110237" footer="0.27559055118110237"/>
  <pageSetup paperSize="9" scale="64" firstPageNumber="137" fitToHeight="0" orientation="portrait" useFirstPageNumber="1" r:id="rId1"/>
  <headerFooter alignWithMargins="0">
    <oddHeader>&amp;L&amp;G&amp;CContract JW 14425
Bushkoppie Wastewater Treatment Works:
Infrastructure Renewal Plan
Volume 1 
C 2.2 Bill of Quantities&amp;R&amp;G</oddHeader>
    <oddFooter>&amp;C&amp;12
&amp;G
C.&amp;P</oddFooter>
  </headerFooter>
  <rowBreaks count="12" manualBreakCount="12">
    <brk id="72" max="16383" man="1"/>
    <brk id="148" max="7" man="1"/>
    <brk id="222" max="7" man="1"/>
    <brk id="301" max="7" man="1"/>
    <brk id="373" max="16383" man="1"/>
    <brk id="449" max="16383" man="1"/>
    <brk id="524" max="16383" man="1"/>
    <brk id="597" max="16383" man="1"/>
    <brk id="672" max="16383" man="1"/>
    <brk id="749" max="16383" man="1"/>
    <brk id="826" max="16383" man="1"/>
    <brk id="904" max="16383" man="1"/>
  </rowBreaks>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09B69-F96E-45AD-89FE-109063387CD2}">
  <dimension ref="A1:C77"/>
  <sheetViews>
    <sheetView topLeftCell="A30" workbookViewId="0">
      <selection activeCell="C21" sqref="C21"/>
    </sheetView>
  </sheetViews>
  <sheetFormatPr defaultRowHeight="13.2"/>
  <cols>
    <col min="2" max="2" width="63.5546875" bestFit="1" customWidth="1"/>
    <col min="3" max="3" width="20.5546875" bestFit="1" customWidth="1"/>
  </cols>
  <sheetData>
    <row r="1" spans="1:3">
      <c r="A1" s="3045" t="s">
        <v>2609</v>
      </c>
      <c r="B1" s="3046"/>
      <c r="C1" s="3047"/>
    </row>
    <row r="2" spans="1:3" ht="13.8" thickBot="1">
      <c r="A2" s="3048"/>
      <c r="B2" s="3049"/>
      <c r="C2" s="3050"/>
    </row>
    <row r="3" spans="1:3" ht="16.2" thickBot="1">
      <c r="A3" s="711" t="s">
        <v>2610</v>
      </c>
      <c r="B3" s="710" t="s">
        <v>39</v>
      </c>
      <c r="C3" s="700" t="s">
        <v>2611</v>
      </c>
    </row>
    <row r="4" spans="1:3" ht="15.6">
      <c r="A4" s="712"/>
      <c r="B4" s="1044" t="s">
        <v>2612</v>
      </c>
      <c r="C4" s="715"/>
    </row>
    <row r="5" spans="1:3" ht="15.6">
      <c r="A5" s="714">
        <v>1</v>
      </c>
      <c r="B5" s="686" t="s">
        <v>2613</v>
      </c>
      <c r="C5" s="713">
        <f>ROUND(50%*('1 - P&amp;G'!$G$406),2)</f>
        <v>4278000</v>
      </c>
    </row>
    <row r="6" spans="1:3" ht="15.6">
      <c r="A6" s="714">
        <v>3</v>
      </c>
      <c r="B6" s="686" t="s">
        <v>2614</v>
      </c>
      <c r="C6" s="713" t="e">
        <f>ROUND(50%*('3 - HoW'!#REF!),2)</f>
        <v>#REF!</v>
      </c>
    </row>
    <row r="7" spans="1:3" ht="15.6">
      <c r="A7" s="714">
        <v>4</v>
      </c>
      <c r="B7" s="686" t="s">
        <v>2615</v>
      </c>
      <c r="C7" s="713" t="e">
        <f>ROUND(40%*('4 - PST''s'!#REF!),2)</f>
        <v>#REF!</v>
      </c>
    </row>
    <row r="8" spans="1:3" ht="15.6">
      <c r="A8" s="714">
        <v>5</v>
      </c>
      <c r="B8" s="686" t="s">
        <v>2616</v>
      </c>
      <c r="C8" s="713" t="e">
        <f>ROUND(50%*('5 - Fermenters'!#REF!),2)</f>
        <v>#REF!</v>
      </c>
    </row>
    <row r="9" spans="1:3" ht="15.6">
      <c r="A9" s="714">
        <v>6</v>
      </c>
      <c r="B9" s="686" t="s">
        <v>2617</v>
      </c>
      <c r="C9" s="713" t="e">
        <f>ROUND(50%*('6 - SECONDARY TREATMENT'!#REF!),2)</f>
        <v>#REF!</v>
      </c>
    </row>
    <row r="10" spans="1:3" ht="15.6">
      <c r="A10" s="714">
        <v>7</v>
      </c>
      <c r="B10" s="686" t="s">
        <v>2618</v>
      </c>
      <c r="C10" s="713" t="e">
        <f>'7 - WASH WATER'!#REF!</f>
        <v>#REF!</v>
      </c>
    </row>
    <row r="11" spans="1:3" ht="15.6">
      <c r="A11" s="714">
        <v>8</v>
      </c>
      <c r="B11" s="686" t="s">
        <v>2619</v>
      </c>
      <c r="C11" s="713" t="e">
        <f>'8 - EMERGENCY DAM'!#REF!</f>
        <v>#REF!</v>
      </c>
    </row>
    <row r="12" spans="1:3" ht="15.6">
      <c r="A12" s="714">
        <v>10</v>
      </c>
      <c r="B12" s="686" t="s">
        <v>2620</v>
      </c>
      <c r="C12" s="713" t="e">
        <f>'10 - MINOR STRUCTURES'!#REF!</f>
        <v>#REF!</v>
      </c>
    </row>
    <row r="13" spans="1:3" ht="15.6">
      <c r="A13" s="714">
        <v>11</v>
      </c>
      <c r="B13" s="686" t="s">
        <v>2621</v>
      </c>
      <c r="C13" s="713" t="e">
        <f>'11 - INTERCONNECTING PIPEWORK'!#REF!</f>
        <v>#REF!</v>
      </c>
    </row>
    <row r="14" spans="1:3" ht="15.6">
      <c r="A14" s="714">
        <v>12</v>
      </c>
      <c r="B14" s="686" t="s">
        <v>2622</v>
      </c>
      <c r="C14" s="713" t="e">
        <f>'12 - SECURITY UPGRADES'!#REF!</f>
        <v>#REF!</v>
      </c>
    </row>
    <row r="15" spans="1:3" ht="15.6">
      <c r="A15" s="714">
        <v>13</v>
      </c>
      <c r="B15" s="686" t="s">
        <v>2623</v>
      </c>
      <c r="C15" s="713" t="e">
        <f>ROUND(50%*('13 - Mech (HoW)'!#REF!),2)</f>
        <v>#REF!</v>
      </c>
    </row>
    <row r="16" spans="1:3" ht="15.6">
      <c r="A16" s="714">
        <v>14</v>
      </c>
      <c r="B16" s="686" t="s">
        <v>2624</v>
      </c>
      <c r="C16" s="713" t="e">
        <f>ROUND(40%*('14 - Mech (PST''s)'!#REF!),2)</f>
        <v>#REF!</v>
      </c>
    </row>
    <row r="17" spans="1:3" ht="15.6">
      <c r="A17" s="714">
        <v>15</v>
      </c>
      <c r="B17" s="686" t="s">
        <v>2625</v>
      </c>
      <c r="C17" s="713" t="e">
        <f>ROUND(50%*('15 - Mech (Fermenters)'!#REF!),2)</f>
        <v>#REF!</v>
      </c>
    </row>
    <row r="18" spans="1:3" ht="15.6">
      <c r="A18" s="714">
        <v>16</v>
      </c>
      <c r="B18" s="686" t="s">
        <v>2626</v>
      </c>
      <c r="C18" s="713" t="e">
        <f>ROUND(50%*('16 - Mech (Sec.Treatm.)'!#REF!),2)</f>
        <v>#REF!</v>
      </c>
    </row>
    <row r="19" spans="1:3" ht="15.6">
      <c r="A19" s="714">
        <v>17</v>
      </c>
      <c r="B19" s="686" t="s">
        <v>2627</v>
      </c>
      <c r="C19" s="713" t="e">
        <f>'17 - Mech (Washwater)'!#REF!</f>
        <v>#REF!</v>
      </c>
    </row>
    <row r="20" spans="1:3" ht="15.6">
      <c r="A20" s="714">
        <v>19</v>
      </c>
      <c r="B20" s="686" t="s">
        <v>2628</v>
      </c>
      <c r="C20" s="713" t="e">
        <f>ROUND(50%*('19 - Electrical'!#REF!),2)</f>
        <v>#REF!</v>
      </c>
    </row>
    <row r="21" spans="1:3" ht="15.6">
      <c r="A21" s="1045">
        <v>20</v>
      </c>
      <c r="B21" s="2981" t="s">
        <v>2629</v>
      </c>
      <c r="C21" s="701" t="e">
        <f>ROUND(50%*('20 - C&amp;I'!#REF!),2)</f>
        <v>#REF!</v>
      </c>
    </row>
    <row r="22" spans="1:3" ht="16.2" thickBot="1">
      <c r="A22" s="1046"/>
      <c r="B22" s="1047"/>
      <c r="C22" s="1048"/>
    </row>
    <row r="23" spans="1:3" ht="16.2" thickBot="1">
      <c r="A23" s="718"/>
      <c r="B23" s="717" t="s">
        <v>2630</v>
      </c>
      <c r="C23" s="716" t="e">
        <f>SUM(C5:C21)</f>
        <v>#REF!</v>
      </c>
    </row>
    <row r="24" spans="1:3" ht="15.6">
      <c r="A24" s="695"/>
      <c r="B24" s="2982"/>
      <c r="C24" s="703"/>
    </row>
    <row r="25" spans="1:3" ht="46.8">
      <c r="A25" s="698"/>
      <c r="B25" s="719" t="s">
        <v>2631</v>
      </c>
      <c r="C25" s="708"/>
    </row>
    <row r="26" spans="1:3" ht="31.2">
      <c r="A26" s="698"/>
      <c r="B26" s="720" t="s">
        <v>2632</v>
      </c>
      <c r="C26" s="702"/>
    </row>
    <row r="27" spans="1:3" ht="15.6">
      <c r="A27" s="698"/>
      <c r="B27" s="721"/>
      <c r="C27" s="708"/>
    </row>
    <row r="28" spans="1:3" ht="62.4">
      <c r="A28" s="698"/>
      <c r="B28" s="720" t="s">
        <v>2633</v>
      </c>
      <c r="C28" s="708"/>
    </row>
    <row r="29" spans="1:3" ht="15.6">
      <c r="A29" s="698"/>
      <c r="B29" s="721"/>
      <c r="C29" s="708"/>
    </row>
    <row r="30" spans="1:3" ht="15.6">
      <c r="A30" s="698"/>
      <c r="B30" s="721" t="s">
        <v>2634</v>
      </c>
      <c r="C30" s="722" t="e">
        <f>ROUND(20%*C23*15%,2)</f>
        <v>#REF!</v>
      </c>
    </row>
    <row r="31" spans="1:3" ht="16.2" thickBot="1">
      <c r="A31" s="1046"/>
      <c r="B31" s="1047"/>
      <c r="C31" s="1048"/>
    </row>
    <row r="32" spans="1:3" ht="16.2" thickBot="1">
      <c r="A32" s="718"/>
      <c r="B32" s="717" t="s">
        <v>2635</v>
      </c>
      <c r="C32" s="716" t="e">
        <f>C23+C30</f>
        <v>#REF!</v>
      </c>
    </row>
    <row r="33" spans="1:3" ht="15.6">
      <c r="A33" s="695"/>
      <c r="B33" s="2982"/>
      <c r="C33" s="2983"/>
    </row>
    <row r="34" spans="1:3" ht="15.6">
      <c r="A34" s="709" t="s">
        <v>2636</v>
      </c>
      <c r="B34" s="687" t="s">
        <v>2637</v>
      </c>
      <c r="C34" s="708" t="e">
        <f>ROUND(0.1*C32,0)</f>
        <v>#REF!</v>
      </c>
    </row>
    <row r="35" spans="1:3" ht="15.6">
      <c r="A35" s="695"/>
      <c r="B35" s="2982"/>
      <c r="C35" s="2983"/>
    </row>
    <row r="36" spans="1:3" ht="61.8">
      <c r="A36" s="1106" t="s">
        <v>2636</v>
      </c>
      <c r="B36" s="688" t="s">
        <v>2638</v>
      </c>
      <c r="C36" s="1107" t="e">
        <f>ROUND(C32*0.1,0)</f>
        <v>#REF!</v>
      </c>
    </row>
    <row r="37" spans="1:3" ht="16.2" thickBot="1">
      <c r="A37" s="697"/>
      <c r="B37" s="696"/>
      <c r="C37" s="707"/>
    </row>
    <row r="38" spans="1:3" ht="16.2" thickBot="1">
      <c r="A38" s="718"/>
      <c r="B38" s="717" t="s">
        <v>2639</v>
      </c>
      <c r="C38" s="716" t="e">
        <f>C32+C36+C34</f>
        <v>#REF!</v>
      </c>
    </row>
    <row r="39" spans="1:3" ht="15.6">
      <c r="A39" s="695"/>
      <c r="B39" s="2982"/>
      <c r="C39" s="703"/>
    </row>
    <row r="40" spans="1:3" ht="15.6">
      <c r="A40" s="714"/>
      <c r="B40" s="687" t="s">
        <v>2640</v>
      </c>
      <c r="C40" s="713"/>
    </row>
    <row r="41" spans="1:3" ht="15.6">
      <c r="A41" s="714">
        <v>1</v>
      </c>
      <c r="B41" s="686" t="s">
        <v>2613</v>
      </c>
      <c r="C41" s="713">
        <f>50%*'1 - P&amp;G'!$G$406</f>
        <v>4278000</v>
      </c>
    </row>
    <row r="42" spans="1:3" ht="15.6">
      <c r="A42" s="714">
        <v>2</v>
      </c>
      <c r="B42" s="686" t="s">
        <v>2641</v>
      </c>
      <c r="C42" s="713" t="e">
        <f>'2 - ACCESS ROADS'!#REF!</f>
        <v>#REF!</v>
      </c>
    </row>
    <row r="43" spans="1:3" ht="15.6">
      <c r="A43" s="714">
        <v>3</v>
      </c>
      <c r="B43" s="686" t="s">
        <v>2614</v>
      </c>
      <c r="C43" s="713" t="e">
        <f>ROUND(50%*('3 - HoW'!#REF!),2)</f>
        <v>#REF!</v>
      </c>
    </row>
    <row r="44" spans="1:3" ht="15.6">
      <c r="A44" s="714">
        <v>4</v>
      </c>
      <c r="B44" s="686" t="s">
        <v>2615</v>
      </c>
      <c r="C44" s="713" t="e">
        <f>ROUND(60%*('4 - PST''s'!#REF!),2)</f>
        <v>#REF!</v>
      </c>
    </row>
    <row r="45" spans="1:3" ht="15.6">
      <c r="A45" s="714">
        <v>5</v>
      </c>
      <c r="B45" s="686" t="s">
        <v>2616</v>
      </c>
      <c r="C45" s="713" t="e">
        <f>ROUND(50%*('5 - Fermenters'!#REF!),2)</f>
        <v>#REF!</v>
      </c>
    </row>
    <row r="46" spans="1:3" ht="15.6">
      <c r="A46" s="714">
        <v>6</v>
      </c>
      <c r="B46" s="686" t="s">
        <v>2617</v>
      </c>
      <c r="C46" s="713" t="e">
        <f>ROUND(50%*('6 - SECONDARY TREATMENT'!#REF!),2)</f>
        <v>#REF!</v>
      </c>
    </row>
    <row r="47" spans="1:3" ht="15.6">
      <c r="A47" s="714">
        <v>9</v>
      </c>
      <c r="B47" s="686" t="s">
        <v>2642</v>
      </c>
      <c r="C47" s="713" t="e">
        <f>'9 - LIME PLANT'!#REF!</f>
        <v>#REF!</v>
      </c>
    </row>
    <row r="48" spans="1:3" ht="15.6">
      <c r="A48" s="714">
        <v>13</v>
      </c>
      <c r="B48" s="686" t="s">
        <v>2623</v>
      </c>
      <c r="C48" s="713" t="e">
        <f>ROUND(50%*('13 - Mech (HoW)'!#REF!),2)</f>
        <v>#REF!</v>
      </c>
    </row>
    <row r="49" spans="1:3" ht="15.6">
      <c r="A49" s="714">
        <v>14</v>
      </c>
      <c r="B49" s="686" t="s">
        <v>2624</v>
      </c>
      <c r="C49" s="713" t="e">
        <f>ROUND(60%*('14 - Mech (PST''s)'!#REF!),2)</f>
        <v>#REF!</v>
      </c>
    </row>
    <row r="50" spans="1:3" ht="15.6">
      <c r="A50" s="714">
        <v>15</v>
      </c>
      <c r="B50" s="686" t="s">
        <v>2625</v>
      </c>
      <c r="C50" s="713" t="e">
        <f>ROUND(50%*('15 - Mech (Fermenters)'!#REF!),2)</f>
        <v>#REF!</v>
      </c>
    </row>
    <row r="51" spans="1:3" ht="15.6">
      <c r="A51" s="714">
        <v>16</v>
      </c>
      <c r="B51" s="686" t="s">
        <v>2626</v>
      </c>
      <c r="C51" s="713" t="e">
        <f>ROUND(50%*('16 - Mech (Sec.Treatm.)'!#REF!),2)</f>
        <v>#REF!</v>
      </c>
    </row>
    <row r="52" spans="1:3" ht="15.6">
      <c r="A52" s="714">
        <v>18</v>
      </c>
      <c r="B52" s="686" t="s">
        <v>2643</v>
      </c>
      <c r="C52" s="713" t="e">
        <f>'18 - Mech (Lime Plant)'!#REF!</f>
        <v>#REF!</v>
      </c>
    </row>
    <row r="53" spans="1:3" ht="15.6">
      <c r="A53" s="714">
        <v>19</v>
      </c>
      <c r="B53" s="686" t="s">
        <v>2628</v>
      </c>
      <c r="C53" s="713" t="e">
        <f>ROUND(50%*('19 - Electrical'!#REF!),2)</f>
        <v>#REF!</v>
      </c>
    </row>
    <row r="54" spans="1:3" ht="15.6">
      <c r="A54" s="1045">
        <v>20</v>
      </c>
      <c r="B54" s="2981" t="s">
        <v>2629</v>
      </c>
      <c r="C54" s="701" t="e">
        <f>ROUND(50%*('20 - C&amp;I'!#REF!),2)</f>
        <v>#REF!</v>
      </c>
    </row>
    <row r="55" spans="1:3" ht="16.2" thickBot="1">
      <c r="A55" s="1046"/>
      <c r="B55" s="1047"/>
      <c r="C55" s="1048"/>
    </row>
    <row r="56" spans="1:3" ht="16.2" thickBot="1">
      <c r="A56" s="718"/>
      <c r="B56" s="717" t="s">
        <v>2644</v>
      </c>
      <c r="C56" s="716" t="e">
        <f>SUM(C41:C54)</f>
        <v>#REF!</v>
      </c>
    </row>
    <row r="57" spans="1:3" ht="15.6">
      <c r="A57" s="695"/>
      <c r="B57" s="2982"/>
      <c r="C57" s="703"/>
    </row>
    <row r="58" spans="1:3" ht="46.8">
      <c r="A58" s="698"/>
      <c r="B58" s="719" t="s">
        <v>2631</v>
      </c>
      <c r="C58" s="708"/>
    </row>
    <row r="59" spans="1:3" ht="31.2">
      <c r="A59" s="698"/>
      <c r="B59" s="720" t="s">
        <v>2632</v>
      </c>
      <c r="C59" s="702"/>
    </row>
    <row r="60" spans="1:3" ht="15.6">
      <c r="A60" s="698"/>
      <c r="B60" s="721"/>
      <c r="C60" s="708"/>
    </row>
    <row r="61" spans="1:3" ht="62.4">
      <c r="A61" s="698"/>
      <c r="B61" s="720" t="s">
        <v>2633</v>
      </c>
      <c r="C61" s="708"/>
    </row>
    <row r="62" spans="1:3" ht="15.6">
      <c r="A62" s="698"/>
      <c r="B62" s="721"/>
      <c r="C62" s="708"/>
    </row>
    <row r="63" spans="1:3" ht="15.6">
      <c r="A63" s="698"/>
      <c r="B63" s="721" t="s">
        <v>2634</v>
      </c>
      <c r="C63" s="722" t="e">
        <f>ROUND(20%*C56*15%,2)</f>
        <v>#REF!</v>
      </c>
    </row>
    <row r="64" spans="1:3" ht="16.2" thickBot="1">
      <c r="A64" s="697"/>
      <c r="B64" s="696"/>
      <c r="C64" s="707"/>
    </row>
    <row r="65" spans="1:3" ht="16.2" thickBot="1">
      <c r="A65" s="718"/>
      <c r="B65" s="717" t="s">
        <v>2645</v>
      </c>
      <c r="C65" s="716" t="e">
        <f>C56+C63</f>
        <v>#REF!</v>
      </c>
    </row>
    <row r="66" spans="1:3" ht="15.6">
      <c r="A66" s="695"/>
      <c r="B66" s="2982"/>
      <c r="C66" s="2983"/>
    </row>
    <row r="67" spans="1:3" ht="15.6">
      <c r="A67" s="709" t="s">
        <v>2636</v>
      </c>
      <c r="B67" s="687" t="s">
        <v>2637</v>
      </c>
      <c r="C67" s="708" t="e">
        <f>ROUND(0.1*C65,0)</f>
        <v>#REF!</v>
      </c>
    </row>
    <row r="68" spans="1:3" ht="15.6">
      <c r="A68" s="695"/>
      <c r="B68" s="2982"/>
      <c r="C68" s="2983"/>
    </row>
    <row r="69" spans="1:3" ht="61.8">
      <c r="A69" s="1106" t="s">
        <v>2636</v>
      </c>
      <c r="B69" s="688" t="s">
        <v>2638</v>
      </c>
      <c r="C69" s="1107" t="e">
        <f>ROUND(C65*0.1,0)</f>
        <v>#REF!</v>
      </c>
    </row>
    <row r="70" spans="1:3" ht="16.2" thickBot="1">
      <c r="A70" s="697"/>
      <c r="B70" s="696"/>
      <c r="C70" s="707"/>
    </row>
    <row r="71" spans="1:3" ht="16.2" thickBot="1">
      <c r="A71" s="718"/>
      <c r="B71" s="717" t="s">
        <v>2639</v>
      </c>
      <c r="C71" s="716" t="e">
        <f>C65+C69+C67</f>
        <v>#REF!</v>
      </c>
    </row>
    <row r="72" spans="1:3" ht="16.2" thickBot="1">
      <c r="A72" s="697"/>
      <c r="B72" s="696"/>
      <c r="C72" s="707"/>
    </row>
    <row r="73" spans="1:3" ht="16.2" thickBot="1">
      <c r="A73" s="718"/>
      <c r="B73" s="717" t="s">
        <v>2646</v>
      </c>
      <c r="C73" s="716" t="e">
        <f>C71+C38</f>
        <v>#REF!</v>
      </c>
    </row>
    <row r="74" spans="1:3" ht="15.6">
      <c r="A74" s="704"/>
      <c r="B74" s="2982"/>
      <c r="C74" s="703"/>
    </row>
    <row r="75" spans="1:3" ht="15.6">
      <c r="A75" s="709" t="s">
        <v>2636</v>
      </c>
      <c r="B75" s="687" t="s">
        <v>2647</v>
      </c>
      <c r="C75" s="713" t="e">
        <f>ROUND(0.15*C73,0)</f>
        <v>#REF!</v>
      </c>
    </row>
    <row r="76" spans="1:3" ht="16.2" thickBot="1">
      <c r="A76" s="699"/>
      <c r="B76" s="2984"/>
      <c r="C76" s="701"/>
    </row>
    <row r="77" spans="1:3" ht="16.2" thickBot="1">
      <c r="A77" s="706"/>
      <c r="B77" s="705" t="s">
        <v>2648</v>
      </c>
      <c r="C77" s="716" t="e">
        <f>C73+C75</f>
        <v>#REF!</v>
      </c>
    </row>
  </sheetData>
  <mergeCells count="1">
    <mergeCell ref="A1:C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71BD2-E16D-4034-9013-EB805F831656}">
  <dimension ref="A1:G79"/>
  <sheetViews>
    <sheetView topLeftCell="A58" zoomScale="70" zoomScaleNormal="70" workbookViewId="0">
      <selection activeCell="M9" sqref="M9"/>
    </sheetView>
  </sheetViews>
  <sheetFormatPr defaultColWidth="8.6640625" defaultRowHeight="13.2"/>
  <cols>
    <col min="1" max="1" width="8.6640625" style="467"/>
    <col min="2" max="2" width="63.5546875" style="467" bestFit="1" customWidth="1"/>
    <col min="3" max="3" width="20.5546875" style="467" bestFit="1" customWidth="1"/>
    <col min="4" max="4" width="8.6640625" style="467"/>
    <col min="5" max="7" width="20.5546875" style="467" customWidth="1"/>
    <col min="8" max="16384" width="8.6640625" style="467"/>
  </cols>
  <sheetData>
    <row r="1" spans="1:7">
      <c r="A1" s="3045" t="s">
        <v>2609</v>
      </c>
      <c r="B1" s="3046"/>
      <c r="C1" s="3047"/>
      <c r="E1" s="1151" t="s">
        <v>2649</v>
      </c>
      <c r="F1" s="1152" t="e">
        <f>C38</f>
        <v>#REF!</v>
      </c>
      <c r="G1" s="1153" t="s">
        <v>2650</v>
      </c>
    </row>
    <row r="2" spans="1:7" ht="13.8" thickBot="1">
      <c r="A2" s="3048"/>
      <c r="B2" s="3049"/>
      <c r="C2" s="3050"/>
      <c r="E2" s="1151" t="s">
        <v>2651</v>
      </c>
      <c r="F2" s="1152" t="e">
        <f>C71</f>
        <v>#REF!</v>
      </c>
      <c r="G2" s="1154" t="e">
        <f>F1+F2</f>
        <v>#REF!</v>
      </c>
    </row>
    <row r="3" spans="1:7" ht="16.2" thickBot="1">
      <c r="A3" s="1113" t="s">
        <v>2610</v>
      </c>
      <c r="B3" s="1114" t="s">
        <v>39</v>
      </c>
      <c r="C3" s="1115" t="s">
        <v>2611</v>
      </c>
      <c r="E3" s="12"/>
    </row>
    <row r="4" spans="1:7" ht="15.6">
      <c r="A4" s="1116"/>
      <c r="B4" s="1117" t="s">
        <v>2612</v>
      </c>
      <c r="C4" s="1118"/>
      <c r="D4" s="12" t="s">
        <v>2652</v>
      </c>
      <c r="E4" s="12" t="s">
        <v>2653</v>
      </c>
      <c r="F4" s="12" t="s">
        <v>2650</v>
      </c>
      <c r="G4" s="12" t="s">
        <v>2654</v>
      </c>
    </row>
    <row r="5" spans="1:7" ht="15.6">
      <c r="A5" s="1119">
        <v>1</v>
      </c>
      <c r="B5" s="1120" t="s">
        <v>2613</v>
      </c>
      <c r="C5" s="1121">
        <f>ROUND(Sequencing!AL7*('1 - P&amp;G'!$G$406),2)</f>
        <v>4278000</v>
      </c>
      <c r="E5" s="1122">
        <f>C41</f>
        <v>4278000</v>
      </c>
      <c r="F5" s="1122">
        <f>C5+E5</f>
        <v>8556000</v>
      </c>
      <c r="G5" s="1122">
        <f>SUMMARY!C5</f>
        <v>8556000</v>
      </c>
    </row>
    <row r="6" spans="1:7" ht="15.6">
      <c r="A6" s="1119">
        <v>3</v>
      </c>
      <c r="B6" s="1120" t="s">
        <v>2614</v>
      </c>
      <c r="C6" s="1121" t="e">
        <f>ROUND((Sequencing!AL8+Sequencing!AL9)*('3 - HoW'!#REF!),2)</f>
        <v>#REF!</v>
      </c>
      <c r="E6" s="1122" t="e">
        <f>C43</f>
        <v>#REF!</v>
      </c>
      <c r="F6" s="1122" t="e">
        <f t="shared" ref="F6:F21" si="0">C6+E6</f>
        <v>#REF!</v>
      </c>
      <c r="G6" s="1122">
        <f>SUMMARY!C7</f>
        <v>150000</v>
      </c>
    </row>
    <row r="7" spans="1:7" ht="15.6">
      <c r="A7" s="1119">
        <v>4</v>
      </c>
      <c r="B7" s="1120" t="s">
        <v>2615</v>
      </c>
      <c r="C7" s="1121" t="e">
        <f>ROUND((Sequencing!AL11+Sequencing!AL12)*('4 - PST''s'!#REF!),2)</f>
        <v>#REF!</v>
      </c>
      <c r="E7" s="1122" t="e">
        <f>C44</f>
        <v>#REF!</v>
      </c>
      <c r="F7" s="1122" t="e">
        <f t="shared" si="0"/>
        <v>#REF!</v>
      </c>
      <c r="G7" s="1122">
        <f>SUMMARY!C8</f>
        <v>733844</v>
      </c>
    </row>
    <row r="8" spans="1:7" ht="15.6">
      <c r="A8" s="1119">
        <v>5</v>
      </c>
      <c r="B8" s="1120" t="s">
        <v>2616</v>
      </c>
      <c r="C8" s="1121" t="e">
        <f>ROUND(Sequencing!AL16*('5 - Fermenters'!#REF!),2)</f>
        <v>#REF!</v>
      </c>
      <c r="E8" s="1122" t="e">
        <f>C45</f>
        <v>#REF!</v>
      </c>
      <c r="F8" s="1122" t="e">
        <f t="shared" si="0"/>
        <v>#REF!</v>
      </c>
      <c r="G8" s="1122">
        <f>SUMMARY!C9</f>
        <v>311886</v>
      </c>
    </row>
    <row r="9" spans="1:7" ht="15.6">
      <c r="A9" s="1119">
        <v>6</v>
      </c>
      <c r="B9" s="1120" t="s">
        <v>2617</v>
      </c>
      <c r="C9" s="1121" t="e">
        <f>ROUND((Sequencing!AL26+Sequencing!AL37)*('6 - SECONDARY TREATMENT'!#REF!),2)</f>
        <v>#REF!</v>
      </c>
      <c r="E9" s="1122" t="e">
        <f>C46</f>
        <v>#REF!</v>
      </c>
      <c r="F9" s="1122" t="e">
        <f t="shared" si="0"/>
        <v>#REF!</v>
      </c>
      <c r="G9" s="1122">
        <f>SUMMARY!C10</f>
        <v>1462728</v>
      </c>
    </row>
    <row r="10" spans="1:7" ht="15.6">
      <c r="A10" s="1119">
        <v>7</v>
      </c>
      <c r="B10" s="1120" t="s">
        <v>2618</v>
      </c>
      <c r="C10" s="1121" t="e">
        <f>'7 - WASH WATER'!#REF!*Sequencing!AL66</f>
        <v>#REF!</v>
      </c>
      <c r="E10" s="1122"/>
      <c r="F10" s="1122" t="e">
        <f t="shared" si="0"/>
        <v>#REF!</v>
      </c>
      <c r="G10" s="1122">
        <f>SUMMARY!C11</f>
        <v>885059</v>
      </c>
    </row>
    <row r="11" spans="1:7" ht="15.6">
      <c r="A11" s="1119">
        <v>8</v>
      </c>
      <c r="B11" s="1120" t="s">
        <v>2619</v>
      </c>
      <c r="C11" s="1123" t="e">
        <f>'8 - EMERGENCY DAM'!#REF!*Sequencing!AL72</f>
        <v>#REF!</v>
      </c>
      <c r="E11" s="1122"/>
      <c r="F11" s="1122" t="e">
        <f t="shared" si="0"/>
        <v>#REF!</v>
      </c>
      <c r="G11" s="1122">
        <f>SUMMARY!C12</f>
        <v>14670</v>
      </c>
    </row>
    <row r="12" spans="1:7" ht="15.6">
      <c r="A12" s="1119">
        <v>10</v>
      </c>
      <c r="B12" s="1120" t="s">
        <v>2620</v>
      </c>
      <c r="C12" s="1121" t="e">
        <f>'10 - MINOR STRUCTURES'!#REF!</f>
        <v>#REF!</v>
      </c>
      <c r="E12" s="1122"/>
      <c r="F12" s="1122" t="e">
        <f t="shared" si="0"/>
        <v>#REF!</v>
      </c>
      <c r="G12" s="1122">
        <f>SUMMARY!C14</f>
        <v>1242067</v>
      </c>
    </row>
    <row r="13" spans="1:7" ht="15.6">
      <c r="A13" s="1119">
        <v>11</v>
      </c>
      <c r="B13" s="1120" t="s">
        <v>2621</v>
      </c>
      <c r="C13" s="1121" t="e">
        <f>'11 - INTERCONNECTING PIPEWORK'!#REF!</f>
        <v>#REF!</v>
      </c>
      <c r="E13" s="1122"/>
      <c r="F13" s="1122" t="e">
        <f t="shared" si="0"/>
        <v>#REF!</v>
      </c>
      <c r="G13" s="1122">
        <f>SUMMARY!C15</f>
        <v>873467</v>
      </c>
    </row>
    <row r="14" spans="1:7" ht="15.6">
      <c r="A14" s="1119">
        <v>12</v>
      </c>
      <c r="B14" s="1120" t="s">
        <v>2622</v>
      </c>
      <c r="C14" s="1121" t="e">
        <f>'12 - SECURITY UPGRADES'!#REF!*Sequencing!AL63</f>
        <v>#REF!</v>
      </c>
      <c r="E14" s="1122"/>
      <c r="F14" s="1122" t="e">
        <f t="shared" si="0"/>
        <v>#REF!</v>
      </c>
      <c r="G14" s="1122">
        <f>SUMMARY!C16</f>
        <v>2734380.67</v>
      </c>
    </row>
    <row r="15" spans="1:7" ht="15.6">
      <c r="A15" s="1119">
        <v>13</v>
      </c>
      <c r="B15" s="1120" t="s">
        <v>2623</v>
      </c>
      <c r="C15" s="1121" t="e">
        <f>ROUND((Sequencing!AL8+Sequencing!AL9)*('13 - Mech (HoW)'!#REF!),2)</f>
        <v>#REF!</v>
      </c>
      <c r="E15" s="1122" t="e">
        <f>C48</f>
        <v>#REF!</v>
      </c>
      <c r="F15" s="1122" t="e">
        <f t="shared" si="0"/>
        <v>#REF!</v>
      </c>
      <c r="G15" s="1122">
        <f>SUMMARY!C17</f>
        <v>2388502</v>
      </c>
    </row>
    <row r="16" spans="1:7" ht="15.6">
      <c r="A16" s="1119">
        <v>14</v>
      </c>
      <c r="B16" s="1120" t="s">
        <v>2624</v>
      </c>
      <c r="C16" s="1121" t="e">
        <f>ROUND((Sequencing!AL11+Sequencing!AL12)*('14 - Mech (PST''s)'!#REF!),2)</f>
        <v>#REF!</v>
      </c>
      <c r="E16" s="1122" t="e">
        <f t="shared" ref="E16:E18" si="1">C49</f>
        <v>#REF!</v>
      </c>
      <c r="F16" s="1122" t="e">
        <f t="shared" si="0"/>
        <v>#REF!</v>
      </c>
      <c r="G16" s="1122">
        <f>SUMMARY!C18</f>
        <v>4525550</v>
      </c>
    </row>
    <row r="17" spans="1:7" ht="15.6">
      <c r="A17" s="1119">
        <v>15</v>
      </c>
      <c r="B17" s="1120" t="s">
        <v>2625</v>
      </c>
      <c r="C17" s="1121" t="e">
        <f>ROUND(Sequencing!AL16*('15 - Mech (Fermenters)'!#REF!),2)</f>
        <v>#REF!</v>
      </c>
      <c r="E17" s="1122" t="e">
        <f t="shared" si="1"/>
        <v>#REF!</v>
      </c>
      <c r="F17" s="1122" t="e">
        <f t="shared" si="0"/>
        <v>#REF!</v>
      </c>
      <c r="G17" s="1122">
        <f>SUMMARY!C19</f>
        <v>1350000</v>
      </c>
    </row>
    <row r="18" spans="1:7" ht="15.6">
      <c r="A18" s="1119">
        <v>16</v>
      </c>
      <c r="B18" s="1120" t="s">
        <v>2626</v>
      </c>
      <c r="C18" s="1121" t="e">
        <f>ROUND((Sequencing!AL18+Sequencing!AL29)*('16 - Mech (Sec.Treatm.)'!#REF!),2)</f>
        <v>#REF!</v>
      </c>
      <c r="E18" s="1122" t="e">
        <f t="shared" si="1"/>
        <v>#REF!</v>
      </c>
      <c r="F18" s="1122" t="e">
        <f t="shared" si="0"/>
        <v>#REF!</v>
      </c>
      <c r="G18" s="1122">
        <f>SUMMARY!C20</f>
        <v>1250000</v>
      </c>
    </row>
    <row r="19" spans="1:7" ht="15.6">
      <c r="A19" s="1119">
        <v>17</v>
      </c>
      <c r="B19" s="1120" t="s">
        <v>2627</v>
      </c>
      <c r="C19" s="1121" t="e">
        <f>'17 - Mech (Washwater)'!#REF!*Sequencing!AL62</f>
        <v>#REF!</v>
      </c>
      <c r="E19" s="1122"/>
      <c r="F19" s="1122" t="e">
        <f t="shared" si="0"/>
        <v>#REF!</v>
      </c>
      <c r="G19" s="1122">
        <f>SUMMARY!C21</f>
        <v>500000</v>
      </c>
    </row>
    <row r="20" spans="1:7" ht="15.6">
      <c r="A20" s="1119">
        <v>19</v>
      </c>
      <c r="B20" s="1120" t="s">
        <v>2628</v>
      </c>
      <c r="C20" s="1121" t="e">
        <f>ROUND((Sequencing!AL74+Sequencing!AL75+Sequencing!AL79+Sequencing!AL80)*('19 - Electrical'!#REF!),2)</f>
        <v>#REF!</v>
      </c>
      <c r="E20" s="1122" t="e">
        <f>C53</f>
        <v>#REF!</v>
      </c>
      <c r="F20" s="1122" t="e">
        <f t="shared" si="0"/>
        <v>#REF!</v>
      </c>
      <c r="G20" s="1122">
        <f>SUMMARY!C23</f>
        <v>8969720</v>
      </c>
    </row>
    <row r="21" spans="1:7" ht="15.6">
      <c r="A21" s="1124">
        <v>20</v>
      </c>
      <c r="B21" s="2985" t="s">
        <v>2629</v>
      </c>
      <c r="C21" s="1125" t="e">
        <f>ROUND(50%*('20 - C&amp;I'!#REF!),2)</f>
        <v>#REF!</v>
      </c>
      <c r="E21" s="1122" t="e">
        <f>C54</f>
        <v>#REF!</v>
      </c>
      <c r="F21" s="1122" t="e">
        <f t="shared" si="0"/>
        <v>#REF!</v>
      </c>
      <c r="G21" s="1122">
        <f>SUMMARY!C24</f>
        <v>4993178</v>
      </c>
    </row>
    <row r="22" spans="1:7" ht="16.2" thickBot="1">
      <c r="A22" s="1126"/>
      <c r="B22" s="1127"/>
      <c r="C22" s="1128"/>
      <c r="E22" s="1122"/>
      <c r="F22" s="1122"/>
      <c r="G22" s="1122"/>
    </row>
    <row r="23" spans="1:7" ht="16.2" thickBot="1">
      <c r="A23" s="1129"/>
      <c r="B23" s="1130" t="s">
        <v>2630</v>
      </c>
      <c r="C23" s="1131" t="e">
        <f>SUM(C5:C21)</f>
        <v>#REF!</v>
      </c>
      <c r="E23" s="1122"/>
      <c r="F23" s="1122"/>
      <c r="G23" s="1122"/>
    </row>
    <row r="24" spans="1:7" ht="15.6">
      <c r="A24" s="1132"/>
      <c r="B24" s="2986"/>
      <c r="C24" s="1133"/>
      <c r="E24" s="1122"/>
      <c r="F24" s="1122"/>
      <c r="G24" s="1122"/>
    </row>
    <row r="25" spans="1:7" ht="46.8">
      <c r="A25" s="1134"/>
      <c r="B25" s="1135" t="s">
        <v>2631</v>
      </c>
      <c r="C25" s="1107"/>
      <c r="E25" s="1122"/>
      <c r="F25" s="1122"/>
      <c r="G25" s="1122"/>
    </row>
    <row r="26" spans="1:7" ht="31.2">
      <c r="A26" s="1134"/>
      <c r="B26" s="1136" t="s">
        <v>2632</v>
      </c>
      <c r="C26" s="1137"/>
      <c r="E26" s="1122"/>
      <c r="F26" s="1122"/>
      <c r="G26" s="1122"/>
    </row>
    <row r="27" spans="1:7" ht="15.6">
      <c r="A27" s="1134"/>
      <c r="B27" s="1138"/>
      <c r="C27" s="1107"/>
      <c r="E27" s="1122"/>
      <c r="F27" s="1122"/>
      <c r="G27" s="1122"/>
    </row>
    <row r="28" spans="1:7" ht="62.4">
      <c r="A28" s="1134"/>
      <c r="B28" s="1136" t="s">
        <v>2633</v>
      </c>
      <c r="C28" s="1107"/>
      <c r="E28" s="1122"/>
      <c r="F28" s="1122"/>
      <c r="G28" s="1122"/>
    </row>
    <row r="29" spans="1:7" ht="15.6">
      <c r="A29" s="1134"/>
      <c r="B29" s="1138"/>
      <c r="C29" s="1107"/>
      <c r="E29" s="1122"/>
      <c r="F29" s="1122"/>
      <c r="G29" s="1122"/>
    </row>
    <row r="30" spans="1:7" ht="15.6">
      <c r="A30" s="1134"/>
      <c r="B30" s="1138" t="s">
        <v>2634</v>
      </c>
      <c r="C30" s="1139"/>
      <c r="E30" s="1122"/>
      <c r="F30" s="1122"/>
      <c r="G30" s="1122"/>
    </row>
    <row r="31" spans="1:7" ht="16.2" thickBot="1">
      <c r="A31" s="1126"/>
      <c r="B31" s="1127"/>
      <c r="C31" s="1128"/>
      <c r="E31" s="1122"/>
      <c r="F31" s="1122"/>
      <c r="G31" s="1122"/>
    </row>
    <row r="32" spans="1:7" ht="16.2" thickBot="1">
      <c r="A32" s="1129"/>
      <c r="B32" s="1130" t="s">
        <v>2635</v>
      </c>
      <c r="C32" s="1131" t="e">
        <f>C23+C30</f>
        <v>#REF!</v>
      </c>
      <c r="E32" s="1122"/>
      <c r="F32" s="1122"/>
      <c r="G32" s="1122"/>
    </row>
    <row r="33" spans="1:7" ht="15.6">
      <c r="A33" s="1132"/>
      <c r="B33" s="2986"/>
      <c r="C33" s="2987"/>
      <c r="E33" s="1122"/>
      <c r="F33" s="1122"/>
      <c r="G33" s="1122"/>
    </row>
    <row r="34" spans="1:7" ht="15.6">
      <c r="A34" s="1106" t="s">
        <v>2636</v>
      </c>
      <c r="B34" s="1140" t="s">
        <v>2637</v>
      </c>
      <c r="C34" s="1107" t="e">
        <f>ROUND(0.1*C32,0)</f>
        <v>#REF!</v>
      </c>
      <c r="E34" s="1122" t="e">
        <f>C67</f>
        <v>#REF!</v>
      </c>
      <c r="F34" s="1122" t="e">
        <f t="shared" ref="F34:F36" si="2">C34+E34</f>
        <v>#REF!</v>
      </c>
      <c r="G34" s="1122" t="e">
        <f>SUMMARY!#REF!</f>
        <v>#REF!</v>
      </c>
    </row>
    <row r="35" spans="1:7" ht="15.6">
      <c r="A35" s="1132"/>
      <c r="B35" s="2986"/>
      <c r="C35" s="2987"/>
      <c r="E35" s="1122"/>
      <c r="F35" s="1122"/>
      <c r="G35" s="1122"/>
    </row>
    <row r="36" spans="1:7" ht="61.8">
      <c r="A36" s="1106" t="s">
        <v>2636</v>
      </c>
      <c r="B36" s="1141" t="s">
        <v>2638</v>
      </c>
      <c r="C36" s="1107" t="e">
        <f>ROUND(C32*0.1,0)</f>
        <v>#REF!</v>
      </c>
      <c r="E36" s="1122" t="e">
        <f>C69</f>
        <v>#REF!</v>
      </c>
      <c r="F36" s="1122" t="e">
        <f t="shared" si="2"/>
        <v>#REF!</v>
      </c>
      <c r="G36" s="1122" t="e">
        <f>SUMMARY!#REF!</f>
        <v>#REF!</v>
      </c>
    </row>
    <row r="37" spans="1:7" ht="16.2" thickBot="1">
      <c r="A37" s="1142"/>
      <c r="B37" s="1143"/>
      <c r="C37" s="1144"/>
      <c r="E37" s="1122"/>
      <c r="F37" s="1122"/>
      <c r="G37" s="1122"/>
    </row>
    <row r="38" spans="1:7" ht="16.2" thickBot="1">
      <c r="A38" s="1129"/>
      <c r="B38" s="1130" t="s">
        <v>2639</v>
      </c>
      <c r="C38" s="1131" t="e">
        <f>C32+C36+C34</f>
        <v>#REF!</v>
      </c>
      <c r="E38" s="1122"/>
      <c r="F38" s="1122"/>
      <c r="G38" s="1122"/>
    </row>
    <row r="39" spans="1:7" ht="15.6">
      <c r="A39" s="1132"/>
      <c r="B39" s="2986"/>
      <c r="C39" s="1133"/>
      <c r="E39" s="1122"/>
      <c r="F39" s="1122"/>
      <c r="G39" s="1122"/>
    </row>
    <row r="40" spans="1:7" ht="15.6">
      <c r="A40" s="1119"/>
      <c r="B40" s="1140" t="s">
        <v>2640</v>
      </c>
      <c r="C40" s="1121"/>
      <c r="E40" s="1122"/>
      <c r="F40" s="1122"/>
      <c r="G40" s="1122"/>
    </row>
    <row r="41" spans="1:7" ht="15.6">
      <c r="A41" s="1119">
        <v>1</v>
      </c>
      <c r="B41" s="1120" t="s">
        <v>2613</v>
      </c>
      <c r="C41" s="1121">
        <f>Sequencing!AM7*'1 - P&amp;G'!$G$406</f>
        <v>4278000</v>
      </c>
      <c r="E41" s="1122"/>
      <c r="F41" s="1122"/>
      <c r="G41" s="1122"/>
    </row>
    <row r="42" spans="1:7" ht="15.6">
      <c r="A42" s="1119">
        <v>2</v>
      </c>
      <c r="B42" s="1120" t="s">
        <v>2641</v>
      </c>
      <c r="C42" s="1121" t="e">
        <f>'2 - ACCESS ROADS'!#REF!*Sequencing!AM73</f>
        <v>#REF!</v>
      </c>
      <c r="E42" s="1122"/>
      <c r="F42" s="1122" t="e">
        <f t="shared" ref="F42" si="3">C42+E42</f>
        <v>#REF!</v>
      </c>
      <c r="G42" s="1122">
        <f>SUMMARY!C6</f>
        <v>1056720</v>
      </c>
    </row>
    <row r="43" spans="1:7" ht="15.6">
      <c r="A43" s="1119">
        <v>3</v>
      </c>
      <c r="B43" s="1120" t="s">
        <v>2614</v>
      </c>
      <c r="C43" s="1121" t="e">
        <f>ROUND(Sequencing!AM10*('3 - HoW'!#REF!),2)</f>
        <v>#REF!</v>
      </c>
      <c r="E43" s="1122"/>
      <c r="F43" s="1122"/>
      <c r="G43" s="1122"/>
    </row>
    <row r="44" spans="1:7" ht="15.6">
      <c r="A44" s="1119">
        <v>4</v>
      </c>
      <c r="B44" s="1120" t="s">
        <v>2615</v>
      </c>
      <c r="C44" s="1121" t="e">
        <f>ROUND((Sequencing!AM13+Sequencing!AM14+Sequencing!AM15)*('4 - PST''s'!#REF!),2)</f>
        <v>#REF!</v>
      </c>
      <c r="E44" s="1122"/>
      <c r="F44" s="1122"/>
      <c r="G44" s="1122"/>
    </row>
    <row r="45" spans="1:7" ht="15.6">
      <c r="A45" s="1119">
        <v>5</v>
      </c>
      <c r="B45" s="1120" t="s">
        <v>2616</v>
      </c>
      <c r="C45" s="1121" t="e">
        <f>ROUND(Sequencing!AM17*('5 - Fermenters'!#REF!),2)</f>
        <v>#REF!</v>
      </c>
      <c r="E45" s="1122"/>
      <c r="F45" s="1122"/>
      <c r="G45" s="1122"/>
    </row>
    <row r="46" spans="1:7" ht="15.6">
      <c r="A46" s="1119">
        <v>6</v>
      </c>
      <c r="B46" s="1120" t="s">
        <v>2617</v>
      </c>
      <c r="C46" s="1121" t="e">
        <f>ROUND((Sequencing!AM48+Sequencing!AM59)*('6 - SECONDARY TREATMENT'!#REF!),2)</f>
        <v>#REF!</v>
      </c>
      <c r="E46" s="1122"/>
      <c r="F46" s="1122"/>
      <c r="G46" s="1122"/>
    </row>
    <row r="47" spans="1:7" ht="15.6">
      <c r="A47" s="1119">
        <v>9</v>
      </c>
      <c r="B47" s="1120" t="s">
        <v>2642</v>
      </c>
      <c r="C47" s="1121" t="e">
        <f>'9 - LIME PLANT'!#REF!*Sequencing!AM67</f>
        <v>#REF!</v>
      </c>
      <c r="E47" s="1122"/>
      <c r="F47" s="1122" t="e">
        <f t="shared" ref="F47" si="4">C47+E47</f>
        <v>#REF!</v>
      </c>
      <c r="G47" s="1122">
        <f>SUMMARY!C13</f>
        <v>139025</v>
      </c>
    </row>
    <row r="48" spans="1:7" ht="15.6">
      <c r="A48" s="1119">
        <v>13</v>
      </c>
      <c r="B48" s="1120" t="s">
        <v>2623</v>
      </c>
      <c r="C48" s="1121" t="e">
        <f>ROUND((Sequencing!AM10)*('13 - Mech (HoW)'!#REF!),2)</f>
        <v>#REF!</v>
      </c>
      <c r="E48" s="1122"/>
      <c r="F48" s="1122"/>
      <c r="G48" s="1122"/>
    </row>
    <row r="49" spans="1:7" ht="15.6">
      <c r="A49" s="1119">
        <v>14</v>
      </c>
      <c r="B49" s="1120" t="s">
        <v>2624</v>
      </c>
      <c r="C49" s="1121" t="e">
        <f>ROUND((Sequencing!AM13+Sequencing!AM14+Sequencing!AM15)*('14 - Mech (PST''s)'!#REF!),2)</f>
        <v>#REF!</v>
      </c>
      <c r="E49" s="1122"/>
      <c r="F49" s="1122"/>
      <c r="G49" s="1122"/>
    </row>
    <row r="50" spans="1:7" ht="15.6">
      <c r="A50" s="1119">
        <v>15</v>
      </c>
      <c r="B50" s="1120" t="s">
        <v>2625</v>
      </c>
      <c r="C50" s="1121" t="e">
        <f>ROUND(Sequencing!AM17*('15 - Mech (Fermenters)'!#REF!),2)</f>
        <v>#REF!</v>
      </c>
      <c r="E50" s="1122"/>
      <c r="F50" s="1122"/>
      <c r="G50" s="1122"/>
    </row>
    <row r="51" spans="1:7" ht="15.6">
      <c r="A51" s="1119">
        <v>16</v>
      </c>
      <c r="B51" s="1120" t="s">
        <v>2626</v>
      </c>
      <c r="C51" s="1121" t="e">
        <f>ROUND((Sequencing!AM40+Sequencing!AM51)*('16 - Mech (Sec.Treatm.)'!#REF!),2)</f>
        <v>#REF!</v>
      </c>
      <c r="E51" s="1122"/>
      <c r="F51" s="1122"/>
      <c r="G51" s="1122"/>
    </row>
    <row r="52" spans="1:7" ht="15.6">
      <c r="A52" s="1119">
        <v>18</v>
      </c>
      <c r="B52" s="1120" t="s">
        <v>2643</v>
      </c>
      <c r="C52" s="1121" t="e">
        <f>'18 - Mech (Lime Plant)'!#REF!*Sequencing!AM67</f>
        <v>#REF!</v>
      </c>
      <c r="E52" s="1122"/>
      <c r="F52" s="1122" t="e">
        <f t="shared" ref="F52" si="5">C52+E52</f>
        <v>#REF!</v>
      </c>
      <c r="G52" s="1122">
        <f>SUMMARY!C22</f>
        <v>700000</v>
      </c>
    </row>
    <row r="53" spans="1:7" ht="15.6">
      <c r="A53" s="1119">
        <v>19</v>
      </c>
      <c r="B53" s="1120" t="s">
        <v>2628</v>
      </c>
      <c r="C53" s="1121" t="e">
        <f>ROUND((Sequencing!AM76+Sequencing!AM77+Sequencing!AM78)*('19 - Electrical'!#REF!),2)</f>
        <v>#REF!</v>
      </c>
      <c r="E53" s="1122"/>
      <c r="F53" s="1122"/>
      <c r="G53" s="1122"/>
    </row>
    <row r="54" spans="1:7" ht="15.6">
      <c r="A54" s="1124">
        <v>20</v>
      </c>
      <c r="B54" s="2985" t="s">
        <v>2629</v>
      </c>
      <c r="C54" s="1125" t="e">
        <f>ROUND(50%*('20 - C&amp;I'!#REF!),2)</f>
        <v>#REF!</v>
      </c>
      <c r="E54" s="1122"/>
      <c r="F54" s="1122"/>
      <c r="G54" s="1122"/>
    </row>
    <row r="55" spans="1:7" ht="16.2" thickBot="1">
      <c r="A55" s="1126"/>
      <c r="B55" s="1127"/>
      <c r="C55" s="1128"/>
      <c r="E55" s="1122"/>
      <c r="F55" s="1122"/>
      <c r="G55" s="1122"/>
    </row>
    <row r="56" spans="1:7" ht="16.2" thickBot="1">
      <c r="A56" s="1129"/>
      <c r="B56" s="1130" t="s">
        <v>2644</v>
      </c>
      <c r="C56" s="1131" t="e">
        <f>SUM(C41:C54)</f>
        <v>#REF!</v>
      </c>
      <c r="E56" s="1122"/>
      <c r="F56" s="1122"/>
      <c r="G56" s="1122"/>
    </row>
    <row r="57" spans="1:7" ht="15.6">
      <c r="A57" s="1132"/>
      <c r="B57" s="2986"/>
      <c r="C57" s="1133"/>
      <c r="E57" s="1122"/>
      <c r="F57" s="1122"/>
      <c r="G57" s="1122"/>
    </row>
    <row r="58" spans="1:7" ht="46.8">
      <c r="A58" s="1134"/>
      <c r="B58" s="1135" t="s">
        <v>2631</v>
      </c>
      <c r="C58" s="1107"/>
      <c r="E58" s="1122"/>
      <c r="F58" s="1122"/>
      <c r="G58" s="1122"/>
    </row>
    <row r="59" spans="1:7" ht="31.2">
      <c r="A59" s="1134"/>
      <c r="B59" s="1136" t="s">
        <v>2632</v>
      </c>
      <c r="C59" s="1137"/>
      <c r="E59" s="1122"/>
      <c r="F59" s="1122"/>
      <c r="G59" s="1122"/>
    </row>
    <row r="60" spans="1:7" ht="15.6">
      <c r="A60" s="1134"/>
      <c r="B60" s="1138"/>
      <c r="C60" s="1107"/>
      <c r="E60" s="1122"/>
      <c r="F60" s="1122"/>
      <c r="G60" s="1122"/>
    </row>
    <row r="61" spans="1:7" ht="62.4">
      <c r="A61" s="1134"/>
      <c r="B61" s="1136" t="s">
        <v>2633</v>
      </c>
      <c r="C61" s="1107"/>
      <c r="E61" s="1122"/>
      <c r="F61" s="1122"/>
      <c r="G61" s="1122"/>
    </row>
    <row r="62" spans="1:7" ht="15.6">
      <c r="A62" s="1134"/>
      <c r="B62" s="1138"/>
      <c r="C62" s="1107"/>
      <c r="E62" s="1122"/>
      <c r="F62" s="1122"/>
      <c r="G62" s="1122"/>
    </row>
    <row r="63" spans="1:7" ht="15.6">
      <c r="A63" s="1134"/>
      <c r="B63" s="1138" t="s">
        <v>2634</v>
      </c>
      <c r="C63" s="1139"/>
      <c r="E63" s="1122"/>
      <c r="F63" s="1122"/>
      <c r="G63" s="1122"/>
    </row>
    <row r="64" spans="1:7" ht="16.2" thickBot="1">
      <c r="A64" s="1142"/>
      <c r="B64" s="1143"/>
      <c r="C64" s="1144"/>
      <c r="E64" s="1122"/>
      <c r="F64" s="1122"/>
      <c r="G64" s="1122"/>
    </row>
    <row r="65" spans="1:7" ht="16.2" thickBot="1">
      <c r="A65" s="1129"/>
      <c r="B65" s="1130" t="s">
        <v>2645</v>
      </c>
      <c r="C65" s="1131" t="e">
        <f>C56+C63</f>
        <v>#REF!</v>
      </c>
      <c r="E65" s="1122"/>
      <c r="F65" s="1122"/>
      <c r="G65" s="1122"/>
    </row>
    <row r="66" spans="1:7" ht="15.6">
      <c r="A66" s="1132"/>
      <c r="B66" s="2986"/>
      <c r="C66" s="2987"/>
      <c r="E66" s="1122"/>
      <c r="F66" s="1122"/>
      <c r="G66" s="1122"/>
    </row>
    <row r="67" spans="1:7" ht="15.6">
      <c r="A67" s="1106" t="s">
        <v>2636</v>
      </c>
      <c r="B67" s="1140" t="s">
        <v>2637</v>
      </c>
      <c r="C67" s="1107" t="e">
        <f>ROUND(0.1*C65,0)</f>
        <v>#REF!</v>
      </c>
      <c r="E67" s="1122"/>
      <c r="F67" s="1122"/>
      <c r="G67" s="1122"/>
    </row>
    <row r="68" spans="1:7" ht="15.6">
      <c r="A68" s="1132"/>
      <c r="B68" s="2986"/>
      <c r="C68" s="2987"/>
      <c r="E68" s="1122"/>
      <c r="F68" s="1122"/>
      <c r="G68" s="1122"/>
    </row>
    <row r="69" spans="1:7" ht="61.8">
      <c r="A69" s="1106" t="s">
        <v>2636</v>
      </c>
      <c r="B69" s="1141" t="s">
        <v>2638</v>
      </c>
      <c r="C69" s="1107" t="e">
        <f>ROUND(C65*0.1,0)</f>
        <v>#REF!</v>
      </c>
      <c r="E69" s="1122"/>
      <c r="F69" s="1122"/>
      <c r="G69" s="1122"/>
    </row>
    <row r="70" spans="1:7" ht="16.2" thickBot="1">
      <c r="A70" s="1142"/>
      <c r="B70" s="1143"/>
      <c r="C70" s="1144"/>
      <c r="E70" s="1122"/>
      <c r="F70" s="1122"/>
      <c r="G70" s="1122"/>
    </row>
    <row r="71" spans="1:7" ht="16.2" thickBot="1">
      <c r="A71" s="1129"/>
      <c r="B71" s="1130" t="s">
        <v>2655</v>
      </c>
      <c r="C71" s="1131" t="e">
        <f>C65+C69+C67</f>
        <v>#REF!</v>
      </c>
      <c r="E71" s="1122"/>
      <c r="F71" s="1122"/>
      <c r="G71" s="1122"/>
    </row>
    <row r="72" spans="1:7" ht="16.2" thickBot="1">
      <c r="A72" s="1142"/>
      <c r="B72" s="1143"/>
      <c r="C72" s="1144"/>
      <c r="E72" s="1122"/>
      <c r="G72" s="1122"/>
    </row>
    <row r="73" spans="1:7" ht="16.2" thickBot="1">
      <c r="A73" s="1129"/>
      <c r="B73" s="1130" t="s">
        <v>2646</v>
      </c>
      <c r="C73" s="1131" t="e">
        <f>C71+C38</f>
        <v>#REF!</v>
      </c>
      <c r="E73" s="1122"/>
      <c r="F73" s="1122" t="e">
        <f>SUM(F5:F72)</f>
        <v>#REF!</v>
      </c>
      <c r="G73" s="1122" t="e">
        <f>SUM(G5:G72)</f>
        <v>#REF!</v>
      </c>
    </row>
    <row r="74" spans="1:7" ht="15.6">
      <c r="A74" s="1145"/>
      <c r="B74" s="2986"/>
      <c r="C74" s="1133"/>
      <c r="E74" s="1122"/>
      <c r="F74" s="1122"/>
      <c r="G74" s="1122"/>
    </row>
    <row r="75" spans="1:7" ht="15.6">
      <c r="A75" s="1106" t="s">
        <v>2636</v>
      </c>
      <c r="B75" s="1140" t="s">
        <v>2647</v>
      </c>
      <c r="C75" s="1121" t="e">
        <f>ROUND(0.15*C73,0)</f>
        <v>#REF!</v>
      </c>
      <c r="E75" s="1122"/>
      <c r="F75" s="1122"/>
      <c r="G75" s="1122"/>
    </row>
    <row r="76" spans="1:7" ht="16.2" thickBot="1">
      <c r="A76" s="1146"/>
      <c r="B76" s="2988"/>
      <c r="C76" s="1147"/>
      <c r="E76" s="1122"/>
      <c r="F76" s="1122"/>
      <c r="G76" s="1122"/>
    </row>
    <row r="77" spans="1:7" ht="16.2" thickBot="1">
      <c r="A77" s="1148"/>
      <c r="B77" s="1149" t="s">
        <v>2648</v>
      </c>
      <c r="C77" s="1131" t="e">
        <f>C73+C75</f>
        <v>#REF!</v>
      </c>
      <c r="E77" s="1122"/>
      <c r="F77" s="1122"/>
      <c r="G77" s="1122"/>
    </row>
    <row r="79" spans="1:7">
      <c r="C79" s="1150" t="e">
        <f>SUMMARY!#REF!</f>
        <v>#REF!</v>
      </c>
      <c r="D79" s="12" t="s">
        <v>2656</v>
      </c>
    </row>
  </sheetData>
  <mergeCells count="1">
    <mergeCell ref="A1:C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0B894-7755-491B-AF67-33EAEB749D64}">
  <sheetPr>
    <pageSetUpPr fitToPage="1"/>
  </sheetPr>
  <dimension ref="A1:AM82"/>
  <sheetViews>
    <sheetView zoomScale="80" zoomScaleNormal="80" zoomScaleSheetLayoutView="55" workbookViewId="0">
      <pane xSplit="1" ySplit="6" topLeftCell="AH29" activePane="bottomRight" state="frozen"/>
      <selection pane="topRight" activeCell="B1" sqref="B1"/>
      <selection pane="bottomLeft" activeCell="A3" sqref="A3"/>
      <selection pane="bottomRight" activeCell="AL72" sqref="AL72"/>
    </sheetView>
  </sheetViews>
  <sheetFormatPr defaultColWidth="8.6640625" defaultRowHeight="13.2"/>
  <cols>
    <col min="1" max="1" width="40.6640625" style="1105" customWidth="1"/>
    <col min="2" max="37" width="6.6640625" style="1050" customWidth="1"/>
    <col min="38" max="38" width="9.6640625" style="1050" bestFit="1" customWidth="1"/>
    <col min="39" max="16384" width="8.6640625" style="1050"/>
  </cols>
  <sheetData>
    <row r="1" spans="1:39" ht="15" customHeight="1">
      <c r="A1" s="1049" t="s">
        <v>2657</v>
      </c>
      <c r="C1" s="1051"/>
      <c r="O1" s="1052"/>
      <c r="P1" s="3058" t="s">
        <v>2658</v>
      </c>
      <c r="Q1" s="3058"/>
      <c r="R1" s="3058"/>
      <c r="S1" s="3059"/>
      <c r="T1" s="1052"/>
      <c r="U1" s="1052"/>
      <c r="V1" s="1052"/>
      <c r="W1" s="1052"/>
      <c r="X1" s="1052"/>
      <c r="Y1" s="1053"/>
      <c r="Z1" s="1052"/>
      <c r="AH1" s="3062" t="s">
        <v>2659</v>
      </c>
      <c r="AI1" s="3062"/>
      <c r="AJ1" s="3062"/>
      <c r="AK1" s="3063"/>
    </row>
    <row r="2" spans="1:39" ht="15" customHeight="1">
      <c r="A2" s="1054" t="s">
        <v>2660</v>
      </c>
      <c r="B2" s="1055"/>
      <c r="O2" s="1052"/>
      <c r="P2" s="3058"/>
      <c r="Q2" s="3058"/>
      <c r="R2" s="3058"/>
      <c r="S2" s="3059"/>
      <c r="T2" s="1052"/>
      <c r="U2" s="1052"/>
      <c r="V2" s="1052"/>
      <c r="W2" s="1052"/>
      <c r="X2" s="1052"/>
      <c r="Y2" s="1053"/>
      <c r="Z2" s="1052"/>
      <c r="AH2" s="3062"/>
      <c r="AI2" s="3062"/>
      <c r="AJ2" s="3062"/>
      <c r="AK2" s="3063"/>
    </row>
    <row r="3" spans="1:39" ht="15" customHeight="1">
      <c r="A3" s="1054" t="s">
        <v>2661</v>
      </c>
      <c r="B3" s="1056"/>
      <c r="O3" s="1052"/>
      <c r="P3" s="3058"/>
      <c r="Q3" s="3058"/>
      <c r="R3" s="3058"/>
      <c r="S3" s="3059"/>
      <c r="T3" s="1052"/>
      <c r="U3" s="1052"/>
      <c r="V3" s="1052"/>
      <c r="W3" s="1052"/>
      <c r="X3" s="1052"/>
      <c r="Y3" s="1053"/>
      <c r="Z3" s="1052"/>
      <c r="AH3" s="3062"/>
      <c r="AI3" s="3062"/>
      <c r="AJ3" s="3062"/>
      <c r="AK3" s="3063"/>
    </row>
    <row r="4" spans="1:39" ht="15" customHeight="1" thickBot="1">
      <c r="A4" s="1054" t="s">
        <v>2662</v>
      </c>
      <c r="B4" s="2989" t="s">
        <v>2663</v>
      </c>
      <c r="O4" s="1052"/>
      <c r="P4" s="3060"/>
      <c r="Q4" s="3060"/>
      <c r="R4" s="3060"/>
      <c r="S4" s="3061"/>
      <c r="T4" s="1052"/>
      <c r="U4" s="1052"/>
      <c r="V4" s="1052"/>
      <c r="W4" s="1052"/>
      <c r="X4" s="1052"/>
      <c r="Y4" s="1057"/>
      <c r="Z4" s="1052"/>
      <c r="AH4" s="3064"/>
      <c r="AI4" s="3064"/>
      <c r="AJ4" s="3064"/>
      <c r="AK4" s="3065"/>
    </row>
    <row r="5" spans="1:39" ht="23.7" customHeight="1" thickBot="1">
      <c r="A5" s="3051" t="s">
        <v>2664</v>
      </c>
      <c r="B5" s="3053" t="s">
        <v>2665</v>
      </c>
      <c r="C5" s="3054"/>
      <c r="D5" s="3054"/>
      <c r="E5" s="3054"/>
      <c r="F5" s="3054"/>
      <c r="G5" s="3054"/>
      <c r="H5" s="3054"/>
      <c r="I5" s="3054"/>
      <c r="J5" s="3054"/>
      <c r="K5" s="3054"/>
      <c r="L5" s="3054"/>
      <c r="M5" s="3054"/>
      <c r="N5" s="3054"/>
      <c r="O5" s="3054"/>
      <c r="P5" s="3054"/>
      <c r="Q5" s="3054"/>
      <c r="R5" s="3054"/>
      <c r="S5" s="3055"/>
      <c r="T5" s="3053" t="s">
        <v>2666</v>
      </c>
      <c r="U5" s="3054"/>
      <c r="V5" s="3054"/>
      <c r="W5" s="3054"/>
      <c r="X5" s="3054"/>
      <c r="Y5" s="3054"/>
      <c r="Z5" s="3054"/>
      <c r="AA5" s="3054"/>
      <c r="AB5" s="3054"/>
      <c r="AC5" s="3054"/>
      <c r="AD5" s="3054"/>
      <c r="AE5" s="3054"/>
      <c r="AF5" s="3054"/>
      <c r="AG5" s="3054"/>
      <c r="AH5" s="3054"/>
      <c r="AI5" s="3054"/>
      <c r="AJ5" s="3054"/>
      <c r="AK5" s="3055"/>
      <c r="AL5" s="1058" t="s">
        <v>2667</v>
      </c>
      <c r="AM5" s="1050" t="s">
        <v>2668</v>
      </c>
    </row>
    <row r="6" spans="1:39" s="1064" customFormat="1" ht="13.8" thickBot="1">
      <c r="A6" s="3052"/>
      <c r="B6" s="1059" t="s">
        <v>2663</v>
      </c>
      <c r="C6" s="1060" t="s">
        <v>2669</v>
      </c>
      <c r="D6" s="1060" t="s">
        <v>2670</v>
      </c>
      <c r="E6" s="1060" t="s">
        <v>2671</v>
      </c>
      <c r="F6" s="1060" t="s">
        <v>2672</v>
      </c>
      <c r="G6" s="1060" t="s">
        <v>2673</v>
      </c>
      <c r="H6" s="1060" t="s">
        <v>2674</v>
      </c>
      <c r="I6" s="1060" t="s">
        <v>2675</v>
      </c>
      <c r="J6" s="1060" t="s">
        <v>2676</v>
      </c>
      <c r="K6" s="1060" t="s">
        <v>2677</v>
      </c>
      <c r="L6" s="1060" t="s">
        <v>2678</v>
      </c>
      <c r="M6" s="1061" t="s">
        <v>2679</v>
      </c>
      <c r="N6" s="1062" t="s">
        <v>2680</v>
      </c>
      <c r="O6" s="1060" t="s">
        <v>2681</v>
      </c>
      <c r="P6" s="1060" t="s">
        <v>2682</v>
      </c>
      <c r="Q6" s="1060" t="s">
        <v>2683</v>
      </c>
      <c r="R6" s="1060" t="s">
        <v>2684</v>
      </c>
      <c r="S6" s="1063" t="s">
        <v>2685</v>
      </c>
      <c r="T6" s="1059" t="s">
        <v>2686</v>
      </c>
      <c r="U6" s="1060" t="s">
        <v>2687</v>
      </c>
      <c r="V6" s="1060" t="s">
        <v>2688</v>
      </c>
      <c r="W6" s="1060" t="s">
        <v>2689</v>
      </c>
      <c r="X6" s="1060" t="s">
        <v>2690</v>
      </c>
      <c r="Y6" s="1061" t="s">
        <v>2691</v>
      </c>
      <c r="Z6" s="1062" t="s">
        <v>2692</v>
      </c>
      <c r="AA6" s="1060" t="s">
        <v>2693</v>
      </c>
      <c r="AB6" s="1060" t="s">
        <v>2694</v>
      </c>
      <c r="AC6" s="1060" t="s">
        <v>2695</v>
      </c>
      <c r="AD6" s="1060" t="s">
        <v>2696</v>
      </c>
      <c r="AE6" s="1060" t="s">
        <v>2697</v>
      </c>
      <c r="AF6" s="1060" t="s">
        <v>2698</v>
      </c>
      <c r="AG6" s="1060" t="s">
        <v>2699</v>
      </c>
      <c r="AH6" s="1060" t="s">
        <v>2700</v>
      </c>
      <c r="AI6" s="1060" t="s">
        <v>2701</v>
      </c>
      <c r="AJ6" s="1060" t="s">
        <v>2702</v>
      </c>
      <c r="AK6" s="1063" t="s">
        <v>2703</v>
      </c>
    </row>
    <row r="7" spans="1:39">
      <c r="A7" s="1108" t="s">
        <v>2704</v>
      </c>
      <c r="B7" s="1110"/>
      <c r="C7" s="1111"/>
      <c r="D7" s="1111"/>
      <c r="E7" s="1111"/>
      <c r="F7" s="1111"/>
      <c r="G7" s="1111"/>
      <c r="H7" s="1111"/>
      <c r="I7" s="1111"/>
      <c r="J7" s="1111"/>
      <c r="K7" s="1111"/>
      <c r="L7" s="1111"/>
      <c r="M7" s="1111"/>
      <c r="N7" s="1111"/>
      <c r="O7" s="1111"/>
      <c r="P7" s="1111"/>
      <c r="Q7" s="1111"/>
      <c r="R7" s="1111"/>
      <c r="S7" s="1112"/>
      <c r="T7" s="1110"/>
      <c r="U7" s="1111"/>
      <c r="V7" s="1111"/>
      <c r="W7" s="1111"/>
      <c r="X7" s="1111"/>
      <c r="Y7" s="1111"/>
      <c r="Z7" s="1111"/>
      <c r="AA7" s="1111"/>
      <c r="AB7" s="1111"/>
      <c r="AC7" s="1111"/>
      <c r="AD7" s="1111"/>
      <c r="AE7" s="1111"/>
      <c r="AF7" s="1111"/>
      <c r="AG7" s="1111"/>
      <c r="AH7" s="1111"/>
      <c r="AI7" s="1111"/>
      <c r="AJ7" s="1111"/>
      <c r="AK7" s="1112"/>
      <c r="AL7" s="1109">
        <v>0.5</v>
      </c>
      <c r="AM7" s="1109">
        <v>0.5</v>
      </c>
    </row>
    <row r="8" spans="1:39">
      <c r="A8" s="1066" t="s">
        <v>2705</v>
      </c>
      <c r="B8" s="1067"/>
      <c r="C8" s="1055"/>
      <c r="D8" s="1055"/>
      <c r="E8" s="1055"/>
      <c r="F8" s="1070"/>
      <c r="G8" s="1070"/>
      <c r="H8" s="1070"/>
      <c r="I8" s="1070"/>
      <c r="J8" s="1070"/>
      <c r="K8" s="1070"/>
      <c r="L8" s="1070"/>
      <c r="M8" s="1070"/>
      <c r="N8" s="1070"/>
      <c r="O8" s="1070"/>
      <c r="P8" s="1070"/>
      <c r="Q8" s="1070"/>
      <c r="R8" s="1070"/>
      <c r="S8" s="1071"/>
      <c r="T8" s="1069"/>
      <c r="U8" s="1070"/>
      <c r="V8" s="1070"/>
      <c r="W8" s="1070"/>
      <c r="X8" s="1070"/>
      <c r="Y8" s="1070"/>
      <c r="Z8" s="1070"/>
      <c r="AA8" s="1070"/>
      <c r="AB8" s="1070"/>
      <c r="AC8" s="1070"/>
      <c r="AD8" s="1070"/>
      <c r="AE8" s="1070"/>
      <c r="AF8" s="1070"/>
      <c r="AG8" s="1070"/>
      <c r="AH8" s="1070"/>
      <c r="AI8" s="1070"/>
      <c r="AJ8" s="1070"/>
      <c r="AK8" s="1071"/>
      <c r="AL8" s="1065">
        <v>0.2</v>
      </c>
      <c r="AM8" s="1109"/>
    </row>
    <row r="9" spans="1:39">
      <c r="A9" s="1066" t="s">
        <v>2706</v>
      </c>
      <c r="B9" s="1067"/>
      <c r="C9" s="1055"/>
      <c r="D9" s="1055"/>
      <c r="E9" s="1055"/>
      <c r="F9" s="1055"/>
      <c r="G9" s="1055"/>
      <c r="H9" s="1055"/>
      <c r="I9" s="1055"/>
      <c r="J9" s="1055"/>
      <c r="K9" s="1055"/>
      <c r="L9" s="1055"/>
      <c r="M9" s="1055"/>
      <c r="N9" s="1055"/>
      <c r="O9" s="1055"/>
      <c r="P9" s="1055"/>
      <c r="Q9" s="1055"/>
      <c r="R9" s="1055"/>
      <c r="S9" s="1068"/>
      <c r="T9" s="1069"/>
      <c r="U9" s="1070"/>
      <c r="V9" s="1070"/>
      <c r="W9" s="1070"/>
      <c r="X9" s="1070"/>
      <c r="Y9" s="1070"/>
      <c r="Z9" s="1070"/>
      <c r="AA9" s="1070"/>
      <c r="AB9" s="1070"/>
      <c r="AC9" s="1070"/>
      <c r="AD9" s="1070"/>
      <c r="AE9" s="1070"/>
      <c r="AF9" s="1070"/>
      <c r="AG9" s="1070"/>
      <c r="AH9" s="1070"/>
      <c r="AI9" s="1070"/>
      <c r="AJ9" s="1070"/>
      <c r="AK9" s="1071"/>
      <c r="AL9" s="1065">
        <v>0.4</v>
      </c>
      <c r="AM9" s="1109"/>
    </row>
    <row r="10" spans="1:39">
      <c r="A10" s="1066" t="s">
        <v>2707</v>
      </c>
      <c r="B10" s="1069"/>
      <c r="C10" s="1070"/>
      <c r="D10" s="1070"/>
      <c r="E10" s="1070"/>
      <c r="F10" s="1070"/>
      <c r="G10" s="1070"/>
      <c r="H10" s="1070"/>
      <c r="I10" s="1070"/>
      <c r="J10" s="1070"/>
      <c r="K10" s="1070"/>
      <c r="L10" s="1070"/>
      <c r="M10" s="1070"/>
      <c r="N10" s="1070"/>
      <c r="O10" s="1070"/>
      <c r="P10" s="1070"/>
      <c r="Q10" s="1070"/>
      <c r="R10" s="1070"/>
      <c r="S10" s="1071"/>
      <c r="T10" s="1072"/>
      <c r="U10" s="1056"/>
      <c r="V10" s="1056"/>
      <c r="W10" s="1056"/>
      <c r="X10" s="1056"/>
      <c r="Y10" s="1056"/>
      <c r="Z10" s="1056"/>
      <c r="AA10" s="1056"/>
      <c r="AB10" s="1056"/>
      <c r="AC10" s="1056"/>
      <c r="AD10" s="1056"/>
      <c r="AE10" s="1056"/>
      <c r="AF10" s="1056"/>
      <c r="AG10" s="1056"/>
      <c r="AH10" s="1056"/>
      <c r="AI10" s="1056"/>
      <c r="AJ10" s="1056"/>
      <c r="AK10" s="1073"/>
      <c r="AL10" s="1065"/>
      <c r="AM10" s="1109">
        <v>0.4</v>
      </c>
    </row>
    <row r="11" spans="1:39">
      <c r="A11" s="1066" t="s">
        <v>2708</v>
      </c>
      <c r="B11" s="1067"/>
      <c r="C11" s="1055"/>
      <c r="D11" s="1055"/>
      <c r="E11" s="1055"/>
      <c r="F11" s="1055"/>
      <c r="G11" s="1055"/>
      <c r="H11" s="1070"/>
      <c r="I11" s="1070"/>
      <c r="J11" s="1070"/>
      <c r="K11" s="1070"/>
      <c r="L11" s="1070"/>
      <c r="M11" s="1070"/>
      <c r="N11" s="1070"/>
      <c r="O11" s="1070"/>
      <c r="P11" s="1070"/>
      <c r="Q11" s="1070"/>
      <c r="R11" s="1070"/>
      <c r="S11" s="1071"/>
      <c r="T11" s="1069"/>
      <c r="U11" s="1070"/>
      <c r="V11" s="1070"/>
      <c r="W11" s="1070"/>
      <c r="X11" s="1070"/>
      <c r="Y11" s="1070"/>
      <c r="Z11" s="1070"/>
      <c r="AA11" s="1070"/>
      <c r="AB11" s="1070"/>
      <c r="AC11" s="1070"/>
      <c r="AD11" s="1070"/>
      <c r="AE11" s="1070"/>
      <c r="AF11" s="1070"/>
      <c r="AG11" s="1070"/>
      <c r="AH11" s="1070"/>
      <c r="AI11" s="1070"/>
      <c r="AJ11" s="1070"/>
      <c r="AK11" s="1074"/>
      <c r="AL11" s="1075">
        <v>0.2</v>
      </c>
      <c r="AM11" s="1109"/>
    </row>
    <row r="12" spans="1:39">
      <c r="A12" s="1066" t="s">
        <v>2709</v>
      </c>
      <c r="B12" s="1069"/>
      <c r="C12" s="1070"/>
      <c r="D12" s="1070"/>
      <c r="E12" s="1070"/>
      <c r="F12" s="1070"/>
      <c r="G12" s="1070"/>
      <c r="H12" s="1055"/>
      <c r="I12" s="1055"/>
      <c r="J12" s="1055"/>
      <c r="K12" s="1055"/>
      <c r="L12" s="1055"/>
      <c r="M12" s="1055"/>
      <c r="N12" s="1070"/>
      <c r="O12" s="1070"/>
      <c r="P12" s="1070"/>
      <c r="Q12" s="1070"/>
      <c r="R12" s="1070"/>
      <c r="S12" s="1071"/>
      <c r="T12" s="1069"/>
      <c r="U12" s="1070"/>
      <c r="V12" s="1070"/>
      <c r="W12" s="1070"/>
      <c r="X12" s="1070"/>
      <c r="Y12" s="1070"/>
      <c r="Z12" s="1070"/>
      <c r="AA12" s="1070"/>
      <c r="AB12" s="1070"/>
      <c r="AC12" s="1070"/>
      <c r="AD12" s="1070"/>
      <c r="AE12" s="1070"/>
      <c r="AF12" s="1070"/>
      <c r="AG12" s="1070"/>
      <c r="AH12" s="1070"/>
      <c r="AI12" s="1070"/>
      <c r="AJ12" s="1070"/>
      <c r="AK12" s="1074"/>
      <c r="AL12" s="1075">
        <v>0.2</v>
      </c>
      <c r="AM12" s="1109"/>
    </row>
    <row r="13" spans="1:39">
      <c r="A13" s="1066" t="s">
        <v>2710</v>
      </c>
      <c r="B13" s="1069"/>
      <c r="C13" s="1070"/>
      <c r="D13" s="1070"/>
      <c r="E13" s="1070"/>
      <c r="F13" s="1070"/>
      <c r="G13" s="1070"/>
      <c r="H13" s="1070"/>
      <c r="I13" s="1070"/>
      <c r="J13" s="1070"/>
      <c r="K13" s="1070"/>
      <c r="L13" s="1070"/>
      <c r="M13" s="1070"/>
      <c r="N13" s="1070"/>
      <c r="O13" s="1070"/>
      <c r="P13" s="1070"/>
      <c r="Q13" s="1070"/>
      <c r="R13" s="1070"/>
      <c r="S13" s="1071"/>
      <c r="T13" s="1072"/>
      <c r="U13" s="1056"/>
      <c r="V13" s="1056"/>
      <c r="W13" s="1056"/>
      <c r="X13" s="1056"/>
      <c r="Y13" s="1056"/>
      <c r="Z13" s="1070"/>
      <c r="AA13" s="1070"/>
      <c r="AB13" s="1070"/>
      <c r="AC13" s="1070"/>
      <c r="AD13" s="1070"/>
      <c r="AE13" s="1070"/>
      <c r="AF13" s="1070"/>
      <c r="AG13" s="1070"/>
      <c r="AH13" s="1070"/>
      <c r="AI13" s="1070"/>
      <c r="AJ13" s="1070"/>
      <c r="AK13" s="1071"/>
      <c r="AL13" s="1065"/>
      <c r="AM13" s="1075">
        <v>0.2</v>
      </c>
    </row>
    <row r="14" spans="1:39">
      <c r="A14" s="1066" t="s">
        <v>2711</v>
      </c>
      <c r="B14" s="1069"/>
      <c r="C14" s="1070"/>
      <c r="D14" s="1070"/>
      <c r="E14" s="1070"/>
      <c r="F14" s="1070"/>
      <c r="G14" s="1070"/>
      <c r="H14" s="1070"/>
      <c r="I14" s="1070"/>
      <c r="J14" s="1070"/>
      <c r="K14" s="1070"/>
      <c r="L14" s="1070"/>
      <c r="M14" s="1070"/>
      <c r="N14" s="1070"/>
      <c r="O14" s="1070"/>
      <c r="P14" s="1070"/>
      <c r="Q14" s="1070"/>
      <c r="R14" s="1070"/>
      <c r="S14" s="1071"/>
      <c r="T14" s="1069"/>
      <c r="U14" s="1070"/>
      <c r="V14" s="1070"/>
      <c r="W14" s="1070"/>
      <c r="X14" s="1070"/>
      <c r="Y14" s="1070"/>
      <c r="Z14" s="1056"/>
      <c r="AA14" s="1056"/>
      <c r="AB14" s="1056"/>
      <c r="AC14" s="1056"/>
      <c r="AD14" s="1056"/>
      <c r="AE14" s="1056"/>
      <c r="AF14" s="1070"/>
      <c r="AG14" s="1070"/>
      <c r="AH14" s="1070"/>
      <c r="AI14" s="1070"/>
      <c r="AJ14" s="1070"/>
      <c r="AK14" s="1071"/>
      <c r="AL14" s="1065"/>
      <c r="AM14" s="1075">
        <v>0.2</v>
      </c>
    </row>
    <row r="15" spans="1:39">
      <c r="A15" s="1066" t="s">
        <v>2712</v>
      </c>
      <c r="B15" s="1069"/>
      <c r="C15" s="1070"/>
      <c r="D15" s="1070"/>
      <c r="E15" s="1070"/>
      <c r="F15" s="1070"/>
      <c r="G15" s="1070"/>
      <c r="H15" s="1070"/>
      <c r="I15" s="1070"/>
      <c r="J15" s="1070"/>
      <c r="K15" s="1070"/>
      <c r="L15" s="1070"/>
      <c r="M15" s="1070"/>
      <c r="N15" s="1070"/>
      <c r="O15" s="1070"/>
      <c r="P15" s="1070"/>
      <c r="Q15" s="1070"/>
      <c r="R15" s="1070"/>
      <c r="S15" s="1071"/>
      <c r="T15" s="1069"/>
      <c r="U15" s="1070"/>
      <c r="V15" s="1070"/>
      <c r="W15" s="1070"/>
      <c r="X15" s="1070"/>
      <c r="Y15" s="1070"/>
      <c r="Z15" s="1070"/>
      <c r="AA15" s="1070"/>
      <c r="AB15" s="1070"/>
      <c r="AC15" s="1070"/>
      <c r="AD15" s="1070"/>
      <c r="AE15" s="1070"/>
      <c r="AF15" s="1056"/>
      <c r="AG15" s="1056"/>
      <c r="AH15" s="1056"/>
      <c r="AI15" s="1056"/>
      <c r="AJ15" s="1056"/>
      <c r="AK15" s="1073"/>
      <c r="AL15" s="1065"/>
      <c r="AM15" s="1075">
        <v>0.2</v>
      </c>
    </row>
    <row r="16" spans="1:39">
      <c r="A16" s="1066" t="s">
        <v>2713</v>
      </c>
      <c r="B16" s="1067"/>
      <c r="C16" s="1055"/>
      <c r="D16" s="1055"/>
      <c r="E16" s="1055"/>
      <c r="F16" s="1055"/>
      <c r="G16" s="1055"/>
      <c r="H16" s="1070"/>
      <c r="I16" s="1070"/>
      <c r="J16" s="1070"/>
      <c r="K16" s="1070"/>
      <c r="L16" s="1070"/>
      <c r="M16" s="1070"/>
      <c r="N16" s="1070"/>
      <c r="O16" s="1070"/>
      <c r="P16" s="1070"/>
      <c r="Q16" s="1070"/>
      <c r="R16" s="1070"/>
      <c r="S16" s="1071"/>
      <c r="T16" s="1069"/>
      <c r="U16" s="1070"/>
      <c r="V16" s="1070"/>
      <c r="W16" s="1070"/>
      <c r="X16" s="1070"/>
      <c r="Y16" s="1070"/>
      <c r="Z16" s="1070"/>
      <c r="AA16" s="1070"/>
      <c r="AB16" s="1070"/>
      <c r="AC16" s="1070"/>
      <c r="AD16" s="1070"/>
      <c r="AE16" s="1070"/>
      <c r="AF16" s="1070"/>
      <c r="AG16" s="1070"/>
      <c r="AH16" s="1070"/>
      <c r="AI16" s="1070"/>
      <c r="AJ16" s="1070"/>
      <c r="AK16" s="1074"/>
      <c r="AL16" s="1075">
        <v>0.5</v>
      </c>
    </row>
    <row r="17" spans="1:39">
      <c r="A17" s="1066" t="s">
        <v>2714</v>
      </c>
      <c r="B17" s="1069"/>
      <c r="C17" s="1070"/>
      <c r="D17" s="1070"/>
      <c r="E17" s="1070"/>
      <c r="F17" s="1070"/>
      <c r="G17" s="1070"/>
      <c r="H17" s="1070"/>
      <c r="I17" s="1070"/>
      <c r="J17" s="1070"/>
      <c r="K17" s="1070"/>
      <c r="L17" s="1070"/>
      <c r="M17" s="1070"/>
      <c r="N17" s="1070"/>
      <c r="O17" s="1070"/>
      <c r="P17" s="1070"/>
      <c r="Q17" s="1070"/>
      <c r="R17" s="1070"/>
      <c r="S17" s="1071"/>
      <c r="T17" s="1072"/>
      <c r="U17" s="1056"/>
      <c r="V17" s="1056"/>
      <c r="W17" s="1056"/>
      <c r="X17" s="1056"/>
      <c r="Y17" s="1056"/>
      <c r="Z17" s="1070"/>
      <c r="AA17" s="1070"/>
      <c r="AB17" s="1070"/>
      <c r="AC17" s="1070"/>
      <c r="AD17" s="1070"/>
      <c r="AE17" s="1070"/>
      <c r="AF17" s="1070"/>
      <c r="AG17" s="1070"/>
      <c r="AH17" s="1070"/>
      <c r="AI17" s="1070"/>
      <c r="AJ17" s="1070"/>
      <c r="AK17" s="1071"/>
      <c r="AL17" s="1065"/>
      <c r="AM17" s="1075">
        <v>0.5</v>
      </c>
    </row>
    <row r="18" spans="1:39">
      <c r="A18" s="1076" t="s">
        <v>2715</v>
      </c>
      <c r="B18" s="1069"/>
      <c r="C18" s="1070"/>
      <c r="D18" s="1070"/>
      <c r="E18" s="1070"/>
      <c r="F18" s="1070"/>
      <c r="G18" s="1070"/>
      <c r="H18" s="1070"/>
      <c r="I18" s="1070"/>
      <c r="J18" s="1070"/>
      <c r="K18" s="1070"/>
      <c r="L18" s="1070"/>
      <c r="M18" s="1070"/>
      <c r="N18" s="1070"/>
      <c r="O18" s="1070"/>
      <c r="P18" s="1070"/>
      <c r="Q18" s="1070"/>
      <c r="R18" s="1070"/>
      <c r="S18" s="1071"/>
      <c r="T18" s="1069"/>
      <c r="U18" s="1070"/>
      <c r="V18" s="1070"/>
      <c r="W18" s="1070"/>
      <c r="X18" s="1070"/>
      <c r="Y18" s="1070"/>
      <c r="Z18" s="1070"/>
      <c r="AA18" s="1070"/>
      <c r="AB18" s="1070"/>
      <c r="AC18" s="1070"/>
      <c r="AD18" s="1070"/>
      <c r="AE18" s="1070"/>
      <c r="AF18" s="1070"/>
      <c r="AG18" s="1070"/>
      <c r="AH18" s="1070"/>
      <c r="AI18" s="1070"/>
      <c r="AJ18" s="1070"/>
      <c r="AK18" s="1071"/>
      <c r="AL18" s="3066">
        <v>0.25</v>
      </c>
    </row>
    <row r="19" spans="1:39">
      <c r="A19" s="1066" t="s">
        <v>2716</v>
      </c>
      <c r="B19" s="1067"/>
      <c r="C19" s="1055"/>
      <c r="D19" s="1055"/>
      <c r="E19" s="1070"/>
      <c r="F19" s="1070"/>
      <c r="G19" s="1070"/>
      <c r="H19" s="1070"/>
      <c r="I19" s="1070"/>
      <c r="J19" s="1070"/>
      <c r="K19" s="1070"/>
      <c r="L19" s="1070"/>
      <c r="M19" s="1070"/>
      <c r="N19" s="1070"/>
      <c r="O19" s="1070"/>
      <c r="P19" s="1070"/>
      <c r="Q19" s="1070"/>
      <c r="R19" s="1070"/>
      <c r="S19" s="1071"/>
      <c r="T19" s="1069"/>
      <c r="U19" s="1070"/>
      <c r="V19" s="1070"/>
      <c r="W19" s="1070"/>
      <c r="X19" s="1070"/>
      <c r="Y19" s="1070"/>
      <c r="Z19" s="1070"/>
      <c r="AA19" s="1070"/>
      <c r="AB19" s="1070"/>
      <c r="AC19" s="1070"/>
      <c r="AD19" s="1070"/>
      <c r="AE19" s="1070"/>
      <c r="AF19" s="1070"/>
      <c r="AG19" s="1070"/>
      <c r="AH19" s="1070"/>
      <c r="AI19" s="1070"/>
      <c r="AJ19" s="1070"/>
      <c r="AK19" s="1071"/>
      <c r="AL19" s="3067"/>
    </row>
    <row r="20" spans="1:39">
      <c r="A20" s="1066" t="s">
        <v>2717</v>
      </c>
      <c r="B20" s="1069"/>
      <c r="C20" s="1070"/>
      <c r="D20" s="1070"/>
      <c r="E20" s="1055"/>
      <c r="F20" s="1055"/>
      <c r="G20" s="1055"/>
      <c r="H20" s="1070"/>
      <c r="I20" s="1070"/>
      <c r="J20" s="1070"/>
      <c r="K20" s="1070"/>
      <c r="L20" s="1070"/>
      <c r="M20" s="1070"/>
      <c r="N20" s="1070"/>
      <c r="O20" s="1070"/>
      <c r="P20" s="1070"/>
      <c r="Q20" s="1070"/>
      <c r="R20" s="1070"/>
      <c r="S20" s="1071"/>
      <c r="T20" s="1069"/>
      <c r="U20" s="1070"/>
      <c r="V20" s="1070"/>
      <c r="W20" s="1070"/>
      <c r="X20" s="1070"/>
      <c r="Y20" s="1070"/>
      <c r="Z20" s="1070"/>
      <c r="AA20" s="1070"/>
      <c r="AB20" s="1070"/>
      <c r="AC20" s="1070"/>
      <c r="AD20" s="1070"/>
      <c r="AE20" s="1070"/>
      <c r="AF20" s="1070"/>
      <c r="AG20" s="1070"/>
      <c r="AH20" s="1070"/>
      <c r="AI20" s="1070"/>
      <c r="AJ20" s="1070"/>
      <c r="AK20" s="1071"/>
      <c r="AL20" s="3067"/>
    </row>
    <row r="21" spans="1:39">
      <c r="A21" s="1066" t="s">
        <v>2718</v>
      </c>
      <c r="B21" s="1069"/>
      <c r="C21" s="1070"/>
      <c r="D21" s="1070"/>
      <c r="E21" s="1070"/>
      <c r="F21" s="1070"/>
      <c r="G21" s="1070"/>
      <c r="H21" s="1055"/>
      <c r="I21" s="1055"/>
      <c r="J21" s="1055"/>
      <c r="K21" s="1070"/>
      <c r="L21" s="1070"/>
      <c r="M21" s="1070"/>
      <c r="N21" s="1070"/>
      <c r="O21" s="1070"/>
      <c r="P21" s="1070"/>
      <c r="Q21" s="1070"/>
      <c r="R21" s="1070"/>
      <c r="S21" s="1071"/>
      <c r="T21" s="1069"/>
      <c r="U21" s="1070"/>
      <c r="V21" s="1070"/>
      <c r="W21" s="1070"/>
      <c r="X21" s="1070"/>
      <c r="Y21" s="1070"/>
      <c r="Z21" s="1070"/>
      <c r="AA21" s="1070"/>
      <c r="AB21" s="1070"/>
      <c r="AC21" s="1070"/>
      <c r="AD21" s="1070"/>
      <c r="AE21" s="1070"/>
      <c r="AF21" s="1070"/>
      <c r="AG21" s="1070"/>
      <c r="AH21" s="1070"/>
      <c r="AI21" s="1070"/>
      <c r="AJ21" s="1070"/>
      <c r="AK21" s="1071"/>
      <c r="AL21" s="3067"/>
    </row>
    <row r="22" spans="1:39">
      <c r="A22" s="1066" t="s">
        <v>2719</v>
      </c>
      <c r="B22" s="1069"/>
      <c r="C22" s="1070"/>
      <c r="D22" s="1070"/>
      <c r="E22" s="1070"/>
      <c r="F22" s="1070"/>
      <c r="G22" s="1070"/>
      <c r="H22" s="1070"/>
      <c r="I22" s="1070"/>
      <c r="J22" s="1070"/>
      <c r="K22" s="1055"/>
      <c r="L22" s="1055"/>
      <c r="M22" s="1055"/>
      <c r="N22" s="1070"/>
      <c r="O22" s="1070"/>
      <c r="P22" s="1070"/>
      <c r="Q22" s="1070"/>
      <c r="R22" s="1070"/>
      <c r="S22" s="1071"/>
      <c r="T22" s="1069"/>
      <c r="U22" s="1070"/>
      <c r="V22" s="1070"/>
      <c r="W22" s="1070"/>
      <c r="X22" s="1070"/>
      <c r="Y22" s="1070"/>
      <c r="Z22" s="1070"/>
      <c r="AA22" s="1070"/>
      <c r="AB22" s="1070"/>
      <c r="AC22" s="1070"/>
      <c r="AD22" s="1070"/>
      <c r="AE22" s="1070"/>
      <c r="AF22" s="1070"/>
      <c r="AG22" s="1070"/>
      <c r="AH22" s="1070"/>
      <c r="AI22" s="1070"/>
      <c r="AJ22" s="1070"/>
      <c r="AK22" s="1071"/>
      <c r="AL22" s="3067"/>
    </row>
    <row r="23" spans="1:39">
      <c r="A23" s="1066" t="s">
        <v>2720</v>
      </c>
      <c r="B23" s="1067"/>
      <c r="C23" s="1055"/>
      <c r="D23" s="1055"/>
      <c r="E23" s="1055"/>
      <c r="F23" s="1070"/>
      <c r="G23" s="1070"/>
      <c r="H23" s="1070"/>
      <c r="I23" s="1070"/>
      <c r="J23" s="1070"/>
      <c r="K23" s="1078"/>
      <c r="L23" s="1078"/>
      <c r="M23" s="1078"/>
      <c r="N23" s="1070"/>
      <c r="O23" s="1070"/>
      <c r="P23" s="1070"/>
      <c r="Q23" s="1070"/>
      <c r="R23" s="1070"/>
      <c r="S23" s="1071"/>
      <c r="T23" s="1069"/>
      <c r="U23" s="1070"/>
      <c r="V23" s="1070"/>
      <c r="W23" s="1070"/>
      <c r="X23" s="1070"/>
      <c r="Y23" s="1070"/>
      <c r="Z23" s="1070"/>
      <c r="AA23" s="1070"/>
      <c r="AB23" s="1070"/>
      <c r="AC23" s="1070"/>
      <c r="AD23" s="1070"/>
      <c r="AE23" s="1070"/>
      <c r="AF23" s="1070"/>
      <c r="AG23" s="1070"/>
      <c r="AH23" s="1070"/>
      <c r="AI23" s="1070"/>
      <c r="AJ23" s="1070"/>
      <c r="AK23" s="1071"/>
      <c r="AL23" s="3067"/>
    </row>
    <row r="24" spans="1:39">
      <c r="A24" s="1066" t="s">
        <v>2721</v>
      </c>
      <c r="B24" s="1069"/>
      <c r="C24" s="1070"/>
      <c r="D24" s="1070"/>
      <c r="E24" s="1070"/>
      <c r="F24" s="1055"/>
      <c r="G24" s="1055"/>
      <c r="H24" s="1055"/>
      <c r="I24" s="1055"/>
      <c r="J24" s="1070"/>
      <c r="K24" s="1078"/>
      <c r="L24" s="1078"/>
      <c r="M24" s="1078"/>
      <c r="N24" s="1070"/>
      <c r="O24" s="1070"/>
      <c r="P24" s="1070"/>
      <c r="Q24" s="1070"/>
      <c r="R24" s="1070"/>
      <c r="S24" s="1071"/>
      <c r="T24" s="1069"/>
      <c r="U24" s="1070"/>
      <c r="V24" s="1070"/>
      <c r="W24" s="1070"/>
      <c r="X24" s="1070"/>
      <c r="Y24" s="1070"/>
      <c r="Z24" s="1070"/>
      <c r="AA24" s="1070"/>
      <c r="AB24" s="1070"/>
      <c r="AC24" s="1070"/>
      <c r="AD24" s="1070"/>
      <c r="AE24" s="1070"/>
      <c r="AF24" s="1070"/>
      <c r="AG24" s="1070"/>
      <c r="AH24" s="1070"/>
      <c r="AI24" s="1070"/>
      <c r="AJ24" s="1070"/>
      <c r="AK24" s="1071"/>
      <c r="AL24" s="3067"/>
    </row>
    <row r="25" spans="1:39">
      <c r="A25" s="1066" t="s">
        <v>2722</v>
      </c>
      <c r="B25" s="1069"/>
      <c r="C25" s="1070"/>
      <c r="D25" s="1070"/>
      <c r="E25" s="1070"/>
      <c r="F25" s="1070"/>
      <c r="G25" s="1070"/>
      <c r="H25" s="1070"/>
      <c r="I25" s="1070"/>
      <c r="J25" s="1055"/>
      <c r="K25" s="1055"/>
      <c r="L25" s="1055"/>
      <c r="M25" s="1055"/>
      <c r="N25" s="1070"/>
      <c r="O25" s="1070"/>
      <c r="P25" s="1070"/>
      <c r="Q25" s="1070"/>
      <c r="R25" s="1070"/>
      <c r="S25" s="1071"/>
      <c r="T25" s="1069"/>
      <c r="U25" s="1070"/>
      <c r="V25" s="1070"/>
      <c r="W25" s="1070"/>
      <c r="X25" s="1070"/>
      <c r="Y25" s="1070"/>
      <c r="Z25" s="1070"/>
      <c r="AA25" s="1070"/>
      <c r="AB25" s="1070"/>
      <c r="AC25" s="1070"/>
      <c r="AD25" s="1070"/>
      <c r="AE25" s="1070"/>
      <c r="AF25" s="1070"/>
      <c r="AG25" s="1070"/>
      <c r="AH25" s="1070"/>
      <c r="AI25" s="1070"/>
      <c r="AJ25" s="1070"/>
      <c r="AK25" s="1071"/>
      <c r="AL25" s="3068"/>
    </row>
    <row r="26" spans="1:39">
      <c r="A26" s="1079" t="s">
        <v>2723</v>
      </c>
      <c r="B26" s="1067"/>
      <c r="C26" s="1055"/>
      <c r="D26" s="1055"/>
      <c r="E26" s="1055"/>
      <c r="F26" s="1055"/>
      <c r="G26" s="1055"/>
      <c r="H26" s="1070"/>
      <c r="I26" s="1070"/>
      <c r="J26" s="1070"/>
      <c r="K26" s="1070"/>
      <c r="L26" s="1070"/>
      <c r="M26" s="1070"/>
      <c r="N26" s="1070"/>
      <c r="O26" s="1070"/>
      <c r="P26" s="1070"/>
      <c r="Q26" s="1070"/>
      <c r="R26" s="1070"/>
      <c r="S26" s="1071"/>
      <c r="T26" s="1069"/>
      <c r="U26" s="1070"/>
      <c r="V26" s="1070"/>
      <c r="W26" s="1070"/>
      <c r="X26" s="1070"/>
      <c r="Y26" s="1070"/>
      <c r="Z26" s="1070"/>
      <c r="AA26" s="1070"/>
      <c r="AB26" s="1070"/>
      <c r="AC26" s="1070"/>
      <c r="AD26" s="1070"/>
      <c r="AE26" s="1070"/>
      <c r="AF26" s="1070"/>
      <c r="AG26" s="1070"/>
      <c r="AH26" s="1070"/>
      <c r="AI26" s="1070"/>
      <c r="AJ26" s="1070"/>
      <c r="AK26" s="1071"/>
      <c r="AL26" s="3066">
        <v>0.25</v>
      </c>
    </row>
    <row r="27" spans="1:39">
      <c r="A27" s="1079" t="s">
        <v>2724</v>
      </c>
      <c r="B27" s="1069"/>
      <c r="C27" s="1070"/>
      <c r="D27" s="1070"/>
      <c r="E27" s="1070"/>
      <c r="F27" s="1070"/>
      <c r="G27" s="1070"/>
      <c r="H27" s="1055"/>
      <c r="I27" s="1055"/>
      <c r="J27" s="1055"/>
      <c r="K27" s="1055"/>
      <c r="L27" s="1055"/>
      <c r="M27" s="1055"/>
      <c r="N27" s="1070"/>
      <c r="O27" s="1070"/>
      <c r="P27" s="1070"/>
      <c r="Q27" s="1070"/>
      <c r="R27" s="1070"/>
      <c r="S27" s="1071"/>
      <c r="T27" s="1069"/>
      <c r="U27" s="1070"/>
      <c r="V27" s="1070"/>
      <c r="W27" s="1070"/>
      <c r="X27" s="1070"/>
      <c r="Y27" s="1070"/>
      <c r="Z27" s="1070"/>
      <c r="AA27" s="1070"/>
      <c r="AB27" s="1070"/>
      <c r="AC27" s="1070"/>
      <c r="AD27" s="1070"/>
      <c r="AE27" s="1070"/>
      <c r="AF27" s="1070"/>
      <c r="AG27" s="1070"/>
      <c r="AH27" s="1070"/>
      <c r="AI27" s="1070"/>
      <c r="AJ27" s="1070"/>
      <c r="AK27" s="1071"/>
      <c r="AL27" s="3067"/>
    </row>
    <row r="28" spans="1:39">
      <c r="A28" s="1079" t="s">
        <v>2725</v>
      </c>
      <c r="B28" s="1069"/>
      <c r="C28" s="1070"/>
      <c r="D28" s="1070"/>
      <c r="E28" s="1070"/>
      <c r="F28" s="1070"/>
      <c r="G28" s="1070"/>
      <c r="H28" s="1070"/>
      <c r="I28" s="1070"/>
      <c r="J28" s="1070"/>
      <c r="K28" s="1070"/>
      <c r="L28" s="1070"/>
      <c r="M28" s="1070"/>
      <c r="N28" s="1055"/>
      <c r="O28" s="1055"/>
      <c r="P28" s="1055"/>
      <c r="Q28" s="1055"/>
      <c r="R28" s="1055"/>
      <c r="S28" s="1068"/>
      <c r="T28" s="1069"/>
      <c r="U28" s="1070"/>
      <c r="V28" s="1070"/>
      <c r="W28" s="1070"/>
      <c r="X28" s="1070"/>
      <c r="Y28" s="1070"/>
      <c r="Z28" s="1070"/>
      <c r="AA28" s="1070"/>
      <c r="AB28" s="1070"/>
      <c r="AC28" s="1070"/>
      <c r="AD28" s="1070"/>
      <c r="AE28" s="1070"/>
      <c r="AF28" s="1070"/>
      <c r="AG28" s="1070"/>
      <c r="AH28" s="1070"/>
      <c r="AI28" s="1070"/>
      <c r="AJ28" s="1070"/>
      <c r="AK28" s="1071"/>
      <c r="AL28" s="3068"/>
    </row>
    <row r="29" spans="1:39">
      <c r="A29" s="1066" t="s">
        <v>2726</v>
      </c>
      <c r="B29" s="1069"/>
      <c r="C29" s="1070"/>
      <c r="D29" s="1070"/>
      <c r="E29" s="1070"/>
      <c r="F29" s="1070"/>
      <c r="G29" s="1070"/>
      <c r="H29" s="1070"/>
      <c r="I29" s="1070"/>
      <c r="J29" s="1070"/>
      <c r="K29" s="1070"/>
      <c r="L29" s="1070"/>
      <c r="M29" s="1070"/>
      <c r="N29" s="1070"/>
      <c r="O29" s="1070"/>
      <c r="P29" s="1070"/>
      <c r="Q29" s="1070"/>
      <c r="R29" s="1070"/>
      <c r="S29" s="1071"/>
      <c r="T29" s="1069"/>
      <c r="U29" s="1070"/>
      <c r="V29" s="1070"/>
      <c r="W29" s="1070"/>
      <c r="X29" s="1070"/>
      <c r="Y29" s="1070"/>
      <c r="Z29" s="1070"/>
      <c r="AA29" s="1070"/>
      <c r="AB29" s="1070"/>
      <c r="AC29" s="1070"/>
      <c r="AD29" s="1070"/>
      <c r="AE29" s="1070"/>
      <c r="AF29" s="1070"/>
      <c r="AG29" s="1070"/>
      <c r="AH29" s="1070"/>
      <c r="AI29" s="1070"/>
      <c r="AJ29" s="1070"/>
      <c r="AK29" s="1071"/>
      <c r="AL29" s="3066">
        <v>0.25</v>
      </c>
    </row>
    <row r="30" spans="1:39">
      <c r="A30" s="1066" t="s">
        <v>2727</v>
      </c>
      <c r="B30" s="1069"/>
      <c r="C30" s="1070"/>
      <c r="D30" s="1070"/>
      <c r="E30" s="1070"/>
      <c r="F30" s="1070"/>
      <c r="G30" s="1070"/>
      <c r="H30" s="1080"/>
      <c r="I30" s="1055"/>
      <c r="J30" s="1055"/>
      <c r="K30" s="1070"/>
      <c r="L30" s="1070"/>
      <c r="M30" s="1070"/>
      <c r="N30" s="1070"/>
      <c r="O30" s="1070"/>
      <c r="P30" s="1070"/>
      <c r="Q30" s="1070"/>
      <c r="R30" s="1070"/>
      <c r="S30" s="1070"/>
      <c r="T30" s="1069"/>
      <c r="U30" s="1070"/>
      <c r="V30" s="1070"/>
      <c r="W30" s="1070"/>
      <c r="X30" s="1070"/>
      <c r="Y30" s="1070"/>
      <c r="Z30" s="1070"/>
      <c r="AA30" s="1070"/>
      <c r="AB30" s="1070"/>
      <c r="AC30" s="1070"/>
      <c r="AD30" s="1070"/>
      <c r="AE30" s="1070"/>
      <c r="AF30" s="1070"/>
      <c r="AG30" s="1070"/>
      <c r="AH30" s="1070"/>
      <c r="AI30" s="1070"/>
      <c r="AJ30" s="1070"/>
      <c r="AK30" s="1071"/>
      <c r="AL30" s="3067"/>
    </row>
    <row r="31" spans="1:39">
      <c r="A31" s="1066" t="s">
        <v>2728</v>
      </c>
      <c r="B31" s="1069"/>
      <c r="C31" s="1070"/>
      <c r="D31" s="1070"/>
      <c r="E31" s="1070"/>
      <c r="F31" s="1070"/>
      <c r="G31" s="1070"/>
      <c r="H31" s="1081"/>
      <c r="I31" s="1070"/>
      <c r="J31" s="1070"/>
      <c r="K31" s="1055"/>
      <c r="L31" s="1055"/>
      <c r="M31" s="1055"/>
      <c r="N31" s="1070"/>
      <c r="O31" s="1070"/>
      <c r="P31" s="1070"/>
      <c r="Q31" s="1070"/>
      <c r="R31" s="1070"/>
      <c r="S31" s="1070"/>
      <c r="T31" s="1069"/>
      <c r="U31" s="1070"/>
      <c r="V31" s="1070"/>
      <c r="W31" s="1070"/>
      <c r="X31" s="1070"/>
      <c r="Y31" s="1070"/>
      <c r="Z31" s="1070"/>
      <c r="AA31" s="1070"/>
      <c r="AB31" s="1070"/>
      <c r="AC31" s="1070"/>
      <c r="AD31" s="1070"/>
      <c r="AE31" s="1070"/>
      <c r="AF31" s="1070"/>
      <c r="AG31" s="1070"/>
      <c r="AH31" s="1070"/>
      <c r="AI31" s="1070"/>
      <c r="AJ31" s="1070"/>
      <c r="AK31" s="1071"/>
      <c r="AL31" s="3067"/>
    </row>
    <row r="32" spans="1:39">
      <c r="A32" s="1066" t="s">
        <v>2729</v>
      </c>
      <c r="B32" s="1069"/>
      <c r="C32" s="1070"/>
      <c r="D32" s="1070"/>
      <c r="E32" s="1070"/>
      <c r="F32" s="1070"/>
      <c r="G32" s="1070"/>
      <c r="H32" s="1081"/>
      <c r="I32" s="1070"/>
      <c r="J32" s="1070"/>
      <c r="K32" s="1070"/>
      <c r="L32" s="1070"/>
      <c r="M32" s="1070"/>
      <c r="N32" s="1055"/>
      <c r="O32" s="1055"/>
      <c r="P32" s="1055"/>
      <c r="Q32" s="1070"/>
      <c r="R32" s="1070"/>
      <c r="S32" s="1070"/>
      <c r="T32" s="1069"/>
      <c r="U32" s="1070"/>
      <c r="V32" s="1070"/>
      <c r="W32" s="1070"/>
      <c r="X32" s="1070"/>
      <c r="Y32" s="1070"/>
      <c r="Z32" s="1070"/>
      <c r="AA32" s="1070"/>
      <c r="AB32" s="1070"/>
      <c r="AC32" s="1070"/>
      <c r="AD32" s="1070"/>
      <c r="AE32" s="1070"/>
      <c r="AF32" s="1070"/>
      <c r="AG32" s="1070"/>
      <c r="AH32" s="1070"/>
      <c r="AI32" s="1070"/>
      <c r="AJ32" s="1070"/>
      <c r="AK32" s="1071"/>
      <c r="AL32" s="3067"/>
    </row>
    <row r="33" spans="1:39">
      <c r="A33" s="1066" t="s">
        <v>2730</v>
      </c>
      <c r="B33" s="1069"/>
      <c r="C33" s="1070"/>
      <c r="D33" s="1070"/>
      <c r="E33" s="1070"/>
      <c r="F33" s="1070"/>
      <c r="G33" s="1070"/>
      <c r="H33" s="1081"/>
      <c r="I33" s="1070"/>
      <c r="J33" s="1070"/>
      <c r="K33" s="1070"/>
      <c r="L33" s="1070"/>
      <c r="M33" s="1070"/>
      <c r="N33" s="1070"/>
      <c r="O33" s="1070"/>
      <c r="P33" s="1070"/>
      <c r="Q33" s="1055"/>
      <c r="R33" s="1055"/>
      <c r="S33" s="1055"/>
      <c r="T33" s="1069"/>
      <c r="U33" s="1070"/>
      <c r="V33" s="1070"/>
      <c r="W33" s="1070"/>
      <c r="X33" s="1070"/>
      <c r="Y33" s="1070"/>
      <c r="Z33" s="1070"/>
      <c r="AA33" s="1070"/>
      <c r="AB33" s="1070"/>
      <c r="AC33" s="1070"/>
      <c r="AD33" s="1070"/>
      <c r="AE33" s="1070"/>
      <c r="AF33" s="1070"/>
      <c r="AG33" s="1070"/>
      <c r="AH33" s="1070"/>
      <c r="AI33" s="1070"/>
      <c r="AJ33" s="1070"/>
      <c r="AK33" s="1071"/>
      <c r="AL33" s="3067"/>
    </row>
    <row r="34" spans="1:39">
      <c r="A34" s="1066" t="s">
        <v>2731</v>
      </c>
      <c r="B34" s="1069"/>
      <c r="C34" s="1070"/>
      <c r="D34" s="1070"/>
      <c r="E34" s="1070"/>
      <c r="F34" s="1070"/>
      <c r="G34" s="1070"/>
      <c r="H34" s="1080"/>
      <c r="I34" s="1055"/>
      <c r="J34" s="1055"/>
      <c r="K34" s="1055"/>
      <c r="L34" s="1070"/>
      <c r="M34" s="1070"/>
      <c r="N34" s="1070"/>
      <c r="O34" s="1070"/>
      <c r="P34" s="1070"/>
      <c r="Q34" s="1078"/>
      <c r="R34" s="1078"/>
      <c r="S34" s="1078"/>
      <c r="T34" s="1069"/>
      <c r="U34" s="1070"/>
      <c r="V34" s="1070"/>
      <c r="W34" s="1078"/>
      <c r="X34" s="1078"/>
      <c r="Y34" s="1078"/>
      <c r="Z34" s="1070"/>
      <c r="AA34" s="1070"/>
      <c r="AB34" s="1070"/>
      <c r="AC34" s="1070"/>
      <c r="AD34" s="1070"/>
      <c r="AE34" s="1070"/>
      <c r="AF34" s="1070"/>
      <c r="AG34" s="1070"/>
      <c r="AH34" s="1070"/>
      <c r="AI34" s="1070"/>
      <c r="AJ34" s="1070"/>
      <c r="AK34" s="1071"/>
      <c r="AL34" s="3067"/>
    </row>
    <row r="35" spans="1:39">
      <c r="A35" s="1066" t="s">
        <v>2732</v>
      </c>
      <c r="B35" s="1069"/>
      <c r="C35" s="1070"/>
      <c r="D35" s="1070"/>
      <c r="E35" s="1070"/>
      <c r="F35" s="1070"/>
      <c r="G35" s="1070"/>
      <c r="H35" s="1081"/>
      <c r="I35" s="1070"/>
      <c r="J35" s="1070"/>
      <c r="K35" s="1070"/>
      <c r="L35" s="1055"/>
      <c r="M35" s="1055"/>
      <c r="N35" s="1055"/>
      <c r="O35" s="1055"/>
      <c r="P35" s="1070"/>
      <c r="Q35" s="1078"/>
      <c r="R35" s="1078"/>
      <c r="S35" s="1078"/>
      <c r="T35" s="1069"/>
      <c r="U35" s="1070"/>
      <c r="V35" s="1070"/>
      <c r="W35" s="1078"/>
      <c r="X35" s="1078"/>
      <c r="Y35" s="1078"/>
      <c r="Z35" s="1070"/>
      <c r="AA35" s="1070"/>
      <c r="AB35" s="1070"/>
      <c r="AC35" s="1070"/>
      <c r="AD35" s="1070"/>
      <c r="AE35" s="1070"/>
      <c r="AF35" s="1070"/>
      <c r="AG35" s="1070"/>
      <c r="AH35" s="1070"/>
      <c r="AI35" s="1070"/>
      <c r="AJ35" s="1070"/>
      <c r="AK35" s="1071"/>
      <c r="AL35" s="3067"/>
    </row>
    <row r="36" spans="1:39">
      <c r="A36" s="1066" t="s">
        <v>2733</v>
      </c>
      <c r="B36" s="1069"/>
      <c r="C36" s="1070"/>
      <c r="D36" s="1070"/>
      <c r="E36" s="1070"/>
      <c r="F36" s="1070"/>
      <c r="G36" s="1070"/>
      <c r="H36" s="1081"/>
      <c r="I36" s="1070"/>
      <c r="J36" s="1070"/>
      <c r="K36" s="1070"/>
      <c r="L36" s="1070"/>
      <c r="M36" s="1070"/>
      <c r="N36" s="1070"/>
      <c r="O36" s="1070"/>
      <c r="P36" s="1055"/>
      <c r="Q36" s="1055"/>
      <c r="R36" s="1055"/>
      <c r="S36" s="1055"/>
      <c r="T36" s="1069"/>
      <c r="U36" s="1070"/>
      <c r="V36" s="1070"/>
      <c r="W36" s="1070"/>
      <c r="X36" s="1070"/>
      <c r="Y36" s="1070"/>
      <c r="Z36" s="1070"/>
      <c r="AA36" s="1070"/>
      <c r="AB36" s="1070"/>
      <c r="AC36" s="1070"/>
      <c r="AD36" s="1070"/>
      <c r="AE36" s="1070"/>
      <c r="AF36" s="1070"/>
      <c r="AG36" s="1070"/>
      <c r="AH36" s="1070"/>
      <c r="AI36" s="1070"/>
      <c r="AJ36" s="1070"/>
      <c r="AK36" s="1071"/>
      <c r="AL36" s="3068"/>
    </row>
    <row r="37" spans="1:39">
      <c r="A37" s="1079" t="s">
        <v>2734</v>
      </c>
      <c r="B37" s="1067"/>
      <c r="C37" s="1055"/>
      <c r="D37" s="1055"/>
      <c r="E37" s="1055"/>
      <c r="F37" s="1055"/>
      <c r="G37" s="1055"/>
      <c r="H37" s="1070"/>
      <c r="I37" s="1070"/>
      <c r="J37" s="1070"/>
      <c r="K37" s="1070"/>
      <c r="L37" s="1070"/>
      <c r="M37" s="1070"/>
      <c r="N37" s="1070"/>
      <c r="O37" s="1070"/>
      <c r="P37" s="1070"/>
      <c r="Q37" s="1070"/>
      <c r="R37" s="1070"/>
      <c r="S37" s="1071"/>
      <c r="T37" s="1069"/>
      <c r="U37" s="1070"/>
      <c r="V37" s="1070"/>
      <c r="W37" s="1070"/>
      <c r="X37" s="1070"/>
      <c r="Y37" s="1070"/>
      <c r="Z37" s="1070"/>
      <c r="AA37" s="1070"/>
      <c r="AB37" s="1070"/>
      <c r="AC37" s="1070"/>
      <c r="AD37" s="1070"/>
      <c r="AE37" s="1070"/>
      <c r="AF37" s="1070"/>
      <c r="AG37" s="1070"/>
      <c r="AH37" s="1070"/>
      <c r="AI37" s="1070"/>
      <c r="AJ37" s="1070"/>
      <c r="AK37" s="1071"/>
      <c r="AL37" s="3066">
        <v>0.25</v>
      </c>
    </row>
    <row r="38" spans="1:39">
      <c r="A38" s="1079" t="s">
        <v>2735</v>
      </c>
      <c r="B38" s="1069"/>
      <c r="C38" s="1070"/>
      <c r="D38" s="1070"/>
      <c r="E38" s="1070"/>
      <c r="F38" s="1070"/>
      <c r="G38" s="1070"/>
      <c r="H38" s="1055"/>
      <c r="I38" s="1055"/>
      <c r="J38" s="1055"/>
      <c r="K38" s="1055"/>
      <c r="L38" s="1055"/>
      <c r="M38" s="1055"/>
      <c r="N38" s="1070"/>
      <c r="O38" s="1070"/>
      <c r="P38" s="1070"/>
      <c r="Q38" s="1070"/>
      <c r="R38" s="1070"/>
      <c r="S38" s="1071"/>
      <c r="T38" s="1069"/>
      <c r="U38" s="1070"/>
      <c r="V38" s="1070"/>
      <c r="W38" s="1070"/>
      <c r="X38" s="1070"/>
      <c r="Y38" s="1070"/>
      <c r="Z38" s="1070"/>
      <c r="AA38" s="1070"/>
      <c r="AB38" s="1070"/>
      <c r="AC38" s="1070"/>
      <c r="AD38" s="1070"/>
      <c r="AE38" s="1070"/>
      <c r="AF38" s="1070"/>
      <c r="AG38" s="1070"/>
      <c r="AH38" s="1070"/>
      <c r="AI38" s="1070"/>
      <c r="AJ38" s="1070"/>
      <c r="AK38" s="1071"/>
      <c r="AL38" s="3067"/>
    </row>
    <row r="39" spans="1:39">
      <c r="A39" s="1079" t="s">
        <v>2736</v>
      </c>
      <c r="B39" s="1069"/>
      <c r="C39" s="1070"/>
      <c r="D39" s="1070"/>
      <c r="E39" s="1070"/>
      <c r="F39" s="1070"/>
      <c r="G39" s="1070"/>
      <c r="H39" s="1070"/>
      <c r="I39" s="1070"/>
      <c r="J39" s="1070"/>
      <c r="K39" s="1070"/>
      <c r="L39" s="1070"/>
      <c r="M39" s="1070"/>
      <c r="N39" s="1055"/>
      <c r="O39" s="1055"/>
      <c r="P39" s="1055"/>
      <c r="Q39" s="1055"/>
      <c r="R39" s="1055"/>
      <c r="S39" s="1068"/>
      <c r="T39" s="1069"/>
      <c r="U39" s="1070"/>
      <c r="V39" s="1070"/>
      <c r="W39" s="1070"/>
      <c r="X39" s="1070"/>
      <c r="Y39" s="1070"/>
      <c r="Z39" s="1070"/>
      <c r="AA39" s="1070"/>
      <c r="AB39" s="1070"/>
      <c r="AC39" s="1070"/>
      <c r="AD39" s="1070"/>
      <c r="AE39" s="1070"/>
      <c r="AF39" s="1070"/>
      <c r="AG39" s="1070"/>
      <c r="AH39" s="1070"/>
      <c r="AI39" s="1070"/>
      <c r="AJ39" s="1070"/>
      <c r="AK39" s="1071"/>
      <c r="AL39" s="3068"/>
    </row>
    <row r="40" spans="1:39">
      <c r="A40" s="1066" t="s">
        <v>2737</v>
      </c>
      <c r="B40" s="1069"/>
      <c r="C40" s="1070"/>
      <c r="D40" s="1070"/>
      <c r="E40" s="1070"/>
      <c r="F40" s="1070"/>
      <c r="G40" s="1070"/>
      <c r="H40" s="1070"/>
      <c r="I40" s="1070"/>
      <c r="J40" s="1070"/>
      <c r="K40" s="1070"/>
      <c r="L40" s="1070"/>
      <c r="M40" s="1070"/>
      <c r="N40" s="1070"/>
      <c r="O40" s="1070"/>
      <c r="P40" s="1070"/>
      <c r="Q40" s="1070"/>
      <c r="R40" s="1070"/>
      <c r="S40" s="1071"/>
      <c r="T40" s="1069"/>
      <c r="U40" s="1070"/>
      <c r="V40" s="1070"/>
      <c r="W40" s="1070"/>
      <c r="X40" s="1070"/>
      <c r="Y40" s="1070"/>
      <c r="Z40" s="1070"/>
      <c r="AA40" s="1070"/>
      <c r="AB40" s="1070"/>
      <c r="AC40" s="1070"/>
      <c r="AD40" s="1070"/>
      <c r="AE40" s="1070"/>
      <c r="AF40" s="1070"/>
      <c r="AG40" s="1070"/>
      <c r="AH40" s="1070"/>
      <c r="AI40" s="1070"/>
      <c r="AJ40" s="1070"/>
      <c r="AK40" s="1071"/>
      <c r="AL40" s="1065"/>
      <c r="AM40" s="3069">
        <v>0.25</v>
      </c>
    </row>
    <row r="41" spans="1:39">
      <c r="A41" s="1066" t="s">
        <v>2738</v>
      </c>
      <c r="B41" s="1069"/>
      <c r="C41" s="1070"/>
      <c r="D41" s="1070"/>
      <c r="E41" s="1070"/>
      <c r="F41" s="1070"/>
      <c r="G41" s="1070"/>
      <c r="H41" s="1070"/>
      <c r="I41" s="1070"/>
      <c r="J41" s="1070"/>
      <c r="K41" s="1070"/>
      <c r="L41" s="1070"/>
      <c r="M41" s="1070"/>
      <c r="N41" s="1070"/>
      <c r="O41" s="1070"/>
      <c r="P41" s="1070"/>
      <c r="Q41" s="1070"/>
      <c r="R41" s="1070"/>
      <c r="S41" s="1071"/>
      <c r="T41" s="1072"/>
      <c r="U41" s="1056"/>
      <c r="V41" s="1056"/>
      <c r="W41" s="1070"/>
      <c r="X41" s="1070"/>
      <c r="Y41" s="1070"/>
      <c r="Z41" s="1070"/>
      <c r="AA41" s="1070"/>
      <c r="AB41" s="1070"/>
      <c r="AC41" s="1070"/>
      <c r="AD41" s="1070"/>
      <c r="AE41" s="1070"/>
      <c r="AF41" s="1070"/>
      <c r="AG41" s="1070"/>
      <c r="AH41" s="1070"/>
      <c r="AI41" s="1070"/>
      <c r="AJ41" s="1070"/>
      <c r="AK41" s="1071"/>
      <c r="AL41" s="1065"/>
      <c r="AM41" s="3070"/>
    </row>
    <row r="42" spans="1:39">
      <c r="A42" s="1066" t="s">
        <v>2739</v>
      </c>
      <c r="B42" s="1069"/>
      <c r="C42" s="1070"/>
      <c r="D42" s="1070"/>
      <c r="E42" s="1070"/>
      <c r="F42" s="1070"/>
      <c r="G42" s="1070"/>
      <c r="H42" s="1070"/>
      <c r="I42" s="1070"/>
      <c r="J42" s="1070"/>
      <c r="K42" s="1070"/>
      <c r="L42" s="1070"/>
      <c r="M42" s="1070"/>
      <c r="N42" s="1070"/>
      <c r="O42" s="1070"/>
      <c r="P42" s="1070"/>
      <c r="Q42" s="1070"/>
      <c r="R42" s="1070"/>
      <c r="S42" s="1071"/>
      <c r="T42" s="1069"/>
      <c r="U42" s="1070"/>
      <c r="V42" s="1070"/>
      <c r="W42" s="1056"/>
      <c r="X42" s="1056"/>
      <c r="Y42" s="1056"/>
      <c r="Z42" s="1070"/>
      <c r="AA42" s="1070"/>
      <c r="AB42" s="1070"/>
      <c r="AC42" s="1070"/>
      <c r="AD42" s="1070"/>
      <c r="AE42" s="1070"/>
      <c r="AF42" s="1070"/>
      <c r="AG42" s="1070"/>
      <c r="AH42" s="1070"/>
      <c r="AI42" s="1070"/>
      <c r="AJ42" s="1070"/>
      <c r="AK42" s="1071"/>
      <c r="AL42" s="1065"/>
      <c r="AM42" s="3070"/>
    </row>
    <row r="43" spans="1:39">
      <c r="A43" s="1066" t="s">
        <v>2740</v>
      </c>
      <c r="B43" s="1069"/>
      <c r="C43" s="1070"/>
      <c r="D43" s="1070"/>
      <c r="E43" s="1070"/>
      <c r="F43" s="1070"/>
      <c r="G43" s="1070"/>
      <c r="H43" s="1070"/>
      <c r="I43" s="1070"/>
      <c r="J43" s="1070"/>
      <c r="K43" s="1070"/>
      <c r="L43" s="1070"/>
      <c r="M43" s="1070"/>
      <c r="N43" s="1070"/>
      <c r="O43" s="1070"/>
      <c r="P43" s="1070"/>
      <c r="Q43" s="1070"/>
      <c r="R43" s="1070"/>
      <c r="S43" s="1071"/>
      <c r="T43" s="1069"/>
      <c r="U43" s="1070"/>
      <c r="V43" s="1070"/>
      <c r="W43" s="1070"/>
      <c r="X43" s="1070"/>
      <c r="Y43" s="1070"/>
      <c r="Z43" s="1056"/>
      <c r="AA43" s="1056"/>
      <c r="AB43" s="1056"/>
      <c r="AC43" s="1070"/>
      <c r="AD43" s="1070"/>
      <c r="AE43" s="1070"/>
      <c r="AF43" s="1070"/>
      <c r="AG43" s="1070"/>
      <c r="AH43" s="1070"/>
      <c r="AI43" s="1070"/>
      <c r="AJ43" s="1070"/>
      <c r="AK43" s="1071"/>
      <c r="AL43" s="1065"/>
      <c r="AM43" s="3070"/>
    </row>
    <row r="44" spans="1:39">
      <c r="A44" s="1066" t="s">
        <v>2741</v>
      </c>
      <c r="B44" s="1069"/>
      <c r="C44" s="1070"/>
      <c r="D44" s="1070"/>
      <c r="E44" s="1070"/>
      <c r="F44" s="1070"/>
      <c r="G44" s="1070"/>
      <c r="H44" s="1070"/>
      <c r="I44" s="1070"/>
      <c r="J44" s="1070"/>
      <c r="K44" s="1070"/>
      <c r="L44" s="1070"/>
      <c r="M44" s="1070"/>
      <c r="N44" s="1070"/>
      <c r="O44" s="1070"/>
      <c r="P44" s="1070"/>
      <c r="Q44" s="1070"/>
      <c r="R44" s="1070"/>
      <c r="S44" s="1071"/>
      <c r="T44" s="1069"/>
      <c r="U44" s="1070"/>
      <c r="V44" s="1070"/>
      <c r="W44" s="1070"/>
      <c r="X44" s="1070"/>
      <c r="Y44" s="1070"/>
      <c r="Z44" s="1070"/>
      <c r="AA44" s="1070"/>
      <c r="AB44" s="1070"/>
      <c r="AC44" s="1056"/>
      <c r="AD44" s="1056"/>
      <c r="AE44" s="1056"/>
      <c r="AF44" s="1070"/>
      <c r="AG44" s="1070"/>
      <c r="AH44" s="1070"/>
      <c r="AI44" s="1070"/>
      <c r="AJ44" s="1070"/>
      <c r="AK44" s="1071"/>
      <c r="AL44" s="1065"/>
      <c r="AM44" s="3070"/>
    </row>
    <row r="45" spans="1:39">
      <c r="A45" s="1066" t="s">
        <v>2742</v>
      </c>
      <c r="B45" s="1069"/>
      <c r="C45" s="1070"/>
      <c r="D45" s="1070"/>
      <c r="E45" s="1070"/>
      <c r="F45" s="1070"/>
      <c r="G45" s="1070"/>
      <c r="H45" s="1070"/>
      <c r="I45" s="1070"/>
      <c r="J45" s="1070"/>
      <c r="K45" s="1070"/>
      <c r="L45" s="1070"/>
      <c r="M45" s="1070"/>
      <c r="N45" s="1070"/>
      <c r="O45" s="1070"/>
      <c r="P45" s="1070"/>
      <c r="Q45" s="1070"/>
      <c r="R45" s="1070"/>
      <c r="S45" s="1071"/>
      <c r="T45" s="1072"/>
      <c r="U45" s="1056"/>
      <c r="V45" s="1056"/>
      <c r="W45" s="1056"/>
      <c r="X45" s="1070"/>
      <c r="Y45" s="1070"/>
      <c r="Z45" s="1070"/>
      <c r="AA45" s="1070"/>
      <c r="AB45" s="1070"/>
      <c r="AC45" s="1078"/>
      <c r="AD45" s="1078"/>
      <c r="AE45" s="1078"/>
      <c r="AF45" s="1070"/>
      <c r="AG45" s="1070"/>
      <c r="AH45" s="1070"/>
      <c r="AI45" s="1070"/>
      <c r="AJ45" s="1070"/>
      <c r="AK45" s="1071"/>
      <c r="AL45" s="1065"/>
      <c r="AM45" s="3070"/>
    </row>
    <row r="46" spans="1:39">
      <c r="A46" s="1066" t="s">
        <v>2743</v>
      </c>
      <c r="B46" s="1069"/>
      <c r="C46" s="1070"/>
      <c r="D46" s="1070"/>
      <c r="E46" s="1070"/>
      <c r="F46" s="1070"/>
      <c r="G46" s="1070"/>
      <c r="H46" s="1070"/>
      <c r="I46" s="1070"/>
      <c r="J46" s="1070"/>
      <c r="K46" s="1070"/>
      <c r="L46" s="1070"/>
      <c r="M46" s="1070"/>
      <c r="N46" s="1070"/>
      <c r="O46" s="1070"/>
      <c r="P46" s="1070"/>
      <c r="Q46" s="1070"/>
      <c r="R46" s="1070"/>
      <c r="S46" s="1071"/>
      <c r="T46" s="1069"/>
      <c r="U46" s="1070"/>
      <c r="V46" s="1070"/>
      <c r="W46" s="1070"/>
      <c r="X46" s="1056"/>
      <c r="Y46" s="1056"/>
      <c r="Z46" s="1056"/>
      <c r="AA46" s="1056"/>
      <c r="AB46" s="1070"/>
      <c r="AC46" s="1078"/>
      <c r="AD46" s="1078"/>
      <c r="AE46" s="1078"/>
      <c r="AF46" s="1070"/>
      <c r="AG46" s="1070"/>
      <c r="AH46" s="1070"/>
      <c r="AI46" s="1070"/>
      <c r="AJ46" s="1070"/>
      <c r="AK46" s="1071"/>
      <c r="AL46" s="1065"/>
      <c r="AM46" s="3070"/>
    </row>
    <row r="47" spans="1:39">
      <c r="A47" s="1066" t="s">
        <v>2744</v>
      </c>
      <c r="B47" s="1069"/>
      <c r="C47" s="1070"/>
      <c r="D47" s="1070"/>
      <c r="E47" s="1070"/>
      <c r="F47" s="1070"/>
      <c r="G47" s="1070"/>
      <c r="H47" s="1070"/>
      <c r="I47" s="1070"/>
      <c r="J47" s="1070"/>
      <c r="K47" s="1070"/>
      <c r="L47" s="1070"/>
      <c r="M47" s="1070"/>
      <c r="N47" s="1070"/>
      <c r="O47" s="1070"/>
      <c r="P47" s="1070"/>
      <c r="Q47" s="1070"/>
      <c r="R47" s="1070"/>
      <c r="S47" s="1071"/>
      <c r="T47" s="1069"/>
      <c r="U47" s="1070"/>
      <c r="V47" s="1070"/>
      <c r="W47" s="1070"/>
      <c r="X47" s="1070"/>
      <c r="Y47" s="1070"/>
      <c r="Z47" s="1070"/>
      <c r="AA47" s="1070"/>
      <c r="AB47" s="1056"/>
      <c r="AC47" s="1056"/>
      <c r="AD47" s="1056"/>
      <c r="AE47" s="1056"/>
      <c r="AF47" s="1070"/>
      <c r="AG47" s="1070"/>
      <c r="AH47" s="1070"/>
      <c r="AI47" s="1070"/>
      <c r="AJ47" s="1070"/>
      <c r="AK47" s="1071"/>
      <c r="AL47" s="1065"/>
      <c r="AM47" s="3071"/>
    </row>
    <row r="48" spans="1:39">
      <c r="A48" s="1079" t="s">
        <v>2745</v>
      </c>
      <c r="B48" s="1069"/>
      <c r="C48" s="1070"/>
      <c r="D48" s="1070"/>
      <c r="E48" s="1070"/>
      <c r="F48" s="1070"/>
      <c r="G48" s="1070"/>
      <c r="H48" s="1070"/>
      <c r="I48" s="1070"/>
      <c r="J48" s="1070"/>
      <c r="K48" s="1070"/>
      <c r="L48" s="1070"/>
      <c r="M48" s="1070"/>
      <c r="N48" s="1070"/>
      <c r="O48" s="1070"/>
      <c r="P48" s="1070"/>
      <c r="Q48" s="1070"/>
      <c r="R48" s="1070"/>
      <c r="S48" s="1071"/>
      <c r="T48" s="1072"/>
      <c r="U48" s="1056"/>
      <c r="V48" s="1056"/>
      <c r="W48" s="1056"/>
      <c r="X48" s="1056"/>
      <c r="Y48" s="1056"/>
      <c r="Z48" s="1070"/>
      <c r="AA48" s="1070"/>
      <c r="AB48" s="1070"/>
      <c r="AC48" s="1070"/>
      <c r="AD48" s="1070"/>
      <c r="AE48" s="1070"/>
      <c r="AF48" s="1070"/>
      <c r="AG48" s="1070"/>
      <c r="AH48" s="1070"/>
      <c r="AI48" s="1070"/>
      <c r="AJ48" s="1070"/>
      <c r="AK48" s="1071"/>
      <c r="AL48" s="1065"/>
      <c r="AM48" s="3069">
        <v>0.25</v>
      </c>
    </row>
    <row r="49" spans="1:39">
      <c r="A49" s="1079" t="s">
        <v>2746</v>
      </c>
      <c r="B49" s="1069"/>
      <c r="C49" s="1070"/>
      <c r="D49" s="1070"/>
      <c r="E49" s="1070"/>
      <c r="F49" s="1070"/>
      <c r="G49" s="1070"/>
      <c r="H49" s="1070"/>
      <c r="I49" s="1070"/>
      <c r="J49" s="1070"/>
      <c r="K49" s="1070"/>
      <c r="L49" s="1070"/>
      <c r="M49" s="1070"/>
      <c r="N49" s="1070"/>
      <c r="O49" s="1070"/>
      <c r="P49" s="1070"/>
      <c r="Q49" s="1070"/>
      <c r="R49" s="1070"/>
      <c r="S49" s="1071"/>
      <c r="T49" s="1069"/>
      <c r="U49" s="1070"/>
      <c r="V49" s="1070"/>
      <c r="W49" s="1070"/>
      <c r="X49" s="1070"/>
      <c r="Y49" s="1070"/>
      <c r="Z49" s="1056"/>
      <c r="AA49" s="1056"/>
      <c r="AB49" s="1056"/>
      <c r="AC49" s="1056"/>
      <c r="AD49" s="1056"/>
      <c r="AE49" s="1056"/>
      <c r="AF49" s="1070"/>
      <c r="AG49" s="1070"/>
      <c r="AH49" s="1070"/>
      <c r="AI49" s="1070"/>
      <c r="AJ49" s="1070"/>
      <c r="AK49" s="1071"/>
      <c r="AL49" s="1065"/>
      <c r="AM49" s="3070"/>
    </row>
    <row r="50" spans="1:39" ht="12.6" customHeight="1">
      <c r="A50" s="1079" t="s">
        <v>2747</v>
      </c>
      <c r="B50" s="1069"/>
      <c r="C50" s="1070"/>
      <c r="D50" s="1070"/>
      <c r="E50" s="1070"/>
      <c r="F50" s="1070"/>
      <c r="G50" s="1070"/>
      <c r="H50" s="1070"/>
      <c r="I50" s="1070"/>
      <c r="J50" s="1070"/>
      <c r="K50" s="1070"/>
      <c r="L50" s="1070"/>
      <c r="M50" s="1070"/>
      <c r="N50" s="1070"/>
      <c r="O50" s="1070"/>
      <c r="P50" s="1070"/>
      <c r="Q50" s="1070"/>
      <c r="R50" s="1070"/>
      <c r="S50" s="1071"/>
      <c r="T50" s="1069"/>
      <c r="U50" s="1070"/>
      <c r="V50" s="1070"/>
      <c r="W50" s="1070"/>
      <c r="X50" s="1070"/>
      <c r="Y50" s="1070"/>
      <c r="Z50" s="1070"/>
      <c r="AA50" s="1070"/>
      <c r="AB50" s="1070"/>
      <c r="AC50" s="1070"/>
      <c r="AD50" s="1070"/>
      <c r="AE50" s="1070"/>
      <c r="AF50" s="1056"/>
      <c r="AG50" s="1056"/>
      <c r="AH50" s="1056"/>
      <c r="AI50" s="1056"/>
      <c r="AJ50" s="1056"/>
      <c r="AK50" s="1073"/>
      <c r="AL50" s="1065"/>
      <c r="AM50" s="3071"/>
    </row>
    <row r="51" spans="1:39">
      <c r="A51" s="1066" t="s">
        <v>2748</v>
      </c>
      <c r="B51" s="1069"/>
      <c r="C51" s="1070"/>
      <c r="D51" s="1070"/>
      <c r="E51" s="1070"/>
      <c r="F51" s="1070"/>
      <c r="G51" s="1070"/>
      <c r="H51" s="1070"/>
      <c r="I51" s="1070"/>
      <c r="J51" s="1070"/>
      <c r="K51" s="1070"/>
      <c r="L51" s="1070"/>
      <c r="M51" s="1070"/>
      <c r="N51" s="1070"/>
      <c r="O51" s="1070"/>
      <c r="P51" s="1070"/>
      <c r="Q51" s="1070"/>
      <c r="R51" s="1070"/>
      <c r="S51" s="1071"/>
      <c r="T51" s="1069"/>
      <c r="U51" s="1070"/>
      <c r="V51" s="1070"/>
      <c r="W51" s="1070"/>
      <c r="X51" s="1070"/>
      <c r="Y51" s="1070"/>
      <c r="Z51" s="1070"/>
      <c r="AA51" s="1070"/>
      <c r="AB51" s="1070"/>
      <c r="AC51" s="1070"/>
      <c r="AD51" s="1070"/>
      <c r="AE51" s="1070"/>
      <c r="AF51" s="1070"/>
      <c r="AG51" s="1070"/>
      <c r="AH51" s="1070"/>
      <c r="AI51" s="1070"/>
      <c r="AJ51" s="1070"/>
      <c r="AK51" s="1071"/>
      <c r="AL51" s="1065"/>
      <c r="AM51" s="3069">
        <v>0.25</v>
      </c>
    </row>
    <row r="52" spans="1:39">
      <c r="A52" s="1066" t="s">
        <v>2749</v>
      </c>
      <c r="B52" s="1069"/>
      <c r="C52" s="1070"/>
      <c r="D52" s="1070"/>
      <c r="E52" s="1070"/>
      <c r="F52" s="1070"/>
      <c r="G52" s="1070"/>
      <c r="H52" s="1070"/>
      <c r="I52" s="1070"/>
      <c r="J52" s="1070"/>
      <c r="K52" s="1070"/>
      <c r="L52" s="1070"/>
      <c r="M52" s="1070"/>
      <c r="N52" s="1070"/>
      <c r="O52" s="1070"/>
      <c r="P52" s="1070"/>
      <c r="Q52" s="1070"/>
      <c r="R52" s="1070"/>
      <c r="S52" s="1071"/>
      <c r="T52" s="1069"/>
      <c r="U52" s="1070"/>
      <c r="V52" s="1070"/>
      <c r="W52" s="1070"/>
      <c r="X52" s="1070"/>
      <c r="Y52" s="1070"/>
      <c r="Z52" s="1056"/>
      <c r="AA52" s="1056"/>
      <c r="AB52" s="1056"/>
      <c r="AC52" s="1070"/>
      <c r="AD52" s="1070"/>
      <c r="AE52" s="1070"/>
      <c r="AF52" s="1070"/>
      <c r="AG52" s="1070"/>
      <c r="AH52" s="1070"/>
      <c r="AI52" s="1070"/>
      <c r="AJ52" s="1070"/>
      <c r="AK52" s="1071"/>
      <c r="AL52" s="1065"/>
      <c r="AM52" s="3070"/>
    </row>
    <row r="53" spans="1:39">
      <c r="A53" s="1066" t="s">
        <v>2750</v>
      </c>
      <c r="B53" s="1069"/>
      <c r="C53" s="1070"/>
      <c r="D53" s="1070"/>
      <c r="E53" s="1070"/>
      <c r="F53" s="1070"/>
      <c r="G53" s="1070"/>
      <c r="H53" s="1070"/>
      <c r="I53" s="1070"/>
      <c r="J53" s="1070"/>
      <c r="K53" s="1070"/>
      <c r="L53" s="1070"/>
      <c r="M53" s="1070"/>
      <c r="N53" s="1070"/>
      <c r="O53" s="1070"/>
      <c r="P53" s="1070"/>
      <c r="Q53" s="1070"/>
      <c r="R53" s="1070"/>
      <c r="S53" s="1071"/>
      <c r="T53" s="1069"/>
      <c r="U53" s="1070"/>
      <c r="V53" s="1070"/>
      <c r="W53" s="1070"/>
      <c r="X53" s="1070"/>
      <c r="Y53" s="1070"/>
      <c r="Z53" s="1070"/>
      <c r="AA53" s="1070"/>
      <c r="AB53" s="1070"/>
      <c r="AC53" s="1056"/>
      <c r="AD53" s="1056"/>
      <c r="AE53" s="1056"/>
      <c r="AF53" s="1070"/>
      <c r="AG53" s="1070"/>
      <c r="AH53" s="1070"/>
      <c r="AI53" s="1070"/>
      <c r="AJ53" s="1070"/>
      <c r="AK53" s="1071"/>
      <c r="AL53" s="1065"/>
      <c r="AM53" s="3070"/>
    </row>
    <row r="54" spans="1:39">
      <c r="A54" s="1066" t="s">
        <v>2751</v>
      </c>
      <c r="B54" s="1069"/>
      <c r="C54" s="1070"/>
      <c r="D54" s="1070"/>
      <c r="E54" s="1070"/>
      <c r="F54" s="1070"/>
      <c r="G54" s="1070"/>
      <c r="H54" s="1070"/>
      <c r="I54" s="1070"/>
      <c r="J54" s="1070"/>
      <c r="K54" s="1070"/>
      <c r="L54" s="1070"/>
      <c r="M54" s="1070"/>
      <c r="N54" s="1070"/>
      <c r="O54" s="1070"/>
      <c r="P54" s="1070"/>
      <c r="Q54" s="1070"/>
      <c r="R54" s="1070"/>
      <c r="S54" s="1071"/>
      <c r="T54" s="1069"/>
      <c r="U54" s="1070"/>
      <c r="V54" s="1070"/>
      <c r="W54" s="1070"/>
      <c r="X54" s="1070"/>
      <c r="Y54" s="1070"/>
      <c r="Z54" s="1070"/>
      <c r="AA54" s="1070"/>
      <c r="AB54" s="1070"/>
      <c r="AC54" s="1070"/>
      <c r="AD54" s="1070"/>
      <c r="AE54" s="1070"/>
      <c r="AF54" s="1056"/>
      <c r="AG54" s="1056"/>
      <c r="AH54" s="1056"/>
      <c r="AI54" s="1070"/>
      <c r="AJ54" s="1070"/>
      <c r="AK54" s="1071"/>
      <c r="AL54" s="1065"/>
      <c r="AM54" s="3070"/>
    </row>
    <row r="55" spans="1:39" ht="13.95" customHeight="1">
      <c r="A55" s="1066" t="s">
        <v>2752</v>
      </c>
      <c r="B55" s="1069"/>
      <c r="C55" s="1070"/>
      <c r="D55" s="1070"/>
      <c r="E55" s="1070"/>
      <c r="F55" s="1070"/>
      <c r="G55" s="1070"/>
      <c r="H55" s="1070"/>
      <c r="I55" s="1070"/>
      <c r="J55" s="1070"/>
      <c r="K55" s="1070"/>
      <c r="L55" s="1070"/>
      <c r="M55" s="1070"/>
      <c r="N55" s="1070"/>
      <c r="O55" s="1070"/>
      <c r="P55" s="1070"/>
      <c r="Q55" s="1070"/>
      <c r="R55" s="1070"/>
      <c r="S55" s="1071"/>
      <c r="T55" s="1069"/>
      <c r="U55" s="1070"/>
      <c r="V55" s="1070"/>
      <c r="W55" s="1070"/>
      <c r="X55" s="1070"/>
      <c r="Y55" s="1070"/>
      <c r="Z55" s="1070"/>
      <c r="AA55" s="1070"/>
      <c r="AB55" s="1070"/>
      <c r="AC55" s="1070"/>
      <c r="AD55" s="1070"/>
      <c r="AE55" s="1070"/>
      <c r="AF55" s="1070"/>
      <c r="AG55" s="1070"/>
      <c r="AH55" s="1070"/>
      <c r="AI55" s="1056"/>
      <c r="AJ55" s="1056"/>
      <c r="AK55" s="1073"/>
      <c r="AL55" s="1065"/>
      <c r="AM55" s="3070"/>
    </row>
    <row r="56" spans="1:39">
      <c r="A56" s="1066" t="s">
        <v>2753</v>
      </c>
      <c r="B56" s="1069"/>
      <c r="C56" s="1070"/>
      <c r="D56" s="1070"/>
      <c r="E56" s="1070"/>
      <c r="F56" s="1070"/>
      <c r="G56" s="1070"/>
      <c r="H56" s="1070"/>
      <c r="I56" s="1070"/>
      <c r="J56" s="1070"/>
      <c r="K56" s="1070"/>
      <c r="L56" s="1070"/>
      <c r="M56" s="1070"/>
      <c r="N56" s="1070"/>
      <c r="O56" s="1070"/>
      <c r="P56" s="1070"/>
      <c r="Q56" s="1070"/>
      <c r="R56" s="1070"/>
      <c r="S56" s="1071"/>
      <c r="T56" s="1069"/>
      <c r="U56" s="1070"/>
      <c r="V56" s="1070"/>
      <c r="W56" s="1070"/>
      <c r="X56" s="1070"/>
      <c r="Y56" s="1070"/>
      <c r="Z56" s="1056"/>
      <c r="AA56" s="1056"/>
      <c r="AB56" s="1056"/>
      <c r="AC56" s="1056"/>
      <c r="AD56" s="1070"/>
      <c r="AE56" s="1070"/>
      <c r="AF56" s="1070"/>
      <c r="AG56" s="1070"/>
      <c r="AH56" s="1070"/>
      <c r="AI56" s="1078"/>
      <c r="AJ56" s="1078"/>
      <c r="AK56" s="1071"/>
      <c r="AL56" s="1065"/>
      <c r="AM56" s="3070"/>
    </row>
    <row r="57" spans="1:39">
      <c r="A57" s="1066" t="s">
        <v>2754</v>
      </c>
      <c r="B57" s="1069"/>
      <c r="C57" s="1070"/>
      <c r="D57" s="1070"/>
      <c r="E57" s="1070"/>
      <c r="F57" s="1070"/>
      <c r="G57" s="1070"/>
      <c r="H57" s="1070"/>
      <c r="I57" s="1070"/>
      <c r="J57" s="1070"/>
      <c r="K57" s="1070"/>
      <c r="L57" s="1070"/>
      <c r="M57" s="1070"/>
      <c r="N57" s="1070"/>
      <c r="O57" s="1070"/>
      <c r="P57" s="1070"/>
      <c r="Q57" s="1070"/>
      <c r="R57" s="1070"/>
      <c r="S57" s="1071"/>
      <c r="T57" s="1069"/>
      <c r="U57" s="1070"/>
      <c r="V57" s="1070"/>
      <c r="W57" s="1070"/>
      <c r="X57" s="1070"/>
      <c r="Y57" s="1070"/>
      <c r="Z57" s="1070"/>
      <c r="AA57" s="1070"/>
      <c r="AB57" s="1070"/>
      <c r="AC57" s="1070"/>
      <c r="AD57" s="1056"/>
      <c r="AE57" s="1056"/>
      <c r="AF57" s="1056"/>
      <c r="AG57" s="1056"/>
      <c r="AH57" s="1070"/>
      <c r="AI57" s="1078"/>
      <c r="AJ57" s="1078"/>
      <c r="AK57" s="1071"/>
      <c r="AL57" s="1065"/>
      <c r="AM57" s="3070"/>
    </row>
    <row r="58" spans="1:39">
      <c r="A58" s="1066" t="s">
        <v>2755</v>
      </c>
      <c r="B58" s="1069"/>
      <c r="C58" s="1070"/>
      <c r="D58" s="1070"/>
      <c r="E58" s="1070"/>
      <c r="F58" s="1070"/>
      <c r="G58" s="1070"/>
      <c r="H58" s="1070"/>
      <c r="I58" s="1070"/>
      <c r="J58" s="1070"/>
      <c r="K58" s="1070"/>
      <c r="L58" s="1070"/>
      <c r="M58" s="1070"/>
      <c r="N58" s="1070"/>
      <c r="O58" s="1070"/>
      <c r="P58" s="1070"/>
      <c r="Q58" s="1070"/>
      <c r="R58" s="1070"/>
      <c r="S58" s="1071"/>
      <c r="T58" s="1069"/>
      <c r="U58" s="1070"/>
      <c r="V58" s="1070"/>
      <c r="W58" s="1070"/>
      <c r="X58" s="1070"/>
      <c r="Y58" s="1070"/>
      <c r="Z58" s="1070"/>
      <c r="AA58" s="1070"/>
      <c r="AB58" s="1070"/>
      <c r="AC58" s="1070"/>
      <c r="AD58" s="1070"/>
      <c r="AE58" s="1070"/>
      <c r="AF58" s="1070"/>
      <c r="AG58" s="1070"/>
      <c r="AH58" s="1056"/>
      <c r="AI58" s="1056"/>
      <c r="AJ58" s="1056"/>
      <c r="AK58" s="1073"/>
      <c r="AL58" s="1065"/>
      <c r="AM58" s="3071"/>
    </row>
    <row r="59" spans="1:39">
      <c r="A59" s="1079" t="s">
        <v>2756</v>
      </c>
      <c r="B59" s="1069"/>
      <c r="C59" s="1070"/>
      <c r="D59" s="1070"/>
      <c r="E59" s="1070"/>
      <c r="F59" s="1070"/>
      <c r="G59" s="1070"/>
      <c r="H59" s="1070"/>
      <c r="I59" s="1070"/>
      <c r="J59" s="1070"/>
      <c r="K59" s="1070"/>
      <c r="L59" s="1070"/>
      <c r="M59" s="1070"/>
      <c r="N59" s="1070"/>
      <c r="O59" s="1070"/>
      <c r="P59" s="1070"/>
      <c r="Q59" s="1070"/>
      <c r="R59" s="1070"/>
      <c r="S59" s="1071"/>
      <c r="T59" s="1072"/>
      <c r="U59" s="1056"/>
      <c r="V59" s="1056"/>
      <c r="W59" s="1056"/>
      <c r="X59" s="1056"/>
      <c r="Y59" s="1056"/>
      <c r="Z59" s="1070"/>
      <c r="AA59" s="1070"/>
      <c r="AB59" s="1070"/>
      <c r="AC59" s="1070"/>
      <c r="AD59" s="1070"/>
      <c r="AE59" s="1070"/>
      <c r="AF59" s="1070"/>
      <c r="AG59" s="1070"/>
      <c r="AH59" s="1070"/>
      <c r="AI59" s="1070"/>
      <c r="AJ59" s="1070"/>
      <c r="AK59" s="1071"/>
      <c r="AL59" s="1065"/>
      <c r="AM59" s="3069">
        <v>0.25</v>
      </c>
    </row>
    <row r="60" spans="1:39">
      <c r="A60" s="1079" t="s">
        <v>2757</v>
      </c>
      <c r="B60" s="1069"/>
      <c r="C60" s="1070"/>
      <c r="D60" s="1070"/>
      <c r="E60" s="1070"/>
      <c r="F60" s="1070"/>
      <c r="G60" s="1070"/>
      <c r="H60" s="1070"/>
      <c r="I60" s="1070"/>
      <c r="J60" s="1070"/>
      <c r="K60" s="1070"/>
      <c r="L60" s="1070"/>
      <c r="M60" s="1070"/>
      <c r="N60" s="1070"/>
      <c r="O60" s="1070"/>
      <c r="P60" s="1070"/>
      <c r="Q60" s="1070"/>
      <c r="R60" s="1070"/>
      <c r="S60" s="1071"/>
      <c r="T60" s="1069"/>
      <c r="U60" s="1070"/>
      <c r="V60" s="1070"/>
      <c r="W60" s="1070"/>
      <c r="X60" s="1070"/>
      <c r="Y60" s="1070"/>
      <c r="Z60" s="1056"/>
      <c r="AA60" s="1056"/>
      <c r="AB60" s="1056"/>
      <c r="AC60" s="1056"/>
      <c r="AD60" s="1056"/>
      <c r="AE60" s="1056"/>
      <c r="AF60" s="1070"/>
      <c r="AG60" s="1070"/>
      <c r="AH60" s="1070"/>
      <c r="AI60" s="1070"/>
      <c r="AJ60" s="1070"/>
      <c r="AK60" s="1071"/>
      <c r="AL60" s="1065"/>
      <c r="AM60" s="3070"/>
    </row>
    <row r="61" spans="1:39">
      <c r="A61" s="1079" t="s">
        <v>2758</v>
      </c>
      <c r="B61" s="1069"/>
      <c r="C61" s="1070"/>
      <c r="D61" s="1070"/>
      <c r="E61" s="1070"/>
      <c r="F61" s="1070"/>
      <c r="G61" s="1070"/>
      <c r="H61" s="1070"/>
      <c r="I61" s="1070"/>
      <c r="J61" s="1070"/>
      <c r="K61" s="1070"/>
      <c r="L61" s="1070"/>
      <c r="M61" s="1070"/>
      <c r="N61" s="1070"/>
      <c r="O61" s="1070"/>
      <c r="P61" s="1070"/>
      <c r="Q61" s="1070"/>
      <c r="R61" s="1070"/>
      <c r="S61" s="1071"/>
      <c r="T61" s="1069"/>
      <c r="U61" s="1070"/>
      <c r="V61" s="1070"/>
      <c r="W61" s="1070"/>
      <c r="X61" s="1070"/>
      <c r="Y61" s="1070"/>
      <c r="Z61" s="1070"/>
      <c r="AA61" s="1070"/>
      <c r="AB61" s="1070"/>
      <c r="AC61" s="1070"/>
      <c r="AD61" s="1070"/>
      <c r="AE61" s="1070"/>
      <c r="AF61" s="1056"/>
      <c r="AG61" s="1056"/>
      <c r="AH61" s="1056"/>
      <c r="AI61" s="1056"/>
      <c r="AJ61" s="1056"/>
      <c r="AK61" s="1073"/>
      <c r="AL61" s="1065"/>
      <c r="AM61" s="3071"/>
    </row>
    <row r="62" spans="1:39">
      <c r="A62" s="1066" t="s">
        <v>2759</v>
      </c>
      <c r="B62" s="1069"/>
      <c r="C62" s="1070"/>
      <c r="D62" s="1070"/>
      <c r="E62" s="1055"/>
      <c r="F62" s="1055"/>
      <c r="G62" s="1055"/>
      <c r="H62" s="1055"/>
      <c r="I62" s="1055"/>
      <c r="J62" s="1055"/>
      <c r="K62" s="1055"/>
      <c r="L62" s="1055"/>
      <c r="M62" s="1055"/>
      <c r="N62" s="1055"/>
      <c r="O62" s="1055"/>
      <c r="P62" s="1055"/>
      <c r="Q62" s="1070"/>
      <c r="R62" s="1070"/>
      <c r="S62" s="1071"/>
      <c r="T62" s="1069"/>
      <c r="U62" s="1070"/>
      <c r="V62" s="1070"/>
      <c r="W62" s="1070"/>
      <c r="X62" s="1070"/>
      <c r="Y62" s="1070"/>
      <c r="Z62" s="1070"/>
      <c r="AA62" s="1070"/>
      <c r="AB62" s="1070"/>
      <c r="AC62" s="1070"/>
      <c r="AD62" s="1070"/>
      <c r="AE62" s="1070"/>
      <c r="AF62" s="1070"/>
      <c r="AG62" s="1070"/>
      <c r="AH62" s="1070"/>
      <c r="AI62" s="1070"/>
      <c r="AJ62" s="1070"/>
      <c r="AK62" s="1074"/>
      <c r="AL62" s="1075">
        <v>1</v>
      </c>
    </row>
    <row r="63" spans="1:39">
      <c r="A63" s="1066" t="s">
        <v>2760</v>
      </c>
      <c r="B63" s="1067"/>
      <c r="C63" s="1055"/>
      <c r="D63" s="1055"/>
      <c r="E63" s="1055"/>
      <c r="F63" s="1055"/>
      <c r="G63" s="1055"/>
      <c r="H63" s="1055"/>
      <c r="I63" s="1055"/>
      <c r="J63" s="1055"/>
      <c r="K63" s="1055"/>
      <c r="L63" s="1055"/>
      <c r="M63" s="1055"/>
      <c r="N63" s="1070"/>
      <c r="O63" s="1070"/>
      <c r="P63" s="1070"/>
      <c r="Q63" s="1070"/>
      <c r="R63" s="1070"/>
      <c r="S63" s="1071"/>
      <c r="T63" s="1069"/>
      <c r="U63" s="1070"/>
      <c r="V63" s="1070"/>
      <c r="W63" s="1070"/>
      <c r="X63" s="1070"/>
      <c r="Y63" s="1070"/>
      <c r="Z63" s="1070"/>
      <c r="AA63" s="1070"/>
      <c r="AB63" s="1070"/>
      <c r="AC63" s="1070"/>
      <c r="AD63" s="1070"/>
      <c r="AE63" s="1070"/>
      <c r="AF63" s="1070"/>
      <c r="AG63" s="1070"/>
      <c r="AH63" s="1070"/>
      <c r="AI63" s="1070"/>
      <c r="AJ63" s="1070"/>
      <c r="AK63" s="1071"/>
      <c r="AL63" s="1075">
        <v>1</v>
      </c>
    </row>
    <row r="64" spans="1:39">
      <c r="A64" s="1066" t="s">
        <v>2761</v>
      </c>
      <c r="B64" s="1069"/>
      <c r="C64" s="1070"/>
      <c r="D64" s="1070"/>
      <c r="E64" s="1070"/>
      <c r="F64" s="1070"/>
      <c r="G64" s="1070"/>
      <c r="H64" s="1070"/>
      <c r="I64" s="1070"/>
      <c r="J64" s="1070"/>
      <c r="K64" s="1070"/>
      <c r="L64" s="1070"/>
      <c r="M64" s="1070"/>
      <c r="N64" s="1070"/>
      <c r="O64" s="1070"/>
      <c r="P64" s="1070"/>
      <c r="Q64" s="1070"/>
      <c r="R64" s="1070"/>
      <c r="S64" s="1071"/>
      <c r="T64" s="1072"/>
      <c r="U64" s="1056"/>
      <c r="V64" s="1070"/>
      <c r="W64" s="1070"/>
      <c r="X64" s="1070"/>
      <c r="Y64" s="1070"/>
      <c r="Z64" s="1070"/>
      <c r="AA64" s="1070"/>
      <c r="AB64" s="1070"/>
      <c r="AC64" s="1070"/>
      <c r="AD64" s="1070"/>
      <c r="AE64" s="1070"/>
      <c r="AF64" s="1070"/>
      <c r="AG64" s="1070"/>
      <c r="AH64" s="1070"/>
      <c r="AI64" s="1070"/>
      <c r="AJ64" s="1070"/>
      <c r="AK64" s="1071"/>
      <c r="AL64" s="1065"/>
      <c r="AM64" s="1075">
        <v>1</v>
      </c>
    </row>
    <row r="65" spans="1:39">
      <c r="A65" s="1082" t="s">
        <v>2762</v>
      </c>
      <c r="B65" s="1069"/>
      <c r="C65" s="1070"/>
      <c r="D65" s="1070"/>
      <c r="E65" s="1070"/>
      <c r="F65" s="1070"/>
      <c r="G65" s="1070"/>
      <c r="H65" s="1070"/>
      <c r="I65" s="1070"/>
      <c r="J65" s="1070"/>
      <c r="K65" s="1070"/>
      <c r="L65" s="1070"/>
      <c r="M65" s="1070"/>
      <c r="N65" s="1070"/>
      <c r="O65" s="1070"/>
      <c r="P65" s="1070"/>
      <c r="Q65" s="1070"/>
      <c r="R65" s="1070"/>
      <c r="S65" s="1071"/>
      <c r="T65" s="1072"/>
      <c r="U65" s="1056"/>
      <c r="V65" s="1056"/>
      <c r="W65" s="1056"/>
      <c r="X65" s="1056"/>
      <c r="Y65" s="1056"/>
      <c r="Z65" s="1056"/>
      <c r="AA65" s="1056"/>
      <c r="AB65" s="1056"/>
      <c r="AC65" s="1056"/>
      <c r="AD65" s="1056"/>
      <c r="AE65" s="1056"/>
      <c r="AF65" s="1070"/>
      <c r="AG65" s="1070"/>
      <c r="AH65" s="1070"/>
      <c r="AI65" s="1070"/>
      <c r="AJ65" s="1070"/>
      <c r="AK65" s="1071"/>
      <c r="AL65" s="1065"/>
      <c r="AM65" s="1075">
        <v>1</v>
      </c>
    </row>
    <row r="66" spans="1:39">
      <c r="A66" s="1082" t="s">
        <v>2763</v>
      </c>
      <c r="B66" s="1067"/>
      <c r="C66" s="1055"/>
      <c r="D66" s="1055"/>
      <c r="E66" s="1055"/>
      <c r="F66" s="1055"/>
      <c r="G66" s="1055"/>
      <c r="H66" s="1055"/>
      <c r="I66" s="1055"/>
      <c r="J66" s="1055"/>
      <c r="K66" s="1055"/>
      <c r="L66" s="1055"/>
      <c r="M66" s="1055"/>
      <c r="N66" s="1070"/>
      <c r="O66" s="1070"/>
      <c r="P66" s="1070"/>
      <c r="Q66" s="1070"/>
      <c r="R66" s="1070"/>
      <c r="S66" s="1071"/>
      <c r="T66" s="1069"/>
      <c r="U66" s="1070"/>
      <c r="V66" s="1070"/>
      <c r="W66" s="1070"/>
      <c r="X66" s="1070"/>
      <c r="Y66" s="1070"/>
      <c r="Z66" s="1070"/>
      <c r="AA66" s="1070"/>
      <c r="AB66" s="1070"/>
      <c r="AC66" s="1070"/>
      <c r="AD66" s="1070"/>
      <c r="AE66" s="1070"/>
      <c r="AF66" s="1070"/>
      <c r="AG66" s="1070"/>
      <c r="AH66" s="1070"/>
      <c r="AI66" s="1070"/>
      <c r="AJ66" s="1070"/>
      <c r="AK66" s="1071"/>
      <c r="AL66" s="1075">
        <v>1</v>
      </c>
    </row>
    <row r="67" spans="1:39">
      <c r="A67" s="1066" t="s">
        <v>2764</v>
      </c>
      <c r="B67" s="1069"/>
      <c r="C67" s="1070"/>
      <c r="D67" s="1070"/>
      <c r="E67" s="1070"/>
      <c r="F67" s="1070"/>
      <c r="G67" s="1070"/>
      <c r="H67" s="1070"/>
      <c r="I67" s="1070"/>
      <c r="J67" s="1070"/>
      <c r="K67" s="1070"/>
      <c r="L67" s="1070"/>
      <c r="M67" s="1070"/>
      <c r="N67" s="1070"/>
      <c r="O67" s="1070"/>
      <c r="P67" s="1070"/>
      <c r="Q67" s="1070"/>
      <c r="R67" s="1070"/>
      <c r="S67" s="1071"/>
      <c r="T67" s="1069"/>
      <c r="U67" s="1070"/>
      <c r="V67" s="1070"/>
      <c r="W67" s="1070"/>
      <c r="X67" s="1070"/>
      <c r="Y67" s="1070"/>
      <c r="Z67" s="1070"/>
      <c r="AA67" s="1070"/>
      <c r="AB67" s="1070"/>
      <c r="AC67" s="1070"/>
      <c r="AD67" s="1070"/>
      <c r="AE67" s="1070"/>
      <c r="AF67" s="1070"/>
      <c r="AG67" s="1070"/>
      <c r="AH67" s="1070"/>
      <c r="AI67" s="1070"/>
      <c r="AJ67" s="1070"/>
      <c r="AK67" s="1071"/>
      <c r="AL67" s="1065"/>
      <c r="AM67" s="3056">
        <v>1</v>
      </c>
    </row>
    <row r="68" spans="1:39">
      <c r="A68" s="1066" t="s">
        <v>2765</v>
      </c>
      <c r="B68" s="1069"/>
      <c r="C68" s="1070"/>
      <c r="D68" s="1070"/>
      <c r="E68" s="1070"/>
      <c r="F68" s="1070"/>
      <c r="G68" s="1070"/>
      <c r="H68" s="1070"/>
      <c r="I68" s="1070"/>
      <c r="J68" s="1070"/>
      <c r="K68" s="1070"/>
      <c r="L68" s="1070"/>
      <c r="M68" s="1070"/>
      <c r="N68" s="1070"/>
      <c r="O68" s="1070"/>
      <c r="P68" s="1070"/>
      <c r="Q68" s="1070"/>
      <c r="R68" s="1070"/>
      <c r="S68" s="1071"/>
      <c r="T68" s="1072"/>
      <c r="U68" s="1056"/>
      <c r="V68" s="1056"/>
      <c r="W68" s="1056"/>
      <c r="X68" s="1056"/>
      <c r="Y68" s="1056"/>
      <c r="Z68" s="1056"/>
      <c r="AA68" s="1070"/>
      <c r="AB68" s="1070"/>
      <c r="AC68" s="1070"/>
      <c r="AD68" s="1070"/>
      <c r="AE68" s="1070"/>
      <c r="AF68" s="1070"/>
      <c r="AG68" s="1070"/>
      <c r="AH68" s="1070"/>
      <c r="AI68" s="1070"/>
      <c r="AJ68" s="1070"/>
      <c r="AK68" s="1071"/>
      <c r="AL68" s="1065"/>
      <c r="AM68" s="3057"/>
    </row>
    <row r="69" spans="1:39">
      <c r="A69" s="1066" t="s">
        <v>2766</v>
      </c>
      <c r="B69" s="1069"/>
      <c r="C69" s="1070"/>
      <c r="D69" s="1070"/>
      <c r="E69" s="1070"/>
      <c r="F69" s="1070"/>
      <c r="G69" s="1070"/>
      <c r="H69" s="1070"/>
      <c r="I69" s="1070"/>
      <c r="J69" s="1070"/>
      <c r="K69" s="1070"/>
      <c r="L69" s="1070"/>
      <c r="M69" s="1070"/>
      <c r="N69" s="1070"/>
      <c r="O69" s="1070"/>
      <c r="P69" s="1070"/>
      <c r="Q69" s="1070"/>
      <c r="R69" s="1070"/>
      <c r="S69" s="1071"/>
      <c r="T69" s="1072"/>
      <c r="U69" s="1056"/>
      <c r="V69" s="1056"/>
      <c r="W69" s="1056"/>
      <c r="X69" s="1056"/>
      <c r="Y69" s="1056"/>
      <c r="Z69" s="1056"/>
      <c r="AA69" s="1070"/>
      <c r="AB69" s="1070"/>
      <c r="AC69" s="1070"/>
      <c r="AD69" s="1070"/>
      <c r="AE69" s="1070"/>
      <c r="AF69" s="1070"/>
      <c r="AG69" s="1070"/>
      <c r="AH69" s="1070"/>
      <c r="AI69" s="1070"/>
      <c r="AJ69" s="1070"/>
      <c r="AK69" s="1071"/>
      <c r="AL69" s="1065"/>
      <c r="AM69" s="3057"/>
    </row>
    <row r="70" spans="1:39">
      <c r="A70" s="1066" t="s">
        <v>2767</v>
      </c>
      <c r="B70" s="1069"/>
      <c r="C70" s="1070"/>
      <c r="D70" s="1070"/>
      <c r="E70" s="1070"/>
      <c r="F70" s="1070"/>
      <c r="G70" s="1070"/>
      <c r="H70" s="1070"/>
      <c r="I70" s="1070"/>
      <c r="J70" s="1070"/>
      <c r="K70" s="1070"/>
      <c r="L70" s="1070"/>
      <c r="M70" s="1070"/>
      <c r="N70" s="1070"/>
      <c r="O70" s="1070"/>
      <c r="P70" s="1070"/>
      <c r="Q70" s="1070"/>
      <c r="R70" s="1070"/>
      <c r="S70" s="1071"/>
      <c r="T70" s="1069"/>
      <c r="U70" s="1070"/>
      <c r="V70" s="1070"/>
      <c r="W70" s="1070"/>
      <c r="X70" s="1070"/>
      <c r="Y70" s="1070"/>
      <c r="Z70" s="1070"/>
      <c r="AA70" s="1056"/>
      <c r="AB70" s="1056"/>
      <c r="AC70" s="1056"/>
      <c r="AD70" s="1056"/>
      <c r="AE70" s="1056"/>
      <c r="AF70" s="1056"/>
      <c r="AG70" s="1070"/>
      <c r="AH70" s="1070"/>
      <c r="AI70" s="1070"/>
      <c r="AJ70" s="1070"/>
      <c r="AK70" s="1071"/>
      <c r="AL70" s="1065"/>
      <c r="AM70" s="3057"/>
    </row>
    <row r="71" spans="1:39">
      <c r="A71" s="1066" t="s">
        <v>2768</v>
      </c>
      <c r="B71" s="1069"/>
      <c r="C71" s="1070"/>
      <c r="D71" s="1070"/>
      <c r="E71" s="1070"/>
      <c r="F71" s="1070"/>
      <c r="G71" s="1070"/>
      <c r="H71" s="1070"/>
      <c r="I71" s="1070"/>
      <c r="J71" s="1070"/>
      <c r="K71" s="1070"/>
      <c r="L71" s="1070"/>
      <c r="M71" s="1070"/>
      <c r="N71" s="1070"/>
      <c r="O71" s="1070"/>
      <c r="P71" s="1070"/>
      <c r="Q71" s="1070"/>
      <c r="R71" s="1070"/>
      <c r="S71" s="1071"/>
      <c r="T71" s="1069"/>
      <c r="U71" s="1070"/>
      <c r="V71" s="1070"/>
      <c r="W71" s="1070"/>
      <c r="X71" s="1070"/>
      <c r="Y71" s="1070"/>
      <c r="Z71" s="1070"/>
      <c r="AA71" s="1056"/>
      <c r="AB71" s="1056"/>
      <c r="AC71" s="1056"/>
      <c r="AD71" s="1056"/>
      <c r="AE71" s="1056"/>
      <c r="AF71" s="1056"/>
      <c r="AG71" s="1070"/>
      <c r="AH71" s="1070"/>
      <c r="AI71" s="1070"/>
      <c r="AJ71" s="1070"/>
      <c r="AK71" s="1071"/>
      <c r="AL71" s="1065"/>
      <c r="AM71" s="3057"/>
    </row>
    <row r="72" spans="1:39">
      <c r="A72" s="1082" t="s">
        <v>2769</v>
      </c>
      <c r="B72" s="1069"/>
      <c r="C72" s="1070"/>
      <c r="D72" s="1070"/>
      <c r="E72" s="1070"/>
      <c r="F72" s="1070"/>
      <c r="G72" s="1070"/>
      <c r="H72" s="1055"/>
      <c r="I72" s="1055"/>
      <c r="J72" s="1055"/>
      <c r="K72" s="1070"/>
      <c r="L72" s="1070"/>
      <c r="M72" s="1070"/>
      <c r="N72" s="1070"/>
      <c r="O72" s="1070"/>
      <c r="P72" s="1070"/>
      <c r="Q72" s="1070"/>
      <c r="R72" s="1070"/>
      <c r="S72" s="1071"/>
      <c r="T72" s="1069"/>
      <c r="U72" s="1070"/>
      <c r="V72" s="1070"/>
      <c r="W72" s="1070"/>
      <c r="X72" s="1070"/>
      <c r="Y72" s="1070"/>
      <c r="Z72" s="1070"/>
      <c r="AA72" s="1070"/>
      <c r="AB72" s="1070"/>
      <c r="AC72" s="1070"/>
      <c r="AD72" s="1070"/>
      <c r="AE72" s="1070"/>
      <c r="AF72" s="1070"/>
      <c r="AG72" s="1070"/>
      <c r="AH72" s="1070"/>
      <c r="AI72" s="1070"/>
      <c r="AJ72" s="1070"/>
      <c r="AK72" s="1074"/>
      <c r="AL72" s="1077">
        <v>1</v>
      </c>
    </row>
    <row r="73" spans="1:39">
      <c r="A73" s="1082" t="s">
        <v>2770</v>
      </c>
      <c r="B73" s="1069"/>
      <c r="C73" s="1070"/>
      <c r="D73" s="1070"/>
      <c r="E73" s="1070"/>
      <c r="F73" s="1070"/>
      <c r="G73" s="1070"/>
      <c r="H73" s="1070"/>
      <c r="I73" s="1070"/>
      <c r="J73" s="1070"/>
      <c r="K73" s="1070"/>
      <c r="L73" s="1070"/>
      <c r="M73" s="1070"/>
      <c r="N73" s="1070"/>
      <c r="O73" s="1070"/>
      <c r="P73" s="1070"/>
      <c r="Q73" s="1070"/>
      <c r="R73" s="1070"/>
      <c r="S73" s="1071"/>
      <c r="T73" s="1069"/>
      <c r="U73" s="1070"/>
      <c r="V73" s="1070"/>
      <c r="W73" s="1070"/>
      <c r="X73" s="1070"/>
      <c r="Y73" s="1070"/>
      <c r="Z73" s="1070"/>
      <c r="AA73" s="1070"/>
      <c r="AB73" s="1070"/>
      <c r="AC73" s="1070"/>
      <c r="AD73" s="1070"/>
      <c r="AE73" s="1070"/>
      <c r="AF73" s="1056"/>
      <c r="AG73" s="1056"/>
      <c r="AH73" s="1056"/>
      <c r="AI73" s="1056"/>
      <c r="AJ73" s="1056"/>
      <c r="AK73" s="1073"/>
      <c r="AL73" s="1065"/>
      <c r="AM73" s="1077">
        <v>1</v>
      </c>
    </row>
    <row r="74" spans="1:39">
      <c r="A74" s="1082" t="s">
        <v>2771</v>
      </c>
      <c r="B74" s="1067"/>
      <c r="C74" s="1055"/>
      <c r="D74" s="1055"/>
      <c r="E74" s="1055"/>
      <c r="F74" s="1055"/>
      <c r="G74" s="1055"/>
      <c r="H74" s="1055"/>
      <c r="I74" s="1055"/>
      <c r="J74" s="1055"/>
      <c r="K74" s="1055"/>
      <c r="L74" s="1055"/>
      <c r="M74" s="1055"/>
      <c r="N74" s="1070"/>
      <c r="O74" s="1070"/>
      <c r="P74" s="1070"/>
      <c r="Q74" s="1070"/>
      <c r="R74" s="1070"/>
      <c r="S74" s="1071"/>
      <c r="T74" s="1069"/>
      <c r="U74" s="1070"/>
      <c r="V74" s="1070"/>
      <c r="W74" s="1070"/>
      <c r="X74" s="1070"/>
      <c r="Y74" s="1070"/>
      <c r="Z74" s="1070"/>
      <c r="AA74" s="1070"/>
      <c r="AB74" s="1070"/>
      <c r="AC74" s="1070"/>
      <c r="AD74" s="1070"/>
      <c r="AE74" s="1070"/>
      <c r="AF74" s="1070"/>
      <c r="AG74" s="1070"/>
      <c r="AH74" s="1070"/>
      <c r="AI74" s="1070"/>
      <c r="AJ74" s="1070"/>
      <c r="AK74" s="1071"/>
      <c r="AL74" s="1065">
        <f>1/7</f>
        <v>0.14285714285714285</v>
      </c>
    </row>
    <row r="75" spans="1:39">
      <c r="A75" s="1066" t="s">
        <v>2772</v>
      </c>
      <c r="B75" s="1083"/>
      <c r="C75" s="1084"/>
      <c r="D75" s="1084"/>
      <c r="E75" s="1084"/>
      <c r="F75" s="1084"/>
      <c r="G75" s="1084"/>
      <c r="H75" s="1055"/>
      <c r="I75" s="1055"/>
      <c r="J75" s="1055"/>
      <c r="K75" s="1055"/>
      <c r="L75" s="1055"/>
      <c r="M75" s="1055"/>
      <c r="N75" s="1055"/>
      <c r="O75" s="1055"/>
      <c r="P75" s="1055"/>
      <c r="Q75" s="1055"/>
      <c r="R75" s="1055"/>
      <c r="S75" s="1055"/>
      <c r="T75" s="1069"/>
      <c r="U75" s="1070"/>
      <c r="V75" s="1070"/>
      <c r="W75" s="1070"/>
      <c r="X75" s="1070"/>
      <c r="Y75" s="1070"/>
      <c r="Z75" s="1070"/>
      <c r="AA75" s="1070"/>
      <c r="AB75" s="1070"/>
      <c r="AC75" s="1070"/>
      <c r="AD75" s="1070"/>
      <c r="AE75" s="1070"/>
      <c r="AF75" s="1070"/>
      <c r="AG75" s="1070"/>
      <c r="AH75" s="1070"/>
      <c r="AI75" s="1070"/>
      <c r="AJ75" s="1070"/>
      <c r="AK75" s="1071"/>
      <c r="AL75" s="1065">
        <f>1/7</f>
        <v>0.14285714285714285</v>
      </c>
    </row>
    <row r="76" spans="1:39" s="1086" customFormat="1" ht="12.6" customHeight="1">
      <c r="A76" s="1066" t="s">
        <v>2773</v>
      </c>
      <c r="B76" s="1083"/>
      <c r="C76" s="1084"/>
      <c r="D76" s="1084"/>
      <c r="E76" s="1084"/>
      <c r="F76" s="1084"/>
      <c r="G76" s="1084"/>
      <c r="H76" s="1084"/>
      <c r="I76" s="1084"/>
      <c r="J76" s="1084"/>
      <c r="K76" s="1084"/>
      <c r="L76" s="1084"/>
      <c r="M76" s="1084"/>
      <c r="N76" s="1070"/>
      <c r="O76" s="1070"/>
      <c r="P76" s="1070"/>
      <c r="Q76" s="1070"/>
      <c r="R76" s="1070"/>
      <c r="S76" s="1071"/>
      <c r="T76" s="1072"/>
      <c r="U76" s="1056"/>
      <c r="V76" s="1056"/>
      <c r="W76" s="1056"/>
      <c r="X76" s="1056"/>
      <c r="Y76" s="1056"/>
      <c r="Z76" s="1070"/>
      <c r="AA76" s="1078"/>
      <c r="AB76" s="1078"/>
      <c r="AC76" s="1078"/>
      <c r="AD76" s="1078"/>
      <c r="AE76" s="1078"/>
      <c r="AF76" s="1078"/>
      <c r="AG76" s="1078"/>
      <c r="AH76" s="1078"/>
      <c r="AI76" s="1078"/>
      <c r="AJ76" s="1078"/>
      <c r="AK76" s="1085"/>
      <c r="AL76" s="1065"/>
      <c r="AM76" s="1065">
        <f>1/7</f>
        <v>0.14285714285714285</v>
      </c>
    </row>
    <row r="77" spans="1:39" s="1086" customFormat="1">
      <c r="A77" s="1066" t="s">
        <v>2774</v>
      </c>
      <c r="B77" s="1083"/>
      <c r="C77" s="1084"/>
      <c r="D77" s="1084"/>
      <c r="E77" s="1084"/>
      <c r="F77" s="1084"/>
      <c r="G77" s="1084"/>
      <c r="H77" s="1084"/>
      <c r="I77" s="1084"/>
      <c r="J77" s="1084"/>
      <c r="K77" s="1084"/>
      <c r="L77" s="1084"/>
      <c r="M77" s="1084"/>
      <c r="N77" s="1070"/>
      <c r="O77" s="1070"/>
      <c r="P77" s="1070"/>
      <c r="Q77" s="1070"/>
      <c r="R77" s="1070"/>
      <c r="S77" s="1071"/>
      <c r="T77" s="1069"/>
      <c r="U77" s="1070"/>
      <c r="V77" s="1070"/>
      <c r="W77" s="1070"/>
      <c r="X77" s="1070"/>
      <c r="Y77" s="1070"/>
      <c r="Z77" s="1087"/>
      <c r="AA77" s="1087"/>
      <c r="AB77" s="1087"/>
      <c r="AC77" s="1087"/>
      <c r="AD77" s="1087"/>
      <c r="AE77" s="1087"/>
      <c r="AF77" s="1078"/>
      <c r="AG77" s="1078"/>
      <c r="AH77" s="1078"/>
      <c r="AI77" s="1078"/>
      <c r="AJ77" s="1078"/>
      <c r="AK77" s="1085"/>
      <c r="AL77" s="1065"/>
      <c r="AM77" s="1065">
        <f>1/7</f>
        <v>0.14285714285714285</v>
      </c>
    </row>
    <row r="78" spans="1:39" s="1086" customFormat="1">
      <c r="A78" s="1066" t="s">
        <v>2775</v>
      </c>
      <c r="B78" s="1088"/>
      <c r="C78" s="1078"/>
      <c r="D78" s="1078"/>
      <c r="E78" s="1078"/>
      <c r="F78" s="1078"/>
      <c r="G78" s="1078"/>
      <c r="H78" s="1078"/>
      <c r="I78" s="1078"/>
      <c r="J78" s="1078"/>
      <c r="K78" s="1078"/>
      <c r="L78" s="1078"/>
      <c r="M78" s="1078"/>
      <c r="N78" s="1078"/>
      <c r="O78" s="1078"/>
      <c r="P78" s="1078"/>
      <c r="Q78" s="1078"/>
      <c r="R78" s="1078"/>
      <c r="S78" s="1085"/>
      <c r="T78" s="1088"/>
      <c r="U78" s="1078"/>
      <c r="V78" s="1078"/>
      <c r="W78" s="1078"/>
      <c r="X78" s="1078"/>
      <c r="Y78" s="1078"/>
      <c r="Z78" s="1078"/>
      <c r="AA78" s="1078"/>
      <c r="AB78" s="1078"/>
      <c r="AC78" s="1078"/>
      <c r="AD78" s="1078"/>
      <c r="AE78" s="1078"/>
      <c r="AF78" s="1087"/>
      <c r="AG78" s="1087"/>
      <c r="AH78" s="1087"/>
      <c r="AI78" s="1087"/>
      <c r="AJ78" s="1087"/>
      <c r="AK78" s="1089"/>
      <c r="AL78" s="1065"/>
      <c r="AM78" s="1065">
        <f>1/7</f>
        <v>0.14285714285714285</v>
      </c>
    </row>
    <row r="79" spans="1:39" s="1086" customFormat="1" ht="12.6" customHeight="1">
      <c r="A79" s="1066" t="s">
        <v>2776</v>
      </c>
      <c r="B79" s="1090"/>
      <c r="C79" s="1091"/>
      <c r="D79" s="1091"/>
      <c r="E79" s="1091"/>
      <c r="F79" s="1091"/>
      <c r="G79" s="1091"/>
      <c r="H79" s="1091"/>
      <c r="I79" s="1091"/>
      <c r="J79" s="1091"/>
      <c r="K79" s="1091"/>
      <c r="L79" s="1091"/>
      <c r="M79" s="1091"/>
      <c r="N79" s="1078"/>
      <c r="O79" s="1078"/>
      <c r="P79" s="1078"/>
      <c r="Q79" s="1078"/>
      <c r="R79" s="1078"/>
      <c r="S79" s="1085"/>
      <c r="T79" s="1088"/>
      <c r="U79" s="1078"/>
      <c r="V79" s="1078"/>
      <c r="W79" s="1078"/>
      <c r="X79" s="1078"/>
      <c r="Y79" s="1078"/>
      <c r="Z79" s="1078"/>
      <c r="AA79" s="1078"/>
      <c r="AB79" s="1078"/>
      <c r="AC79" s="1078"/>
      <c r="AD79" s="1078"/>
      <c r="AE79" s="1078"/>
      <c r="AF79" s="1078"/>
      <c r="AG79" s="1078"/>
      <c r="AH79" s="1078"/>
      <c r="AI79" s="1078"/>
      <c r="AJ79" s="1078"/>
      <c r="AK79" s="1085"/>
      <c r="AL79" s="1065">
        <f>1/7</f>
        <v>0.14285714285714285</v>
      </c>
      <c r="AM79" s="1050"/>
    </row>
    <row r="80" spans="1:39" ht="13.8" thickBot="1">
      <c r="A80" s="1092" t="s">
        <v>2777</v>
      </c>
      <c r="B80" s="1093"/>
      <c r="C80" s="1094"/>
      <c r="D80" s="1094"/>
      <c r="E80" s="1094"/>
      <c r="F80" s="1094"/>
      <c r="G80" s="1094"/>
      <c r="H80" s="1094"/>
      <c r="I80" s="1094"/>
      <c r="J80" s="1094"/>
      <c r="K80" s="1094"/>
      <c r="L80" s="1094"/>
      <c r="M80" s="1094"/>
      <c r="N80" s="1095"/>
      <c r="O80" s="1095"/>
      <c r="P80" s="1095"/>
      <c r="Q80" s="1096"/>
      <c r="R80" s="1096"/>
      <c r="S80" s="1097"/>
      <c r="T80" s="1098"/>
      <c r="U80" s="1096"/>
      <c r="V80" s="1096"/>
      <c r="W80" s="1096"/>
      <c r="X80" s="1096"/>
      <c r="Y80" s="1094"/>
      <c r="Z80" s="1096"/>
      <c r="AA80" s="1096"/>
      <c r="AB80" s="1096"/>
      <c r="AC80" s="1096"/>
      <c r="AD80" s="1096"/>
      <c r="AE80" s="1096"/>
      <c r="AF80" s="1096"/>
      <c r="AG80" s="1096"/>
      <c r="AH80" s="1096"/>
      <c r="AI80" s="1096"/>
      <c r="AJ80" s="1096"/>
      <c r="AK80" s="1097"/>
      <c r="AL80" s="1065">
        <f>1/7</f>
        <v>0.14285714285714285</v>
      </c>
    </row>
    <row r="81" spans="1:37" s="1101" customFormat="1">
      <c r="A81" s="1099" t="s">
        <v>2778</v>
      </c>
      <c r="B81" s="2990"/>
      <c r="C81" s="2990"/>
      <c r="D81" s="2990"/>
      <c r="E81" s="2990"/>
      <c r="F81" s="2990"/>
      <c r="G81" s="2990"/>
      <c r="H81" s="2990"/>
      <c r="I81" s="2990"/>
      <c r="J81" s="2990"/>
      <c r="K81" s="2990"/>
      <c r="L81" s="2990"/>
      <c r="M81" s="2990"/>
      <c r="N81" s="2990"/>
      <c r="O81" s="2990"/>
      <c r="P81" s="2990"/>
      <c r="Q81" s="2990"/>
      <c r="R81" s="2990"/>
      <c r="S81" s="2990"/>
      <c r="T81" s="2990"/>
      <c r="U81" s="2990"/>
      <c r="V81" s="2990"/>
      <c r="W81" s="2990"/>
      <c r="X81" s="2990"/>
      <c r="Y81" s="2990"/>
      <c r="Z81" s="2990"/>
      <c r="AA81" s="2990"/>
      <c r="AB81" s="2990"/>
      <c r="AC81" s="2990"/>
      <c r="AD81" s="2990"/>
      <c r="AE81" s="2990"/>
      <c r="AF81" s="2990"/>
      <c r="AG81" s="2990"/>
      <c r="AH81" s="2990"/>
      <c r="AI81" s="2990"/>
      <c r="AJ81" s="2990"/>
      <c r="AK81" s="1100"/>
    </row>
    <row r="82" spans="1:37" s="1101" customFormat="1" ht="13.8" thickBot="1">
      <c r="A82" s="1102" t="s">
        <v>2779</v>
      </c>
      <c r="B82" s="1103"/>
      <c r="C82" s="1103"/>
      <c r="D82" s="1103"/>
      <c r="E82" s="1103"/>
      <c r="F82" s="1103"/>
      <c r="G82" s="1103"/>
      <c r="H82" s="1103"/>
      <c r="I82" s="1103"/>
      <c r="J82" s="1103"/>
      <c r="K82" s="1103"/>
      <c r="L82" s="1103"/>
      <c r="M82" s="1103"/>
      <c r="N82" s="1103"/>
      <c r="O82" s="1103"/>
      <c r="P82" s="1103"/>
      <c r="Q82" s="1103"/>
      <c r="R82" s="1103"/>
      <c r="S82" s="1103"/>
      <c r="T82" s="1103"/>
      <c r="U82" s="1103"/>
      <c r="V82" s="1103"/>
      <c r="W82" s="1103"/>
      <c r="X82" s="1103"/>
      <c r="Y82" s="1103"/>
      <c r="Z82" s="1103"/>
      <c r="AA82" s="1103"/>
      <c r="AB82" s="1103"/>
      <c r="AC82" s="1103"/>
      <c r="AD82" s="1103"/>
      <c r="AE82" s="1103"/>
      <c r="AF82" s="1103"/>
      <c r="AG82" s="1103"/>
      <c r="AH82" s="1103"/>
      <c r="AI82" s="1103"/>
      <c r="AJ82" s="1103"/>
      <c r="AK82" s="1104"/>
    </row>
  </sheetData>
  <mergeCells count="14">
    <mergeCell ref="A5:A6"/>
    <mergeCell ref="B5:S5"/>
    <mergeCell ref="T5:AK5"/>
    <mergeCell ref="AM67:AM71"/>
    <mergeCell ref="P1:S4"/>
    <mergeCell ref="AH1:AK4"/>
    <mergeCell ref="AL18:AL25"/>
    <mergeCell ref="AL26:AL28"/>
    <mergeCell ref="AL29:AL36"/>
    <mergeCell ref="AL37:AL39"/>
    <mergeCell ref="AM40:AM47"/>
    <mergeCell ref="AM48:AM50"/>
    <mergeCell ref="AM51:AM58"/>
    <mergeCell ref="AM59:AM61"/>
  </mergeCells>
  <pageMargins left="0.9055118110236221" right="0.70866141732283472" top="0.74803149606299213" bottom="0.74803149606299213" header="0.31496062992125984" footer="0.31496062992125984"/>
  <pageSetup paperSize="8" scale="67" orientation="landscape" r:id="rId1"/>
  <headerFooter>
    <oddHeader>&amp;C&amp;"-,Bold"&amp;14PS 5.4.2 PRESCRIBED SEQUENCING CHART</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dimension ref="A1:C77"/>
  <sheetViews>
    <sheetView view="pageBreakPreview" zoomScaleNormal="85" zoomScaleSheetLayoutView="100" workbookViewId="0">
      <selection activeCell="F10" sqref="F10"/>
    </sheetView>
  </sheetViews>
  <sheetFormatPr defaultColWidth="8.88671875" defaultRowHeight="13.2"/>
  <cols>
    <col min="1" max="1" width="17.88671875" customWidth="1"/>
    <col min="2" max="2" width="77.109375" customWidth="1"/>
    <col min="3" max="3" width="33.44140625" customWidth="1"/>
  </cols>
  <sheetData>
    <row r="1" spans="1:3" ht="20.100000000000001" customHeight="1">
      <c r="A1" s="3045" t="s">
        <v>2609</v>
      </c>
      <c r="B1" s="3046"/>
      <c r="C1" s="3047"/>
    </row>
    <row r="2" spans="1:3" ht="20.100000000000001" customHeight="1" thickBot="1">
      <c r="A2" s="3048"/>
      <c r="B2" s="3049"/>
      <c r="C2" s="3050"/>
    </row>
    <row r="3" spans="1:3" ht="20.100000000000001" customHeight="1" thickBot="1">
      <c r="A3" s="711" t="s">
        <v>2610</v>
      </c>
      <c r="B3" s="710" t="s">
        <v>39</v>
      </c>
      <c r="C3" s="1628" t="s">
        <v>2611</v>
      </c>
    </row>
    <row r="4" spans="1:3" ht="20.100000000000001" customHeight="1">
      <c r="A4" s="712"/>
      <c r="B4" s="1629"/>
      <c r="C4" s="1630"/>
    </row>
    <row r="5" spans="1:3" ht="20.100000000000001" customHeight="1">
      <c r="A5" s="714">
        <v>1</v>
      </c>
      <c r="B5" s="686" t="s">
        <v>2613</v>
      </c>
      <c r="C5" s="1631">
        <f>'1 - P&amp;G'!G406</f>
        <v>8556000</v>
      </c>
    </row>
    <row r="6" spans="1:3" ht="20.100000000000001" customHeight="1">
      <c r="A6" s="714">
        <v>2</v>
      </c>
      <c r="B6" s="686" t="s">
        <v>2641</v>
      </c>
      <c r="C6" s="1631">
        <f>'2 - ACCESS ROADS'!H147</f>
        <v>1056720</v>
      </c>
    </row>
    <row r="7" spans="1:3" ht="20.100000000000001" customHeight="1">
      <c r="A7" s="714">
        <v>3</v>
      </c>
      <c r="B7" s="686" t="s">
        <v>2614</v>
      </c>
      <c r="C7" s="1631">
        <f>'3 - HoW'!H709</f>
        <v>150000</v>
      </c>
    </row>
    <row r="8" spans="1:3" ht="20.100000000000001" customHeight="1">
      <c r="A8" s="714">
        <v>4</v>
      </c>
      <c r="B8" s="686" t="s">
        <v>2615</v>
      </c>
      <c r="C8" s="1631">
        <f>'4 - PST''s'!H79</f>
        <v>733844</v>
      </c>
    </row>
    <row r="9" spans="1:3" ht="20.100000000000001" customHeight="1">
      <c r="A9" s="714">
        <v>5</v>
      </c>
      <c r="B9" s="686" t="s">
        <v>2616</v>
      </c>
      <c r="C9" s="1631">
        <f>'5 - Fermenters'!H79</f>
        <v>311886</v>
      </c>
    </row>
    <row r="10" spans="1:3" ht="20.100000000000001" customHeight="1">
      <c r="A10" s="714">
        <v>6</v>
      </c>
      <c r="B10" s="686" t="s">
        <v>2617</v>
      </c>
      <c r="C10" s="1631">
        <f>'6 - SECONDARY TREATMENT'!H76</f>
        <v>1462728</v>
      </c>
    </row>
    <row r="11" spans="1:3" ht="20.100000000000001" customHeight="1">
      <c r="A11" s="714">
        <v>7</v>
      </c>
      <c r="B11" s="686" t="s">
        <v>2618</v>
      </c>
      <c r="C11" s="1631">
        <f>'7 - WASH WATER'!H307</f>
        <v>885059</v>
      </c>
    </row>
    <row r="12" spans="1:3" ht="20.100000000000001" customHeight="1">
      <c r="A12" s="714">
        <v>8</v>
      </c>
      <c r="B12" s="686" t="s">
        <v>2619</v>
      </c>
      <c r="C12" s="1631">
        <f>'8 - EMERGENCY DAM'!H160</f>
        <v>14670</v>
      </c>
    </row>
    <row r="13" spans="1:3" ht="20.100000000000001" customHeight="1">
      <c r="A13" s="714">
        <v>9</v>
      </c>
      <c r="B13" s="686" t="s">
        <v>2642</v>
      </c>
      <c r="C13" s="1631">
        <f>'9 - LIME PLANT'!H239</f>
        <v>139025</v>
      </c>
    </row>
    <row r="14" spans="1:3" ht="20.100000000000001" customHeight="1">
      <c r="A14" s="714">
        <v>10</v>
      </c>
      <c r="B14" s="686" t="s">
        <v>2620</v>
      </c>
      <c r="C14" s="1631">
        <f>'10 - MINOR STRUCTURES'!H472</f>
        <v>1242067</v>
      </c>
    </row>
    <row r="15" spans="1:3" ht="20.100000000000001" customHeight="1">
      <c r="A15" s="714">
        <v>11</v>
      </c>
      <c r="B15" s="686" t="s">
        <v>2621</v>
      </c>
      <c r="C15" s="1631">
        <f>'11 - INTERCONNECTING PIPEWORK'!H159</f>
        <v>873467</v>
      </c>
    </row>
    <row r="16" spans="1:3" ht="20.100000000000001" customHeight="1">
      <c r="A16" s="714">
        <v>12</v>
      </c>
      <c r="B16" s="686" t="s">
        <v>2622</v>
      </c>
      <c r="C16" s="1631">
        <f>'12 - SECURITY UPGRADES'!H145</f>
        <v>2734380.67</v>
      </c>
    </row>
    <row r="17" spans="1:3" ht="20.100000000000001" customHeight="1">
      <c r="A17" s="714">
        <v>13</v>
      </c>
      <c r="B17" s="686" t="s">
        <v>2623</v>
      </c>
      <c r="C17" s="1631">
        <f>'13 - Mech (HoW)'!H359</f>
        <v>2388502</v>
      </c>
    </row>
    <row r="18" spans="1:3" ht="20.100000000000001" customHeight="1">
      <c r="A18" s="714">
        <v>14</v>
      </c>
      <c r="B18" s="686" t="s">
        <v>2624</v>
      </c>
      <c r="C18" s="1631">
        <f>'14 - Mech (PST''s)'!H150</f>
        <v>4525550</v>
      </c>
    </row>
    <row r="19" spans="1:3" ht="20.100000000000001" customHeight="1">
      <c r="A19" s="714">
        <v>15</v>
      </c>
      <c r="B19" s="686" t="s">
        <v>2625</v>
      </c>
      <c r="C19" s="1631">
        <f>'15 - Mech (Fermenters)'!H143</f>
        <v>1350000</v>
      </c>
    </row>
    <row r="20" spans="1:3" ht="20.100000000000001" customHeight="1">
      <c r="A20" s="714">
        <v>16</v>
      </c>
      <c r="B20" s="686" t="s">
        <v>2626</v>
      </c>
      <c r="C20" s="1631">
        <f>'16 - Mech (Sec.Treatm.)'!H146</f>
        <v>1250000</v>
      </c>
    </row>
    <row r="21" spans="1:3" ht="20.100000000000001" customHeight="1">
      <c r="A21" s="714">
        <v>17</v>
      </c>
      <c r="B21" s="686" t="s">
        <v>2627</v>
      </c>
      <c r="C21" s="1631">
        <f>'17 - Mech (Washwater)'!H212</f>
        <v>500000</v>
      </c>
    </row>
    <row r="22" spans="1:3" ht="20.100000000000001" customHeight="1">
      <c r="A22" s="714">
        <v>18</v>
      </c>
      <c r="B22" s="686" t="s">
        <v>2643</v>
      </c>
      <c r="C22" s="1631">
        <f>'18 - Mech (Lime Plant)'!H230</f>
        <v>700000</v>
      </c>
    </row>
    <row r="23" spans="1:3" ht="20.100000000000001" customHeight="1">
      <c r="A23" s="714">
        <v>19</v>
      </c>
      <c r="B23" s="686" t="s">
        <v>2628</v>
      </c>
      <c r="C23" s="1631">
        <f>'19 - Electrical'!H1961</f>
        <v>8969720</v>
      </c>
    </row>
    <row r="24" spans="1:3" ht="20.100000000000001" customHeight="1">
      <c r="A24" s="714">
        <v>20</v>
      </c>
      <c r="B24" s="686" t="s">
        <v>2629</v>
      </c>
      <c r="C24" s="1631">
        <f>'20 - C&amp;I'!H981</f>
        <v>4993178</v>
      </c>
    </row>
    <row r="25" spans="1:3" ht="20.100000000000001" customHeight="1" thickBot="1">
      <c r="A25" s="1632"/>
      <c r="B25" s="1633"/>
      <c r="C25" s="1634"/>
    </row>
    <row r="26" spans="1:3" ht="20.100000000000001" customHeight="1" thickBot="1">
      <c r="A26" s="718"/>
      <c r="B26" s="717" t="s">
        <v>2780</v>
      </c>
      <c r="C26" s="1635">
        <f>ROUND(SUM(C5:C24),2)</f>
        <v>42836796.670000002</v>
      </c>
    </row>
    <row r="27" spans="1:3" ht="20.100000000000001" customHeight="1">
      <c r="A27" s="695"/>
      <c r="B27" s="2982"/>
      <c r="C27" s="1636"/>
    </row>
    <row r="28" spans="1:3" ht="20.100000000000001" customHeight="1">
      <c r="A28" s="709" t="s">
        <v>2636</v>
      </c>
      <c r="B28" s="687" t="s">
        <v>2781</v>
      </c>
      <c r="C28" s="708">
        <f>ROUND(0.1*C26,2)</f>
        <v>4283679.67</v>
      </c>
    </row>
    <row r="29" spans="1:3" ht="20.100000000000001" customHeight="1">
      <c r="A29" s="709"/>
      <c r="B29" s="687"/>
      <c r="C29" s="708"/>
    </row>
    <row r="30" spans="1:3" ht="20.100000000000001" customHeight="1">
      <c r="A30" s="709"/>
      <c r="B30" s="687" t="s">
        <v>2782</v>
      </c>
      <c r="C30" s="708">
        <f>C26+C28</f>
        <v>47120476.340000004</v>
      </c>
    </row>
    <row r="31" spans="1:3" ht="20.100000000000001" customHeight="1">
      <c r="A31" s="709"/>
      <c r="B31" s="687"/>
      <c r="C31" s="708"/>
    </row>
    <row r="32" spans="1:3" ht="20.100000000000001" customHeight="1">
      <c r="A32" s="709" t="s">
        <v>2636</v>
      </c>
      <c r="B32" s="687" t="s">
        <v>2783</v>
      </c>
      <c r="C32" s="708">
        <f>ROUND(0.1*C30,2)</f>
        <v>4712047.63</v>
      </c>
    </row>
    <row r="33" spans="1:3" ht="20.100000000000001" customHeight="1">
      <c r="A33" s="698"/>
      <c r="B33" s="687"/>
      <c r="C33" s="708"/>
    </row>
    <row r="34" spans="1:3" ht="15.6">
      <c r="A34" s="698"/>
      <c r="B34" s="687" t="s">
        <v>2784</v>
      </c>
      <c r="C34" s="708">
        <f>C32+C30</f>
        <v>51832523.970000006</v>
      </c>
    </row>
    <row r="35" spans="1:3" ht="20.100000000000001" customHeight="1">
      <c r="A35" s="714"/>
      <c r="B35" s="687"/>
      <c r="C35" s="708"/>
    </row>
    <row r="36" spans="1:3" ht="20.100000000000001" customHeight="1">
      <c r="A36" s="709" t="s">
        <v>2636</v>
      </c>
      <c r="B36" s="687" t="s">
        <v>2785</v>
      </c>
      <c r="C36" s="1637">
        <f>ROUND(0.15*C34,2)</f>
        <v>7774878.5999999996</v>
      </c>
    </row>
    <row r="37" spans="1:3" ht="16.2" thickBot="1">
      <c r="A37" s="699"/>
      <c r="B37" s="2984"/>
      <c r="C37" s="1638"/>
    </row>
    <row r="38" spans="1:3" ht="16.2" thickBot="1">
      <c r="A38" s="706"/>
      <c r="B38" s="705" t="s">
        <v>2648</v>
      </c>
      <c r="C38" s="716">
        <f>C34+C36</f>
        <v>59607402.570000008</v>
      </c>
    </row>
    <row r="39" spans="1:3" ht="12.75" customHeight="1">
      <c r="A39" s="1639"/>
      <c r="B39" s="5"/>
      <c r="C39" s="1640"/>
    </row>
    <row r="40" spans="1:3" ht="12.75" customHeight="1">
      <c r="A40" s="1639"/>
      <c r="B40" s="5"/>
      <c r="C40" s="1640"/>
    </row>
    <row r="41" spans="1:3" ht="12.75" customHeight="1">
      <c r="A41" s="1639"/>
      <c r="B41" s="5"/>
      <c r="C41" s="1640"/>
    </row>
    <row r="42" spans="1:3" ht="12.75" customHeight="1">
      <c r="A42" s="1639"/>
      <c r="B42" s="5"/>
      <c r="C42" s="1640"/>
    </row>
    <row r="43" spans="1:3" ht="12.75" customHeight="1">
      <c r="A43" s="1639"/>
      <c r="B43" s="5"/>
      <c r="C43" s="1640"/>
    </row>
    <row r="44" spans="1:3" ht="12.75" customHeight="1">
      <c r="A44" s="1639"/>
      <c r="B44" s="5"/>
      <c r="C44" s="1640"/>
    </row>
    <row r="45" spans="1:3" ht="12.75" customHeight="1">
      <c r="A45" s="1639"/>
      <c r="B45" s="5"/>
      <c r="C45" s="1640"/>
    </row>
    <row r="46" spans="1:3" ht="12.75" customHeight="1">
      <c r="A46" s="1639"/>
      <c r="B46" s="5"/>
      <c r="C46" s="1640"/>
    </row>
    <row r="47" spans="1:3" ht="12.75" customHeight="1">
      <c r="A47" s="1639"/>
      <c r="B47" s="5"/>
      <c r="C47" s="1640"/>
    </row>
    <row r="48" spans="1:3" ht="12.75" customHeight="1">
      <c r="A48" s="1639"/>
      <c r="B48" s="5"/>
      <c r="C48" s="1640"/>
    </row>
    <row r="49" spans="1:3" ht="12.75" customHeight="1">
      <c r="A49" s="1639"/>
      <c r="B49" s="5"/>
      <c r="C49" s="1640"/>
    </row>
    <row r="50" spans="1:3" ht="12.75" customHeight="1">
      <c r="A50" s="1639"/>
      <c r="B50" s="5"/>
      <c r="C50" s="1640"/>
    </row>
    <row r="51" spans="1:3" ht="12.75" customHeight="1">
      <c r="A51" s="1639"/>
      <c r="B51" s="5"/>
      <c r="C51" s="1640"/>
    </row>
    <row r="52" spans="1:3" ht="12.75" customHeight="1">
      <c r="A52" s="1639"/>
      <c r="B52" s="5"/>
      <c r="C52" s="1640"/>
    </row>
    <row r="53" spans="1:3" ht="12.75" customHeight="1">
      <c r="A53" s="1639"/>
      <c r="B53" s="5"/>
      <c r="C53" s="1640"/>
    </row>
    <row r="54" spans="1:3" ht="12.75" customHeight="1">
      <c r="A54" s="1639"/>
      <c r="B54" s="5"/>
      <c r="C54" s="1640"/>
    </row>
    <row r="55" spans="1:3" ht="12.75" customHeight="1">
      <c r="A55" s="1639"/>
      <c r="B55" s="5"/>
      <c r="C55" s="1640"/>
    </row>
    <row r="56" spans="1:3" ht="12.75" customHeight="1">
      <c r="A56" s="1639"/>
      <c r="B56" s="5"/>
      <c r="C56" s="1640"/>
    </row>
    <row r="57" spans="1:3" ht="12.75" customHeight="1"/>
    <row r="61" spans="1:3">
      <c r="A61" s="1641"/>
      <c r="B61" s="1642"/>
      <c r="C61" s="1641"/>
    </row>
    <row r="62" spans="1:3" ht="15.6" hidden="1">
      <c r="A62" s="1639" t="s">
        <v>2786</v>
      </c>
      <c r="C62" s="1643" t="s">
        <v>2787</v>
      </c>
    </row>
    <row r="63" spans="1:3" hidden="1"/>
    <row r="64" spans="1:3" hidden="1"/>
    <row r="65" spans="1:3" hidden="1">
      <c r="A65" s="3072" t="s">
        <v>2788</v>
      </c>
      <c r="B65" s="3073"/>
      <c r="C65" s="3073"/>
    </row>
    <row r="66" spans="1:3" hidden="1">
      <c r="A66" s="3073"/>
      <c r="B66" s="3073"/>
      <c r="C66" s="3073"/>
    </row>
    <row r="67" spans="1:3" hidden="1">
      <c r="A67" s="3073"/>
      <c r="B67" s="3073"/>
      <c r="C67" s="3073"/>
    </row>
    <row r="68" spans="1:3" hidden="1">
      <c r="A68" s="3073"/>
      <c r="B68" s="3073"/>
      <c r="C68" s="3073"/>
    </row>
    <row r="69" spans="1:3" hidden="1">
      <c r="A69" s="3073"/>
      <c r="B69" s="3073"/>
      <c r="C69" s="3073"/>
    </row>
    <row r="70" spans="1:3" hidden="1">
      <c r="A70" s="3073"/>
      <c r="B70" s="3073"/>
      <c r="C70" s="3073"/>
    </row>
    <row r="71" spans="1:3" hidden="1"/>
    <row r="72" spans="1:3" hidden="1"/>
    <row r="73" spans="1:3" hidden="1">
      <c r="A73" s="2"/>
    </row>
    <row r="74" spans="1:3" hidden="1"/>
    <row r="75" spans="1:3" hidden="1"/>
    <row r="76" spans="1:3" hidden="1"/>
    <row r="77" spans="1:3" hidden="1"/>
  </sheetData>
  <sheetProtection algorithmName="SHA-512" hashValue="D/9AsbzKxcJB6mik7aZyGsBXv9u4aW6HLfKTCpW7m6ieN1S3RpL2T/kFjcV9eaR6UROGzzD0vlIF5sQcIuh7+g==" saltValue="aAD7AvqBaNTEv+ZNDJBtkw==" spinCount="100000" sheet="1" objects="1" scenarios="1"/>
  <mergeCells count="2">
    <mergeCell ref="A65:C70"/>
    <mergeCell ref="A1:C2"/>
  </mergeCells>
  <pageMargins left="0.74803149606299213" right="0.51181102362204722" top="1.3779527559055118" bottom="0.94488188976377963" header="0.51181102362204722" footer="0.74803149606299213"/>
  <pageSetup paperSize="9" scale="70" firstPageNumber="150" orientation="portrait" useFirstPageNumber="1" copies="2" r:id="rId1"/>
  <headerFooter alignWithMargins="0">
    <oddHeader>&amp;L&amp;G&amp;CContract JW 14425
Bushkoppie Wastewater Treatment Works:
Infrastructure Renewal Plan
Volume 1 
C 2.2 Bill of Quantities&amp;R&amp;G</oddHeader>
    <oddFooter>&amp;C&amp;12&amp;G
C.&amp;P</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56064-94C0-4C0C-9E7C-3A90677F72A0}">
  <sheetPr>
    <pageSetUpPr fitToPage="1"/>
  </sheetPr>
  <dimension ref="B1:Q86"/>
  <sheetViews>
    <sheetView zoomScale="70" zoomScaleNormal="70" workbookViewId="0">
      <selection activeCell="Q72" sqref="Q72"/>
    </sheetView>
  </sheetViews>
  <sheetFormatPr defaultColWidth="8.88671875" defaultRowHeight="13.2"/>
  <cols>
    <col min="1" max="1" width="8.88671875" style="735"/>
    <col min="2" max="2" width="10" style="735" customWidth="1"/>
    <col min="3" max="3" width="10.44140625" style="735" customWidth="1"/>
    <col min="4" max="4" width="14" style="735" bestFit="1" customWidth="1"/>
    <col min="5" max="5" width="16.88671875" style="735" bestFit="1" customWidth="1"/>
    <col min="6" max="6" width="4.5546875" style="735" customWidth="1"/>
    <col min="7" max="7" width="8.88671875" style="735" customWidth="1"/>
    <col min="8" max="8" width="8.88671875" style="735"/>
    <col min="9" max="9" width="15.5546875" style="735" bestFit="1" customWidth="1"/>
    <col min="10" max="13" width="9.88671875" style="735" customWidth="1"/>
    <col min="14" max="14" width="19" style="735" bestFit="1" customWidth="1"/>
    <col min="15" max="15" width="8.88671875" style="735"/>
    <col min="16" max="16" width="16.88671875" style="735" customWidth="1"/>
    <col min="17" max="17" width="15.6640625" style="735" bestFit="1" customWidth="1"/>
    <col min="18" max="16384" width="8.88671875" style="735"/>
  </cols>
  <sheetData>
    <row r="1" spans="2:10">
      <c r="B1" s="734" t="s">
        <v>2789</v>
      </c>
    </row>
    <row r="9" spans="2:10">
      <c r="B9" s="736" t="s">
        <v>2790</v>
      </c>
      <c r="C9" s="736"/>
      <c r="D9" s="736"/>
      <c r="E9" s="736"/>
      <c r="F9" s="736"/>
      <c r="G9" s="736"/>
      <c r="H9" s="736"/>
      <c r="I9" s="736"/>
      <c r="J9" s="736"/>
    </row>
    <row r="10" spans="2:10">
      <c r="B10" s="737" t="s">
        <v>2791</v>
      </c>
      <c r="C10" s="738">
        <v>0.1</v>
      </c>
      <c r="D10" s="736" t="s">
        <v>2792</v>
      </c>
      <c r="E10" s="736"/>
      <c r="F10" s="736"/>
      <c r="G10" s="736"/>
      <c r="H10" s="736"/>
      <c r="I10" s="736"/>
      <c r="J10" s="736"/>
    </row>
    <row r="11" spans="2:10">
      <c r="B11" s="737" t="s">
        <v>2793</v>
      </c>
      <c r="C11" s="737">
        <v>0.32</v>
      </c>
      <c r="D11" s="736" t="s">
        <v>2794</v>
      </c>
      <c r="E11" s="736"/>
      <c r="F11" s="736"/>
      <c r="G11" s="736"/>
      <c r="H11" s="736"/>
      <c r="I11" s="736"/>
      <c r="J11" s="736"/>
    </row>
    <row r="12" spans="2:10">
      <c r="B12" s="737" t="s">
        <v>2795</v>
      </c>
      <c r="C12" s="737">
        <v>0.25</v>
      </c>
      <c r="D12" s="736" t="s">
        <v>2796</v>
      </c>
      <c r="E12" s="736"/>
      <c r="F12" s="736"/>
      <c r="G12" s="736"/>
      <c r="H12" s="736"/>
      <c r="I12" s="736"/>
      <c r="J12" s="736"/>
    </row>
    <row r="13" spans="2:10">
      <c r="B13" s="737" t="s">
        <v>2797</v>
      </c>
      <c r="C13" s="737">
        <v>0.33</v>
      </c>
      <c r="D13" s="736" t="s">
        <v>2798</v>
      </c>
      <c r="E13" s="736"/>
      <c r="F13" s="736"/>
      <c r="G13" s="736"/>
      <c r="H13" s="736"/>
      <c r="I13" s="736"/>
      <c r="J13" s="736"/>
    </row>
    <row r="14" spans="2:10">
      <c r="B14" s="737" t="s">
        <v>2799</v>
      </c>
      <c r="C14" s="737">
        <v>0.1</v>
      </c>
      <c r="D14" s="736" t="s">
        <v>2800</v>
      </c>
      <c r="E14" s="736"/>
      <c r="F14" s="736"/>
      <c r="G14" s="736"/>
      <c r="H14" s="736"/>
      <c r="I14" s="736"/>
      <c r="J14" s="736"/>
    </row>
    <row r="15" spans="2:10">
      <c r="B15" s="736" t="s">
        <v>2801</v>
      </c>
      <c r="C15" s="736"/>
      <c r="D15" s="736"/>
      <c r="E15" s="736"/>
      <c r="F15" s="736"/>
      <c r="G15" s="736"/>
      <c r="H15" s="736"/>
      <c r="I15" s="736"/>
      <c r="J15" s="736"/>
    </row>
    <row r="16" spans="2:10">
      <c r="B16" s="736"/>
      <c r="C16" s="736"/>
      <c r="D16" s="736"/>
      <c r="E16" s="736"/>
      <c r="F16" s="736"/>
      <c r="G16" s="736"/>
      <c r="H16" s="736"/>
      <c r="I16" s="736"/>
      <c r="J16" s="736"/>
    </row>
    <row r="17" spans="2:14">
      <c r="B17" s="736" t="s">
        <v>2802</v>
      </c>
      <c r="C17" s="736"/>
      <c r="D17" s="736"/>
      <c r="E17" s="736"/>
      <c r="F17" s="3074">
        <f>SUMMARY!C26</f>
        <v>42836796.670000002</v>
      </c>
      <c r="G17" s="3075"/>
      <c r="H17" s="3076"/>
      <c r="I17" s="736" t="s">
        <v>2803</v>
      </c>
    </row>
    <row r="18" spans="2:14">
      <c r="B18" s="736"/>
      <c r="C18" s="736"/>
      <c r="D18" s="736"/>
      <c r="E18" s="736"/>
      <c r="F18" s="3077"/>
      <c r="G18" s="3077"/>
      <c r="H18" s="3077"/>
      <c r="J18" s="736"/>
    </row>
    <row r="19" spans="2:14">
      <c r="B19" s="736"/>
      <c r="C19" s="736"/>
      <c r="D19" s="736"/>
      <c r="E19" s="736"/>
      <c r="F19" s="3078"/>
      <c r="G19" s="3078"/>
      <c r="H19" s="3078"/>
      <c r="J19" s="736"/>
    </row>
    <row r="20" spans="2:14">
      <c r="B20" s="736"/>
      <c r="C20" s="736"/>
      <c r="D20" s="736"/>
      <c r="E20" s="736"/>
      <c r="F20" s="736"/>
      <c r="G20" s="736"/>
      <c r="H20" s="736"/>
      <c r="I20" s="739"/>
      <c r="J20" s="736"/>
    </row>
    <row r="21" spans="2:14">
      <c r="B21" s="737" t="s">
        <v>2804</v>
      </c>
      <c r="C21" s="737" t="s">
        <v>2805</v>
      </c>
      <c r="D21" s="740">
        <f>6%/12</f>
        <v>5.0000000000000001E-3</v>
      </c>
      <c r="E21" s="741" t="s">
        <v>2806</v>
      </c>
      <c r="F21" s="736" t="s">
        <v>2807</v>
      </c>
      <c r="H21" s="736"/>
      <c r="I21" s="736"/>
      <c r="J21" s="736"/>
    </row>
    <row r="22" spans="2:14">
      <c r="B22" s="737" t="s">
        <v>2808</v>
      </c>
      <c r="C22" s="737" t="s">
        <v>2805</v>
      </c>
      <c r="D22" s="740">
        <f>(6.5%/12)</f>
        <v>5.4166666666666669E-3</v>
      </c>
      <c r="E22" s="741" t="s">
        <v>2809</v>
      </c>
      <c r="F22" s="736" t="s">
        <v>2810</v>
      </c>
      <c r="H22" s="736"/>
      <c r="I22" s="736"/>
      <c r="J22" s="736"/>
    </row>
    <row r="23" spans="2:14">
      <c r="B23" s="737" t="s">
        <v>2811</v>
      </c>
      <c r="C23" s="737" t="s">
        <v>2805</v>
      </c>
      <c r="D23" s="740">
        <f>(6.5%/12)</f>
        <v>5.4166666666666669E-3</v>
      </c>
      <c r="E23" s="741" t="s">
        <v>2809</v>
      </c>
      <c r="F23" s="736" t="s">
        <v>2810</v>
      </c>
      <c r="H23" s="736"/>
      <c r="I23" s="736"/>
      <c r="J23" s="736"/>
    </row>
    <row r="24" spans="2:14">
      <c r="B24" s="737" t="s">
        <v>2812</v>
      </c>
      <c r="C24" s="737" t="s">
        <v>2805</v>
      </c>
      <c r="D24" s="740">
        <f>(6.5%/12)</f>
        <v>5.4166666666666669E-3</v>
      </c>
      <c r="E24" s="741" t="s">
        <v>2809</v>
      </c>
      <c r="F24" s="736" t="s">
        <v>2810</v>
      </c>
      <c r="H24" s="736"/>
      <c r="I24" s="736"/>
      <c r="J24" s="736"/>
    </row>
    <row r="25" spans="2:14">
      <c r="B25" s="736"/>
      <c r="C25" s="736"/>
      <c r="D25" s="736"/>
      <c r="E25" s="736"/>
      <c r="F25" s="736"/>
      <c r="G25" s="736"/>
      <c r="H25" s="736"/>
      <c r="I25" s="736"/>
      <c r="J25" s="736"/>
    </row>
    <row r="26" spans="2:14">
      <c r="B26" s="736"/>
      <c r="C26" s="736"/>
      <c r="D26" s="736"/>
      <c r="E26" s="736"/>
      <c r="F26" s="736"/>
      <c r="G26" s="736"/>
      <c r="H26" s="736"/>
      <c r="I26" s="736"/>
      <c r="J26" s="736"/>
    </row>
    <row r="27" spans="2:14">
      <c r="B27" s="736"/>
      <c r="C27" s="736"/>
      <c r="D27" s="736"/>
      <c r="E27" s="736"/>
      <c r="F27" s="736"/>
      <c r="G27" s="736"/>
      <c r="H27" s="736"/>
      <c r="I27" s="736"/>
      <c r="J27" s="736"/>
    </row>
    <row r="28" spans="2:14">
      <c r="B28" s="736"/>
      <c r="C28" s="736"/>
      <c r="D28" s="736"/>
      <c r="E28" s="736"/>
      <c r="F28" s="736"/>
      <c r="G28" s="736"/>
      <c r="H28" s="736"/>
      <c r="I28" s="736"/>
      <c r="J28" s="736"/>
    </row>
    <row r="29" spans="2:14">
      <c r="E29" s="735">
        <v>1.0809823523779432</v>
      </c>
    </row>
    <row r="30" spans="2:14">
      <c r="G30" s="742" t="s">
        <v>2813</v>
      </c>
      <c r="H30" s="743"/>
      <c r="I30" s="744"/>
      <c r="J30" s="743"/>
      <c r="K30" s="743"/>
      <c r="L30" s="743"/>
      <c r="M30" s="743"/>
      <c r="N30" s="745">
        <f>N72</f>
        <v>5098334.8731912263</v>
      </c>
    </row>
    <row r="32" spans="2:14">
      <c r="B32" s="736"/>
      <c r="C32" s="736"/>
      <c r="D32" s="736"/>
      <c r="E32" s="736"/>
      <c r="F32" s="736"/>
      <c r="G32" s="743" t="s">
        <v>2814</v>
      </c>
      <c r="H32" s="743"/>
      <c r="I32" s="743"/>
      <c r="J32" s="746">
        <v>45170</v>
      </c>
      <c r="K32" s="747" t="s">
        <v>2815</v>
      </c>
      <c r="L32" s="743" t="s">
        <v>2816</v>
      </c>
      <c r="M32" s="746">
        <v>45413</v>
      </c>
      <c r="N32" s="743">
        <f>MONTH(M32-J32)</f>
        <v>8</v>
      </c>
    </row>
    <row r="33" spans="2:17">
      <c r="B33" s="736"/>
      <c r="C33" s="736"/>
      <c r="D33" s="736"/>
      <c r="E33" s="736"/>
      <c r="F33" s="736"/>
      <c r="G33" s="743"/>
      <c r="H33" s="743"/>
      <c r="I33" s="743"/>
      <c r="J33" s="743"/>
      <c r="K33" s="743"/>
      <c r="L33" s="743"/>
      <c r="M33" s="743"/>
      <c r="N33" s="743"/>
    </row>
    <row r="34" spans="2:17">
      <c r="B34" s="736"/>
      <c r="C34" s="748" t="s">
        <v>2817</v>
      </c>
      <c r="D34" s="748" t="s">
        <v>2818</v>
      </c>
      <c r="E34" s="748"/>
      <c r="F34" s="736"/>
      <c r="G34" s="749" t="s">
        <v>2819</v>
      </c>
      <c r="H34" s="743"/>
      <c r="I34" s="749" t="s">
        <v>2820</v>
      </c>
      <c r="J34" s="749" t="s">
        <v>2821</v>
      </c>
      <c r="K34" s="749" t="s">
        <v>2822</v>
      </c>
      <c r="L34" s="749" t="s">
        <v>468</v>
      </c>
      <c r="M34" s="749" t="s">
        <v>2823</v>
      </c>
      <c r="N34" s="743"/>
    </row>
    <row r="35" spans="2:17">
      <c r="B35" s="750">
        <v>1</v>
      </c>
      <c r="C35" s="751">
        <v>45658</v>
      </c>
      <c r="D35" s="752">
        <v>0.01</v>
      </c>
      <c r="E35" s="753">
        <f>$F$17*D35*$E$29</f>
        <v>463058.21232672245</v>
      </c>
      <c r="F35" s="736"/>
      <c r="G35" s="747">
        <v>1</v>
      </c>
      <c r="H35" s="746">
        <f>C35</f>
        <v>45658</v>
      </c>
      <c r="I35" s="744">
        <f>(D35)*(1-C$10)*F$17</f>
        <v>385531.17003000004</v>
      </c>
      <c r="J35" s="754">
        <f t="shared" ref="J35:J50" si="0">C$11*(((N$32+G35)*D$21)+1)</f>
        <v>0.33439999999999998</v>
      </c>
      <c r="K35" s="754">
        <f t="shared" ref="K35:K50" si="1">C$12*(((N$32+G35)*D$22)+1)</f>
        <v>0.26218750000000002</v>
      </c>
      <c r="L35" s="754">
        <f t="shared" ref="L35:L50" si="2">C$13*(((N$32+G35)*D$23)+1)</f>
        <v>0.34608750000000005</v>
      </c>
      <c r="M35" s="754">
        <f t="shared" ref="M35:M50" si="3">C$14*(((N$32+G35)*D$24)+1)</f>
        <v>0.10487500000000001</v>
      </c>
      <c r="N35" s="744">
        <f>I35*(J35+K35+L35+M35-1)</f>
        <v>18332.007134926582</v>
      </c>
      <c r="P35" s="753">
        <f>E35+N35</f>
        <v>481390.21946164902</v>
      </c>
    </row>
    <row r="36" spans="2:17">
      <c r="B36" s="750">
        <v>2</v>
      </c>
      <c r="C36" s="751">
        <v>45689</v>
      </c>
      <c r="D36" s="752">
        <v>0.01</v>
      </c>
      <c r="E36" s="753">
        <f t="shared" ref="E36:E70" si="4">$F$17*D36*$E$29</f>
        <v>463058.21232672245</v>
      </c>
      <c r="F36" s="736"/>
      <c r="G36" s="747">
        <v>2</v>
      </c>
      <c r="H36" s="746">
        <f>C36</f>
        <v>45689</v>
      </c>
      <c r="I36" s="744">
        <f t="shared" ref="I36:I50" si="5">(D36)*(1-C$10)*F$17</f>
        <v>385531.17003000004</v>
      </c>
      <c r="J36" s="754">
        <f t="shared" si="0"/>
        <v>0.33600000000000002</v>
      </c>
      <c r="K36" s="754">
        <f t="shared" si="1"/>
        <v>0.26354166666666667</v>
      </c>
      <c r="L36" s="754">
        <f t="shared" si="2"/>
        <v>0.34787500000000005</v>
      </c>
      <c r="M36" s="754">
        <f t="shared" si="3"/>
        <v>0.10541666666666667</v>
      </c>
      <c r="N36" s="744">
        <f>I36*(J36+K36+L36+M36-1)</f>
        <v>20368.896816584984</v>
      </c>
      <c r="P36" s="753">
        <f t="shared" ref="P36:P70" si="6">E36+N36</f>
        <v>483427.10914330743</v>
      </c>
    </row>
    <row r="37" spans="2:17">
      <c r="B37" s="750">
        <v>3</v>
      </c>
      <c r="C37" s="751">
        <v>45717</v>
      </c>
      <c r="D37" s="752">
        <v>0.03</v>
      </c>
      <c r="E37" s="753">
        <f t="shared" si="4"/>
        <v>1389174.6369801671</v>
      </c>
      <c r="F37" s="736"/>
      <c r="G37" s="747">
        <v>3</v>
      </c>
      <c r="H37" s="746">
        <f t="shared" ref="H37:H50" si="7">C37</f>
        <v>45717</v>
      </c>
      <c r="I37" s="744">
        <f t="shared" si="5"/>
        <v>1156593.51009</v>
      </c>
      <c r="J37" s="754">
        <f t="shared" si="0"/>
        <v>0.33760000000000001</v>
      </c>
      <c r="K37" s="754">
        <f t="shared" si="1"/>
        <v>0.26489583333333333</v>
      </c>
      <c r="L37" s="754">
        <f t="shared" si="2"/>
        <v>0.34966249999999999</v>
      </c>
      <c r="M37" s="754">
        <f t="shared" si="3"/>
        <v>0.10595833333333333</v>
      </c>
      <c r="N37" s="744">
        <f t="shared" ref="N37:N50" si="8">I37*(J37+K37+L37+M37-1)</f>
        <v>67217.359494730423</v>
      </c>
      <c r="P37" s="753">
        <f t="shared" si="6"/>
        <v>1456391.9964748975</v>
      </c>
    </row>
    <row r="38" spans="2:17">
      <c r="B38" s="750">
        <v>4</v>
      </c>
      <c r="C38" s="751">
        <v>45748</v>
      </c>
      <c r="D38" s="752">
        <v>0.03</v>
      </c>
      <c r="E38" s="753">
        <f t="shared" si="4"/>
        <v>1389174.6369801671</v>
      </c>
      <c r="F38" s="736"/>
      <c r="G38" s="747">
        <v>4</v>
      </c>
      <c r="H38" s="746">
        <f t="shared" si="7"/>
        <v>45748</v>
      </c>
      <c r="I38" s="744">
        <f t="shared" si="5"/>
        <v>1156593.51009</v>
      </c>
      <c r="J38" s="754">
        <f t="shared" si="0"/>
        <v>0.3392</v>
      </c>
      <c r="K38" s="754">
        <f t="shared" si="1"/>
        <v>0.26624999999999999</v>
      </c>
      <c r="L38" s="754">
        <f t="shared" si="2"/>
        <v>0.35144999999999998</v>
      </c>
      <c r="M38" s="754">
        <f t="shared" si="3"/>
        <v>0.1065</v>
      </c>
      <c r="N38" s="744">
        <f t="shared" si="8"/>
        <v>73328.028539706138</v>
      </c>
      <c r="P38" s="753">
        <f t="shared" si="6"/>
        <v>1462502.6655198731</v>
      </c>
    </row>
    <row r="39" spans="2:17">
      <c r="B39" s="750">
        <v>5</v>
      </c>
      <c r="C39" s="751">
        <v>45778</v>
      </c>
      <c r="D39" s="752">
        <v>0.03</v>
      </c>
      <c r="E39" s="753">
        <f t="shared" si="4"/>
        <v>1389174.6369801671</v>
      </c>
      <c r="F39" s="736"/>
      <c r="G39" s="747">
        <v>5</v>
      </c>
      <c r="H39" s="746">
        <f t="shared" si="7"/>
        <v>45778</v>
      </c>
      <c r="I39" s="744">
        <f t="shared" si="5"/>
        <v>1156593.51009</v>
      </c>
      <c r="J39" s="754">
        <f t="shared" si="0"/>
        <v>0.34079999999999999</v>
      </c>
      <c r="K39" s="754">
        <f t="shared" si="1"/>
        <v>0.26760416666666664</v>
      </c>
      <c r="L39" s="754">
        <f t="shared" si="2"/>
        <v>0.35323749999999998</v>
      </c>
      <c r="M39" s="754">
        <f t="shared" si="3"/>
        <v>0.10704166666666666</v>
      </c>
      <c r="N39" s="744">
        <f t="shared" si="8"/>
        <v>79438.697584681358</v>
      </c>
      <c r="P39" s="753">
        <f t="shared" si="6"/>
        <v>1468613.3345648486</v>
      </c>
    </row>
    <row r="40" spans="2:17">
      <c r="B40" s="750">
        <v>6</v>
      </c>
      <c r="C40" s="751">
        <v>45809</v>
      </c>
      <c r="D40" s="752">
        <v>0.04</v>
      </c>
      <c r="E40" s="753">
        <f t="shared" si="4"/>
        <v>1852232.8493068898</v>
      </c>
      <c r="F40" s="736"/>
      <c r="G40" s="747">
        <v>6</v>
      </c>
      <c r="H40" s="746">
        <f t="shared" si="7"/>
        <v>45809</v>
      </c>
      <c r="I40" s="744">
        <f t="shared" si="5"/>
        <v>1542124.6801200002</v>
      </c>
      <c r="J40" s="754">
        <f t="shared" si="0"/>
        <v>0.34240000000000004</v>
      </c>
      <c r="K40" s="754">
        <f t="shared" si="1"/>
        <v>0.26895833333333335</v>
      </c>
      <c r="L40" s="754">
        <f t="shared" si="2"/>
        <v>0.35502500000000003</v>
      </c>
      <c r="M40" s="754">
        <f t="shared" si="3"/>
        <v>0.10758333333333335</v>
      </c>
      <c r="N40" s="744">
        <f t="shared" si="8"/>
        <v>114065.82217287611</v>
      </c>
      <c r="P40" s="753">
        <f t="shared" si="6"/>
        <v>1966298.671479766</v>
      </c>
      <c r="Q40" s="753">
        <f>SUM(P35:P40)</f>
        <v>7318623.9966443414</v>
      </c>
    </row>
    <row r="41" spans="2:17">
      <c r="B41" s="750">
        <v>7</v>
      </c>
      <c r="C41" s="751">
        <v>45839</v>
      </c>
      <c r="D41" s="752">
        <v>0.04</v>
      </c>
      <c r="E41" s="753">
        <f t="shared" si="4"/>
        <v>1852232.8493068898</v>
      </c>
      <c r="F41" s="736"/>
      <c r="G41" s="747">
        <v>7</v>
      </c>
      <c r="H41" s="746">
        <f t="shared" si="7"/>
        <v>45839</v>
      </c>
      <c r="I41" s="744">
        <f t="shared" si="5"/>
        <v>1542124.6801200002</v>
      </c>
      <c r="J41" s="754">
        <f t="shared" si="0"/>
        <v>0.34399999999999997</v>
      </c>
      <c r="K41" s="754">
        <f t="shared" si="1"/>
        <v>0.27031250000000001</v>
      </c>
      <c r="L41" s="754">
        <f t="shared" si="2"/>
        <v>0.35681250000000003</v>
      </c>
      <c r="M41" s="754">
        <f t="shared" si="3"/>
        <v>0.10812500000000001</v>
      </c>
      <c r="N41" s="744">
        <f t="shared" si="8"/>
        <v>122213.38089951008</v>
      </c>
      <c r="P41" s="753">
        <f t="shared" si="6"/>
        <v>1974446.2302063999</v>
      </c>
    </row>
    <row r="42" spans="2:17">
      <c r="B42" s="750">
        <v>8</v>
      </c>
      <c r="C42" s="751">
        <v>45870</v>
      </c>
      <c r="D42" s="752">
        <v>0.04</v>
      </c>
      <c r="E42" s="753">
        <f t="shared" si="4"/>
        <v>1852232.8493068898</v>
      </c>
      <c r="F42" s="736"/>
      <c r="G42" s="747">
        <v>8</v>
      </c>
      <c r="H42" s="746">
        <f t="shared" si="7"/>
        <v>45870</v>
      </c>
      <c r="I42" s="744">
        <f t="shared" si="5"/>
        <v>1542124.6801200002</v>
      </c>
      <c r="J42" s="754">
        <f t="shared" si="0"/>
        <v>0.34560000000000002</v>
      </c>
      <c r="K42" s="754">
        <f t="shared" si="1"/>
        <v>0.27166666666666667</v>
      </c>
      <c r="L42" s="754">
        <f t="shared" si="2"/>
        <v>0.35860000000000003</v>
      </c>
      <c r="M42" s="754">
        <f t="shared" si="3"/>
        <v>0.10866666666666668</v>
      </c>
      <c r="N42" s="744">
        <f t="shared" si="8"/>
        <v>130360.93962614404</v>
      </c>
      <c r="P42" s="753">
        <f t="shared" si="6"/>
        <v>1982593.7889330338</v>
      </c>
    </row>
    <row r="43" spans="2:17">
      <c r="B43" s="750">
        <v>9</v>
      </c>
      <c r="C43" s="751">
        <v>45901</v>
      </c>
      <c r="D43" s="752">
        <v>0.04</v>
      </c>
      <c r="E43" s="753">
        <f t="shared" si="4"/>
        <v>1852232.8493068898</v>
      </c>
      <c r="F43" s="736"/>
      <c r="G43" s="747">
        <v>9</v>
      </c>
      <c r="H43" s="746">
        <f t="shared" si="7"/>
        <v>45901</v>
      </c>
      <c r="I43" s="744">
        <f t="shared" si="5"/>
        <v>1542124.6801200002</v>
      </c>
      <c r="J43" s="754">
        <f t="shared" si="0"/>
        <v>0.34720000000000001</v>
      </c>
      <c r="K43" s="754">
        <f t="shared" si="1"/>
        <v>0.27302083333333332</v>
      </c>
      <c r="L43" s="754">
        <f t="shared" si="2"/>
        <v>0.36038750000000003</v>
      </c>
      <c r="M43" s="754">
        <f t="shared" si="3"/>
        <v>0.10920833333333334</v>
      </c>
      <c r="N43" s="744">
        <f t="shared" si="8"/>
        <v>138508.498352778</v>
      </c>
      <c r="P43" s="753">
        <f t="shared" si="6"/>
        <v>1990741.3476596677</v>
      </c>
    </row>
    <row r="44" spans="2:17">
      <c r="B44" s="750">
        <v>10</v>
      </c>
      <c r="C44" s="751">
        <v>45931</v>
      </c>
      <c r="D44" s="752">
        <v>0.04</v>
      </c>
      <c r="E44" s="753">
        <f t="shared" si="4"/>
        <v>1852232.8493068898</v>
      </c>
      <c r="F44" s="736"/>
      <c r="G44" s="747">
        <v>10</v>
      </c>
      <c r="H44" s="746">
        <f t="shared" si="7"/>
        <v>45931</v>
      </c>
      <c r="I44" s="744">
        <f t="shared" si="5"/>
        <v>1542124.6801200002</v>
      </c>
      <c r="J44" s="754">
        <f t="shared" si="0"/>
        <v>0.34880000000000005</v>
      </c>
      <c r="K44" s="754">
        <f t="shared" si="1"/>
        <v>0.27437499999999998</v>
      </c>
      <c r="L44" s="754">
        <f t="shared" si="2"/>
        <v>0.36217499999999997</v>
      </c>
      <c r="M44" s="754">
        <f t="shared" si="3"/>
        <v>0.10975</v>
      </c>
      <c r="N44" s="744">
        <f t="shared" si="8"/>
        <v>146656.05707941196</v>
      </c>
      <c r="P44" s="753">
        <f t="shared" si="6"/>
        <v>1998888.9063863019</v>
      </c>
    </row>
    <row r="45" spans="2:17">
      <c r="B45" s="750">
        <v>11</v>
      </c>
      <c r="C45" s="751">
        <v>45962</v>
      </c>
      <c r="D45" s="752">
        <v>0.03</v>
      </c>
      <c r="E45" s="753">
        <f t="shared" si="4"/>
        <v>1389174.6369801671</v>
      </c>
      <c r="F45" s="736"/>
      <c r="G45" s="747">
        <v>11</v>
      </c>
      <c r="H45" s="746">
        <f t="shared" si="7"/>
        <v>45962</v>
      </c>
      <c r="I45" s="744">
        <f t="shared" si="5"/>
        <v>1156593.51009</v>
      </c>
      <c r="J45" s="754">
        <f t="shared" si="0"/>
        <v>0.35039999999999999</v>
      </c>
      <c r="K45" s="754">
        <f t="shared" si="1"/>
        <v>0.27572916666666669</v>
      </c>
      <c r="L45" s="754">
        <f t="shared" si="2"/>
        <v>0.36396250000000008</v>
      </c>
      <c r="M45" s="754">
        <f t="shared" si="3"/>
        <v>0.11029166666666668</v>
      </c>
      <c r="N45" s="744">
        <f t="shared" si="8"/>
        <v>116102.71185453443</v>
      </c>
      <c r="P45" s="753">
        <f t="shared" si="6"/>
        <v>1505277.3488347016</v>
      </c>
    </row>
    <row r="46" spans="2:17">
      <c r="B46" s="750">
        <v>12</v>
      </c>
      <c r="C46" s="751">
        <v>45992</v>
      </c>
      <c r="D46" s="752">
        <v>0.03</v>
      </c>
      <c r="E46" s="753">
        <f t="shared" si="4"/>
        <v>1389174.6369801671</v>
      </c>
      <c r="F46" s="736"/>
      <c r="G46" s="747">
        <v>12</v>
      </c>
      <c r="H46" s="746">
        <f t="shared" si="7"/>
        <v>45992</v>
      </c>
      <c r="I46" s="744">
        <f t="shared" si="5"/>
        <v>1156593.51009</v>
      </c>
      <c r="J46" s="754">
        <f t="shared" si="0"/>
        <v>0.35200000000000004</v>
      </c>
      <c r="K46" s="754">
        <f t="shared" si="1"/>
        <v>0.27708333333333335</v>
      </c>
      <c r="L46" s="754">
        <f t="shared" si="2"/>
        <v>0.36575000000000002</v>
      </c>
      <c r="M46" s="754">
        <f t="shared" si="3"/>
        <v>0.11083333333333334</v>
      </c>
      <c r="N46" s="744">
        <f t="shared" si="8"/>
        <v>122213.38089951016</v>
      </c>
      <c r="P46" s="753">
        <f t="shared" si="6"/>
        <v>1511388.0178796772</v>
      </c>
    </row>
    <row r="47" spans="2:17">
      <c r="B47" s="750">
        <v>13</v>
      </c>
      <c r="C47" s="751">
        <v>46023</v>
      </c>
      <c r="D47" s="755">
        <v>0.03</v>
      </c>
      <c r="E47" s="753">
        <f t="shared" si="4"/>
        <v>1389174.6369801671</v>
      </c>
      <c r="F47" s="736"/>
      <c r="G47" s="747">
        <v>13</v>
      </c>
      <c r="H47" s="746">
        <f t="shared" si="7"/>
        <v>46023</v>
      </c>
      <c r="I47" s="744">
        <f t="shared" si="5"/>
        <v>1156593.51009</v>
      </c>
      <c r="J47" s="754">
        <f t="shared" si="0"/>
        <v>0.35360000000000003</v>
      </c>
      <c r="K47" s="754">
        <f t="shared" si="1"/>
        <v>0.2784375</v>
      </c>
      <c r="L47" s="754">
        <f t="shared" si="2"/>
        <v>0.36753750000000002</v>
      </c>
      <c r="M47" s="754">
        <f t="shared" si="3"/>
        <v>0.111375</v>
      </c>
      <c r="N47" s="744">
        <f t="shared" si="8"/>
        <v>128324.04994448563</v>
      </c>
      <c r="P47" s="753">
        <f t="shared" si="6"/>
        <v>1517498.6869246527</v>
      </c>
    </row>
    <row r="48" spans="2:17">
      <c r="B48" s="750">
        <v>14</v>
      </c>
      <c r="C48" s="751">
        <v>46054</v>
      </c>
      <c r="D48" s="752">
        <v>0.02</v>
      </c>
      <c r="E48" s="753">
        <f t="shared" si="4"/>
        <v>926116.4246534449</v>
      </c>
      <c r="F48" s="736"/>
      <c r="G48" s="747">
        <v>14</v>
      </c>
      <c r="H48" s="746">
        <f t="shared" si="7"/>
        <v>46054</v>
      </c>
      <c r="I48" s="744">
        <f t="shared" si="5"/>
        <v>771062.34006000008</v>
      </c>
      <c r="J48" s="754">
        <f t="shared" si="0"/>
        <v>0.35520000000000002</v>
      </c>
      <c r="K48" s="754">
        <f t="shared" si="1"/>
        <v>0.27979166666666666</v>
      </c>
      <c r="L48" s="754">
        <f t="shared" si="2"/>
        <v>0.36932500000000001</v>
      </c>
      <c r="M48" s="754">
        <f t="shared" si="3"/>
        <v>0.11191666666666666</v>
      </c>
      <c r="N48" s="744">
        <f t="shared" si="8"/>
        <v>89623.145992973892</v>
      </c>
      <c r="P48" s="753">
        <f t="shared" si="6"/>
        <v>1015739.5706464188</v>
      </c>
    </row>
    <row r="49" spans="2:17">
      <c r="B49" s="750">
        <v>15</v>
      </c>
      <c r="C49" s="751">
        <v>46082</v>
      </c>
      <c r="D49" s="752">
        <v>0.03</v>
      </c>
      <c r="E49" s="753">
        <f t="shared" si="4"/>
        <v>1389174.6369801671</v>
      </c>
      <c r="F49" s="736"/>
      <c r="G49" s="747">
        <v>15</v>
      </c>
      <c r="H49" s="746">
        <f t="shared" si="7"/>
        <v>46082</v>
      </c>
      <c r="I49" s="744">
        <f t="shared" si="5"/>
        <v>1156593.51009</v>
      </c>
      <c r="J49" s="754">
        <f t="shared" si="0"/>
        <v>0.35680000000000001</v>
      </c>
      <c r="K49" s="754">
        <f t="shared" si="1"/>
        <v>0.28114583333333332</v>
      </c>
      <c r="L49" s="754">
        <f t="shared" si="2"/>
        <v>0.37111250000000001</v>
      </c>
      <c r="M49" s="754">
        <f t="shared" si="3"/>
        <v>0.11245833333333333</v>
      </c>
      <c r="N49" s="744">
        <f t="shared" si="8"/>
        <v>140545.38803443656</v>
      </c>
      <c r="P49" s="753">
        <f t="shared" si="6"/>
        <v>1529720.0250146037</v>
      </c>
    </row>
    <row r="50" spans="2:17">
      <c r="B50" s="750">
        <v>16</v>
      </c>
      <c r="C50" s="751">
        <v>46113</v>
      </c>
      <c r="D50" s="752">
        <v>0.03</v>
      </c>
      <c r="E50" s="753">
        <f t="shared" si="4"/>
        <v>1389174.6369801671</v>
      </c>
      <c r="F50" s="736"/>
      <c r="G50" s="747">
        <v>16</v>
      </c>
      <c r="H50" s="746">
        <f t="shared" si="7"/>
        <v>46113</v>
      </c>
      <c r="I50" s="744">
        <f t="shared" si="5"/>
        <v>1156593.51009</v>
      </c>
      <c r="J50" s="754">
        <f t="shared" si="0"/>
        <v>0.35840000000000005</v>
      </c>
      <c r="K50" s="754">
        <f t="shared" si="1"/>
        <v>0.28249999999999997</v>
      </c>
      <c r="L50" s="754">
        <f t="shared" si="2"/>
        <v>0.37290000000000001</v>
      </c>
      <c r="M50" s="754">
        <f t="shared" si="3"/>
        <v>0.11299999999999999</v>
      </c>
      <c r="N50" s="744">
        <f t="shared" si="8"/>
        <v>146656.05707941201</v>
      </c>
      <c r="P50" s="753">
        <f t="shared" si="6"/>
        <v>1535830.6940595792</v>
      </c>
    </row>
    <row r="51" spans="2:17">
      <c r="B51" s="750">
        <v>17</v>
      </c>
      <c r="C51" s="751">
        <v>46143</v>
      </c>
      <c r="D51" s="752">
        <v>0.03</v>
      </c>
      <c r="E51" s="753">
        <f t="shared" si="4"/>
        <v>1389174.6369801671</v>
      </c>
      <c r="F51" s="736"/>
      <c r="G51" s="747">
        <v>17</v>
      </c>
      <c r="H51" s="746">
        <f t="shared" ref="H51:H70" si="9">C51</f>
        <v>46143</v>
      </c>
      <c r="I51" s="744">
        <f t="shared" ref="I51:I70" si="10">(D51)*(1-C$10)*F$17</f>
        <v>1156593.51009</v>
      </c>
      <c r="J51" s="754">
        <f t="shared" ref="J51:J70" si="11">C$11*(((N$32+G51)*D$21)+1)</f>
        <v>0.36</v>
      </c>
      <c r="K51" s="754">
        <f t="shared" ref="K51:K70" si="12">C$12*(((N$32+G51)*D$22)+1)</f>
        <v>0.28385416666666669</v>
      </c>
      <c r="L51" s="754">
        <f t="shared" ref="L51:L70" si="13">C$13*(((N$32+G51)*D$23)+1)</f>
        <v>0.37468750000000006</v>
      </c>
      <c r="M51" s="754">
        <f t="shared" ref="M51:M70" si="14">C$14*(((N$32+G51)*D$24)+1)</f>
        <v>0.11354166666666668</v>
      </c>
      <c r="N51" s="744">
        <f t="shared" ref="N51:N70" si="15">I51*(J51+K51+L51+M51-1)</f>
        <v>152766.7261243875</v>
      </c>
      <c r="P51" s="753">
        <f t="shared" si="6"/>
        <v>1541941.3631045546</v>
      </c>
    </row>
    <row r="52" spans="2:17">
      <c r="B52" s="750">
        <v>18</v>
      </c>
      <c r="C52" s="751">
        <v>46174</v>
      </c>
      <c r="D52" s="752">
        <v>0.04</v>
      </c>
      <c r="E52" s="753">
        <f t="shared" si="4"/>
        <v>1852232.8493068898</v>
      </c>
      <c r="F52" s="736"/>
      <c r="G52" s="747">
        <v>18</v>
      </c>
      <c r="H52" s="746">
        <f t="shared" si="9"/>
        <v>46174</v>
      </c>
      <c r="I52" s="744">
        <f t="shared" si="10"/>
        <v>1542124.6801200002</v>
      </c>
      <c r="J52" s="754">
        <f t="shared" si="11"/>
        <v>0.36159999999999998</v>
      </c>
      <c r="K52" s="754">
        <f t="shared" si="12"/>
        <v>0.28520833333333334</v>
      </c>
      <c r="L52" s="754">
        <f t="shared" si="13"/>
        <v>0.376475</v>
      </c>
      <c r="M52" s="754">
        <f t="shared" si="14"/>
        <v>0.11408333333333334</v>
      </c>
      <c r="N52" s="744">
        <f t="shared" si="15"/>
        <v>211836.52689248396</v>
      </c>
      <c r="P52" s="753">
        <f t="shared" si="6"/>
        <v>2064069.3761993737</v>
      </c>
      <c r="Q52" s="753">
        <f>SUM(P41:P52)</f>
        <v>20168135.355848964</v>
      </c>
    </row>
    <row r="53" spans="2:17">
      <c r="B53" s="750">
        <v>19</v>
      </c>
      <c r="C53" s="751">
        <v>46204</v>
      </c>
      <c r="D53" s="752">
        <v>0.04</v>
      </c>
      <c r="E53" s="753">
        <f t="shared" si="4"/>
        <v>1852232.8493068898</v>
      </c>
      <c r="F53" s="736"/>
      <c r="G53" s="747">
        <v>19</v>
      </c>
      <c r="H53" s="746">
        <f t="shared" si="9"/>
        <v>46204</v>
      </c>
      <c r="I53" s="744">
        <f t="shared" si="10"/>
        <v>1542124.6801200002</v>
      </c>
      <c r="J53" s="754">
        <f t="shared" si="11"/>
        <v>0.36320000000000002</v>
      </c>
      <c r="K53" s="754">
        <f t="shared" si="12"/>
        <v>0.2865625</v>
      </c>
      <c r="L53" s="754">
        <f t="shared" si="13"/>
        <v>0.3782625</v>
      </c>
      <c r="M53" s="754">
        <f t="shared" si="14"/>
        <v>0.114625</v>
      </c>
      <c r="N53" s="744">
        <f t="shared" si="15"/>
        <v>219984.08561911795</v>
      </c>
      <c r="P53" s="753">
        <f t="shared" si="6"/>
        <v>2072216.9349260079</v>
      </c>
    </row>
    <row r="54" spans="2:17">
      <c r="B54" s="750">
        <v>20</v>
      </c>
      <c r="C54" s="751">
        <v>46235</v>
      </c>
      <c r="D54" s="752">
        <v>0.04</v>
      </c>
      <c r="E54" s="753">
        <f t="shared" si="4"/>
        <v>1852232.8493068898</v>
      </c>
      <c r="F54" s="736"/>
      <c r="G54" s="747">
        <v>20</v>
      </c>
      <c r="H54" s="746">
        <f t="shared" si="9"/>
        <v>46235</v>
      </c>
      <c r="I54" s="744">
        <f t="shared" si="10"/>
        <v>1542124.6801200002</v>
      </c>
      <c r="J54" s="754">
        <f t="shared" si="11"/>
        <v>0.36480000000000007</v>
      </c>
      <c r="K54" s="754">
        <f t="shared" si="12"/>
        <v>0.28791666666666665</v>
      </c>
      <c r="L54" s="754">
        <f t="shared" si="13"/>
        <v>0.38005</v>
      </c>
      <c r="M54" s="754">
        <f t="shared" si="14"/>
        <v>0.11516666666666667</v>
      </c>
      <c r="N54" s="744">
        <f t="shared" si="15"/>
        <v>228131.64434575223</v>
      </c>
      <c r="P54" s="753">
        <f t="shared" si="6"/>
        <v>2080364.493652642</v>
      </c>
    </row>
    <row r="55" spans="2:17">
      <c r="B55" s="750">
        <v>21</v>
      </c>
      <c r="C55" s="751">
        <v>46266</v>
      </c>
      <c r="D55" s="752">
        <v>0.04</v>
      </c>
      <c r="E55" s="753">
        <f t="shared" si="4"/>
        <v>1852232.8493068898</v>
      </c>
      <c r="F55" s="736"/>
      <c r="G55" s="747">
        <v>21</v>
      </c>
      <c r="H55" s="746">
        <f t="shared" si="9"/>
        <v>46266</v>
      </c>
      <c r="I55" s="744">
        <f t="shared" si="10"/>
        <v>1542124.6801200002</v>
      </c>
      <c r="J55" s="754">
        <f t="shared" si="11"/>
        <v>0.3664</v>
      </c>
      <c r="K55" s="754">
        <f t="shared" si="12"/>
        <v>0.28927083333333337</v>
      </c>
      <c r="L55" s="754">
        <f t="shared" si="13"/>
        <v>0.38183750000000005</v>
      </c>
      <c r="M55" s="754">
        <f t="shared" si="14"/>
        <v>0.11570833333333336</v>
      </c>
      <c r="N55" s="744">
        <f t="shared" si="15"/>
        <v>236279.20307238618</v>
      </c>
      <c r="P55" s="753">
        <f t="shared" si="6"/>
        <v>2088512.0523792759</v>
      </c>
    </row>
    <row r="56" spans="2:17">
      <c r="B56" s="750">
        <v>22</v>
      </c>
      <c r="C56" s="751">
        <v>46296</v>
      </c>
      <c r="D56" s="752">
        <v>0.04</v>
      </c>
      <c r="E56" s="753">
        <f t="shared" si="4"/>
        <v>1852232.8493068898</v>
      </c>
      <c r="F56" s="736"/>
      <c r="G56" s="747">
        <v>22</v>
      </c>
      <c r="H56" s="746">
        <f t="shared" si="9"/>
        <v>46296</v>
      </c>
      <c r="I56" s="744">
        <f t="shared" si="10"/>
        <v>1542124.6801200002</v>
      </c>
      <c r="J56" s="754">
        <f t="shared" si="11"/>
        <v>0.36799999999999999</v>
      </c>
      <c r="K56" s="754">
        <f t="shared" si="12"/>
        <v>0.29062500000000002</v>
      </c>
      <c r="L56" s="754">
        <f t="shared" si="13"/>
        <v>0.38362500000000005</v>
      </c>
      <c r="M56" s="754">
        <f t="shared" si="14"/>
        <v>0.11625000000000002</v>
      </c>
      <c r="N56" s="744">
        <f t="shared" si="15"/>
        <v>244426.76179902017</v>
      </c>
      <c r="P56" s="753">
        <f t="shared" si="6"/>
        <v>2096659.61110591</v>
      </c>
    </row>
    <row r="57" spans="2:17">
      <c r="B57" s="750">
        <v>23</v>
      </c>
      <c r="C57" s="751">
        <v>46327</v>
      </c>
      <c r="D57" s="752">
        <v>0.04</v>
      </c>
      <c r="E57" s="753">
        <f t="shared" si="4"/>
        <v>1852232.8493068898</v>
      </c>
      <c r="F57" s="736"/>
      <c r="G57" s="747">
        <v>23</v>
      </c>
      <c r="H57" s="746">
        <f t="shared" si="9"/>
        <v>46327</v>
      </c>
      <c r="I57" s="744">
        <f t="shared" si="10"/>
        <v>1542124.6801200002</v>
      </c>
      <c r="J57" s="754">
        <f t="shared" si="11"/>
        <v>0.36960000000000004</v>
      </c>
      <c r="K57" s="754">
        <f t="shared" si="12"/>
        <v>0.29197916666666668</v>
      </c>
      <c r="L57" s="754">
        <f t="shared" si="13"/>
        <v>0.38541250000000005</v>
      </c>
      <c r="M57" s="754">
        <f t="shared" si="14"/>
        <v>0.11679166666666668</v>
      </c>
      <c r="N57" s="744">
        <f t="shared" si="15"/>
        <v>252574.32052565413</v>
      </c>
      <c r="P57" s="753">
        <f t="shared" si="6"/>
        <v>2104807.1698325439</v>
      </c>
    </row>
    <row r="58" spans="2:17">
      <c r="B58" s="750">
        <v>24</v>
      </c>
      <c r="C58" s="751">
        <v>46357</v>
      </c>
      <c r="D58" s="752">
        <v>0.03</v>
      </c>
      <c r="E58" s="753">
        <f t="shared" si="4"/>
        <v>1389174.6369801671</v>
      </c>
      <c r="F58" s="736"/>
      <c r="G58" s="747">
        <v>24</v>
      </c>
      <c r="H58" s="746">
        <f t="shared" si="9"/>
        <v>46357</v>
      </c>
      <c r="I58" s="744">
        <f t="shared" si="10"/>
        <v>1156593.51009</v>
      </c>
      <c r="J58" s="754">
        <f t="shared" si="11"/>
        <v>0.37119999999999997</v>
      </c>
      <c r="K58" s="754">
        <f t="shared" si="12"/>
        <v>0.29333333333333333</v>
      </c>
      <c r="L58" s="754">
        <f t="shared" si="13"/>
        <v>0.38720000000000004</v>
      </c>
      <c r="M58" s="754">
        <f t="shared" si="14"/>
        <v>0.11733333333333335</v>
      </c>
      <c r="N58" s="744">
        <f t="shared" si="15"/>
        <v>195541.40943921605</v>
      </c>
      <c r="P58" s="753">
        <f t="shared" si="6"/>
        <v>1584716.0464193833</v>
      </c>
    </row>
    <row r="59" spans="2:17">
      <c r="B59" s="750">
        <v>25</v>
      </c>
      <c r="C59" s="751">
        <v>46388</v>
      </c>
      <c r="D59" s="752">
        <v>0.03</v>
      </c>
      <c r="E59" s="753">
        <f t="shared" si="4"/>
        <v>1389174.6369801671</v>
      </c>
      <c r="F59" s="736"/>
      <c r="G59" s="747">
        <v>25</v>
      </c>
      <c r="H59" s="746">
        <f t="shared" si="9"/>
        <v>46388</v>
      </c>
      <c r="I59" s="744">
        <f t="shared" si="10"/>
        <v>1156593.51009</v>
      </c>
      <c r="J59" s="754">
        <f t="shared" si="11"/>
        <v>0.37280000000000002</v>
      </c>
      <c r="K59" s="754">
        <f t="shared" si="12"/>
        <v>0.29468749999999999</v>
      </c>
      <c r="L59" s="754">
        <f t="shared" si="13"/>
        <v>0.38898749999999999</v>
      </c>
      <c r="M59" s="754">
        <f t="shared" si="14"/>
        <v>0.11787500000000001</v>
      </c>
      <c r="N59" s="744">
        <f t="shared" si="15"/>
        <v>201652.0784841915</v>
      </c>
      <c r="P59" s="753">
        <f t="shared" si="6"/>
        <v>1590826.7154643587</v>
      </c>
    </row>
    <row r="60" spans="2:17">
      <c r="B60" s="750">
        <v>26</v>
      </c>
      <c r="C60" s="751">
        <v>46419</v>
      </c>
      <c r="D60" s="752">
        <v>0.01</v>
      </c>
      <c r="E60" s="753">
        <f t="shared" si="4"/>
        <v>463058.21232672245</v>
      </c>
      <c r="F60" s="736"/>
      <c r="G60" s="747">
        <v>26</v>
      </c>
      <c r="H60" s="746">
        <f t="shared" si="9"/>
        <v>46419</v>
      </c>
      <c r="I60" s="744">
        <f t="shared" si="10"/>
        <v>385531.17003000004</v>
      </c>
      <c r="J60" s="754">
        <f t="shared" si="11"/>
        <v>0.37440000000000001</v>
      </c>
      <c r="K60" s="754">
        <f t="shared" si="12"/>
        <v>0.29604166666666665</v>
      </c>
      <c r="L60" s="754">
        <f t="shared" si="13"/>
        <v>0.39077499999999998</v>
      </c>
      <c r="M60" s="754">
        <f t="shared" si="14"/>
        <v>0.11841666666666667</v>
      </c>
      <c r="N60" s="744">
        <f t="shared" si="15"/>
        <v>69254.249176388999</v>
      </c>
      <c r="P60" s="753">
        <f t="shared" si="6"/>
        <v>532312.46150311141</v>
      </c>
    </row>
    <row r="61" spans="2:17">
      <c r="B61" s="750">
        <v>27</v>
      </c>
      <c r="C61" s="751">
        <v>46447</v>
      </c>
      <c r="D61" s="752">
        <v>0.02</v>
      </c>
      <c r="E61" s="753">
        <f t="shared" si="4"/>
        <v>926116.4246534449</v>
      </c>
      <c r="F61" s="736"/>
      <c r="G61" s="747">
        <v>27</v>
      </c>
      <c r="H61" s="746">
        <f t="shared" si="9"/>
        <v>46447</v>
      </c>
      <c r="I61" s="744">
        <f t="shared" si="10"/>
        <v>771062.34006000008</v>
      </c>
      <c r="J61" s="754">
        <f t="shared" si="11"/>
        <v>0.376</v>
      </c>
      <c r="K61" s="754">
        <f t="shared" si="12"/>
        <v>0.2973958333333333</v>
      </c>
      <c r="L61" s="754">
        <f t="shared" si="13"/>
        <v>0.39256249999999998</v>
      </c>
      <c r="M61" s="754">
        <f t="shared" si="14"/>
        <v>0.11895833333333333</v>
      </c>
      <c r="N61" s="744">
        <f t="shared" si="15"/>
        <v>142582.27771609498</v>
      </c>
      <c r="P61" s="753">
        <f t="shared" si="6"/>
        <v>1068698.70236954</v>
      </c>
    </row>
    <row r="62" spans="2:17">
      <c r="B62" s="750">
        <v>28</v>
      </c>
      <c r="C62" s="751">
        <v>46478</v>
      </c>
      <c r="D62" s="752">
        <v>0.02</v>
      </c>
      <c r="E62" s="753">
        <f t="shared" si="4"/>
        <v>926116.4246534449</v>
      </c>
      <c r="F62" s="736"/>
      <c r="G62" s="747">
        <v>28</v>
      </c>
      <c r="H62" s="746">
        <f t="shared" si="9"/>
        <v>46478</v>
      </c>
      <c r="I62" s="744">
        <f t="shared" si="10"/>
        <v>771062.34006000008</v>
      </c>
      <c r="J62" s="754">
        <f t="shared" si="11"/>
        <v>0.37759999999999999</v>
      </c>
      <c r="K62" s="754">
        <f t="shared" si="12"/>
        <v>0.29875000000000002</v>
      </c>
      <c r="L62" s="754">
        <f t="shared" si="13"/>
        <v>0.39435000000000003</v>
      </c>
      <c r="M62" s="754">
        <f t="shared" si="14"/>
        <v>0.11950000000000001</v>
      </c>
      <c r="N62" s="744">
        <f t="shared" si="15"/>
        <v>146656.05707941196</v>
      </c>
      <c r="P62" s="753">
        <f t="shared" si="6"/>
        <v>1072772.4817328569</v>
      </c>
    </row>
    <row r="63" spans="2:17">
      <c r="B63" s="750">
        <v>29</v>
      </c>
      <c r="C63" s="751">
        <v>46508</v>
      </c>
      <c r="D63" s="752">
        <v>0.02</v>
      </c>
      <c r="E63" s="753">
        <f t="shared" si="4"/>
        <v>926116.4246534449</v>
      </c>
      <c r="F63" s="736"/>
      <c r="G63" s="747">
        <v>29</v>
      </c>
      <c r="H63" s="746">
        <f t="shared" si="9"/>
        <v>46508</v>
      </c>
      <c r="I63" s="744">
        <f t="shared" si="10"/>
        <v>771062.34006000008</v>
      </c>
      <c r="J63" s="754">
        <f t="shared" si="11"/>
        <v>0.37920000000000004</v>
      </c>
      <c r="K63" s="754">
        <f t="shared" si="12"/>
        <v>0.30010416666666667</v>
      </c>
      <c r="L63" s="754">
        <f t="shared" si="13"/>
        <v>0.39613750000000003</v>
      </c>
      <c r="M63" s="754">
        <f t="shared" si="14"/>
        <v>0.12004166666666667</v>
      </c>
      <c r="N63" s="744">
        <f t="shared" si="15"/>
        <v>150729.83644272911</v>
      </c>
      <c r="P63" s="753">
        <f t="shared" si="6"/>
        <v>1076846.2610961739</v>
      </c>
    </row>
    <row r="64" spans="2:17">
      <c r="B64" s="750">
        <v>30</v>
      </c>
      <c r="C64" s="751">
        <v>46539</v>
      </c>
      <c r="D64" s="752">
        <v>0.02</v>
      </c>
      <c r="E64" s="753">
        <f t="shared" si="4"/>
        <v>926116.4246534449</v>
      </c>
      <c r="F64" s="736"/>
      <c r="G64" s="747">
        <v>30</v>
      </c>
      <c r="H64" s="746">
        <f t="shared" si="9"/>
        <v>46539</v>
      </c>
      <c r="I64" s="744">
        <f t="shared" si="10"/>
        <v>771062.34006000008</v>
      </c>
      <c r="J64" s="754">
        <f t="shared" si="11"/>
        <v>0.38079999999999997</v>
      </c>
      <c r="K64" s="754">
        <f t="shared" si="12"/>
        <v>0.30145833333333333</v>
      </c>
      <c r="L64" s="754">
        <f t="shared" si="13"/>
        <v>0.39792500000000003</v>
      </c>
      <c r="M64" s="754">
        <f t="shared" si="14"/>
        <v>0.12058333333333333</v>
      </c>
      <c r="N64" s="744">
        <f t="shared" si="15"/>
        <v>154803.61580604591</v>
      </c>
      <c r="P64" s="753">
        <f t="shared" si="6"/>
        <v>1080920.0404594908</v>
      </c>
      <c r="Q64" s="753">
        <f>SUM(P53:P64)</f>
        <v>18449652.970941298</v>
      </c>
    </row>
    <row r="65" spans="2:17">
      <c r="B65" s="750">
        <v>31</v>
      </c>
      <c r="C65" s="751">
        <v>46569</v>
      </c>
      <c r="D65" s="752">
        <v>0.02</v>
      </c>
      <c r="E65" s="753">
        <f t="shared" si="4"/>
        <v>926116.4246534449</v>
      </c>
      <c r="F65" s="736"/>
      <c r="G65" s="747">
        <v>31</v>
      </c>
      <c r="H65" s="746">
        <f t="shared" si="9"/>
        <v>46569</v>
      </c>
      <c r="I65" s="744">
        <f t="shared" si="10"/>
        <v>771062.34006000008</v>
      </c>
      <c r="J65" s="754">
        <f t="shared" si="11"/>
        <v>0.38240000000000002</v>
      </c>
      <c r="K65" s="754">
        <f t="shared" si="12"/>
        <v>0.30281249999999998</v>
      </c>
      <c r="L65" s="754">
        <f t="shared" si="13"/>
        <v>0.39971249999999997</v>
      </c>
      <c r="M65" s="754">
        <f t="shared" si="14"/>
        <v>0.121125</v>
      </c>
      <c r="N65" s="744">
        <f t="shared" si="15"/>
        <v>158877.39516936289</v>
      </c>
      <c r="P65" s="753">
        <f t="shared" si="6"/>
        <v>1084993.8198228078</v>
      </c>
    </row>
    <row r="66" spans="2:17">
      <c r="B66" s="750">
        <v>32</v>
      </c>
      <c r="C66" s="751">
        <v>46600</v>
      </c>
      <c r="D66" s="752">
        <v>0.02</v>
      </c>
      <c r="E66" s="753">
        <f t="shared" si="4"/>
        <v>926116.4246534449</v>
      </c>
      <c r="F66" s="736"/>
      <c r="G66" s="747">
        <v>32</v>
      </c>
      <c r="H66" s="746">
        <f t="shared" si="9"/>
        <v>46600</v>
      </c>
      <c r="I66" s="744">
        <f t="shared" si="10"/>
        <v>771062.34006000008</v>
      </c>
      <c r="J66" s="754">
        <f t="shared" si="11"/>
        <v>0.38400000000000001</v>
      </c>
      <c r="K66" s="754">
        <f t="shared" si="12"/>
        <v>0.3041666666666667</v>
      </c>
      <c r="L66" s="754">
        <f t="shared" si="13"/>
        <v>0.40150000000000008</v>
      </c>
      <c r="M66" s="754">
        <f t="shared" si="14"/>
        <v>0.12166666666666669</v>
      </c>
      <c r="N66" s="744">
        <f t="shared" si="15"/>
        <v>162951.17453268004</v>
      </c>
      <c r="P66" s="753">
        <f t="shared" si="6"/>
        <v>1089067.599186125</v>
      </c>
    </row>
    <row r="67" spans="2:17">
      <c r="B67" s="750">
        <v>33</v>
      </c>
      <c r="C67" s="751">
        <v>46631</v>
      </c>
      <c r="D67" s="752">
        <v>0.02</v>
      </c>
      <c r="E67" s="753">
        <f t="shared" si="4"/>
        <v>926116.4246534449</v>
      </c>
      <c r="F67" s="736"/>
      <c r="G67" s="747">
        <v>33</v>
      </c>
      <c r="H67" s="746">
        <f t="shared" si="9"/>
        <v>46631</v>
      </c>
      <c r="I67" s="744">
        <f t="shared" si="10"/>
        <v>771062.34006000008</v>
      </c>
      <c r="J67" s="754">
        <f t="shared" si="11"/>
        <v>0.38560000000000005</v>
      </c>
      <c r="K67" s="754">
        <f t="shared" si="12"/>
        <v>0.30552083333333335</v>
      </c>
      <c r="L67" s="754">
        <f t="shared" si="13"/>
        <v>0.40328750000000002</v>
      </c>
      <c r="M67" s="754">
        <f t="shared" si="14"/>
        <v>0.12220833333333335</v>
      </c>
      <c r="N67" s="744">
        <f t="shared" si="15"/>
        <v>167024.95389599702</v>
      </c>
      <c r="P67" s="753">
        <f t="shared" si="6"/>
        <v>1093141.3785494419</v>
      </c>
    </row>
    <row r="68" spans="2:17">
      <c r="B68" s="750">
        <v>34</v>
      </c>
      <c r="C68" s="751">
        <v>46661</v>
      </c>
      <c r="D68" s="752">
        <v>0.02</v>
      </c>
      <c r="E68" s="753">
        <f t="shared" si="4"/>
        <v>926116.4246534449</v>
      </c>
      <c r="F68" s="736"/>
      <c r="G68" s="747">
        <v>34</v>
      </c>
      <c r="H68" s="746">
        <f t="shared" si="9"/>
        <v>46661</v>
      </c>
      <c r="I68" s="744">
        <f t="shared" si="10"/>
        <v>771062.34006000008</v>
      </c>
      <c r="J68" s="754">
        <f t="shared" si="11"/>
        <v>0.38719999999999999</v>
      </c>
      <c r="K68" s="754">
        <f t="shared" si="12"/>
        <v>0.30687500000000001</v>
      </c>
      <c r="L68" s="754">
        <f t="shared" si="13"/>
        <v>0.40507500000000002</v>
      </c>
      <c r="M68" s="754">
        <f t="shared" si="14"/>
        <v>0.12275000000000001</v>
      </c>
      <c r="N68" s="744">
        <f t="shared" si="15"/>
        <v>171098.733259314</v>
      </c>
      <c r="P68" s="753">
        <f t="shared" si="6"/>
        <v>1097215.1579127589</v>
      </c>
    </row>
    <row r="69" spans="2:17">
      <c r="B69" s="750">
        <v>35</v>
      </c>
      <c r="C69" s="751">
        <v>46692</v>
      </c>
      <c r="D69" s="752">
        <v>0.01</v>
      </c>
      <c r="E69" s="753">
        <f t="shared" si="4"/>
        <v>463058.21232672245</v>
      </c>
      <c r="F69" s="736"/>
      <c r="G69" s="747">
        <v>35</v>
      </c>
      <c r="H69" s="746">
        <f t="shared" si="9"/>
        <v>46692</v>
      </c>
      <c r="I69" s="744">
        <f t="shared" si="10"/>
        <v>385531.17003000004</v>
      </c>
      <c r="J69" s="754">
        <f t="shared" si="11"/>
        <v>0.38880000000000003</v>
      </c>
      <c r="K69" s="754">
        <f t="shared" si="12"/>
        <v>0.30822916666666667</v>
      </c>
      <c r="L69" s="754">
        <f t="shared" si="13"/>
        <v>0.40686250000000002</v>
      </c>
      <c r="M69" s="754">
        <f t="shared" si="14"/>
        <v>0.12329166666666667</v>
      </c>
      <c r="N69" s="744">
        <f t="shared" si="15"/>
        <v>87586.25631131549</v>
      </c>
      <c r="P69" s="753">
        <f t="shared" si="6"/>
        <v>550644.46863803791</v>
      </c>
    </row>
    <row r="70" spans="2:17">
      <c r="B70" s="750">
        <v>36</v>
      </c>
      <c r="C70" s="751">
        <v>46722</v>
      </c>
      <c r="D70" s="752">
        <v>0.01</v>
      </c>
      <c r="E70" s="753">
        <f t="shared" si="4"/>
        <v>463058.21232672245</v>
      </c>
      <c r="F70" s="736"/>
      <c r="G70" s="747">
        <v>36</v>
      </c>
      <c r="H70" s="746">
        <f t="shared" si="9"/>
        <v>46722</v>
      </c>
      <c r="I70" s="744">
        <f t="shared" si="10"/>
        <v>385531.17003000004</v>
      </c>
      <c r="J70" s="754">
        <f t="shared" si="11"/>
        <v>0.39040000000000002</v>
      </c>
      <c r="K70" s="754">
        <f t="shared" si="12"/>
        <v>0.30958333333333332</v>
      </c>
      <c r="L70" s="754">
        <f t="shared" si="13"/>
        <v>0.40865000000000001</v>
      </c>
      <c r="M70" s="754">
        <f t="shared" si="14"/>
        <v>0.12383333333333334</v>
      </c>
      <c r="N70" s="744">
        <f t="shared" si="15"/>
        <v>89623.145992973979</v>
      </c>
      <c r="P70" s="753">
        <f t="shared" si="6"/>
        <v>552681.35831969639</v>
      </c>
      <c r="Q70" s="753">
        <f>SUM(P65:P70)</f>
        <v>5467743.7824288681</v>
      </c>
    </row>
    <row r="71" spans="2:17">
      <c r="B71" s="750"/>
      <c r="C71" s="751"/>
      <c r="D71" s="765"/>
      <c r="E71" s="753"/>
      <c r="F71" s="736"/>
      <c r="G71" s="750"/>
      <c r="H71" s="751"/>
      <c r="I71" s="759"/>
      <c r="J71" s="766"/>
      <c r="K71" s="766"/>
      <c r="L71" s="766"/>
      <c r="M71" s="766"/>
      <c r="N71" s="759"/>
      <c r="P71" s="753"/>
    </row>
    <row r="72" spans="2:17">
      <c r="B72" s="736"/>
      <c r="C72" s="736"/>
      <c r="D72" s="756">
        <f>SUM(D35:D71)</f>
        <v>1.0000000000000004</v>
      </c>
      <c r="E72" s="757">
        <f>SUM(E35:E71)</f>
        <v>46305821.232672267</v>
      </c>
      <c r="F72" s="736"/>
      <c r="G72" s="742" t="s">
        <v>2813</v>
      </c>
      <c r="H72" s="743"/>
      <c r="I72" s="744"/>
      <c r="J72" s="743"/>
      <c r="K72" s="743"/>
      <c r="L72" s="743"/>
      <c r="M72" s="743"/>
      <c r="N72" s="745">
        <f>SUM(N35:N71)</f>
        <v>5098334.8731912263</v>
      </c>
      <c r="Q72" s="753">
        <f>SUM(Q70,Q64,Q52,Q40)</f>
        <v>51404156.105863474</v>
      </c>
    </row>
    <row r="73" spans="2:17">
      <c r="B73" s="736"/>
      <c r="C73" s="736"/>
      <c r="D73" s="736"/>
      <c r="E73" s="736"/>
      <c r="F73" s="736"/>
      <c r="G73" s="736"/>
      <c r="H73" s="736"/>
      <c r="I73" s="758">
        <f>SUM(I35:I64)</f>
        <v>34697805.302700005</v>
      </c>
      <c r="J73" s="759"/>
      <c r="K73" s="736"/>
      <c r="L73" s="736"/>
      <c r="M73" s="736"/>
      <c r="N73" s="736"/>
      <c r="P73" s="753"/>
    </row>
    <row r="74" spans="2:17">
      <c r="B74" s="736"/>
      <c r="C74" s="736"/>
      <c r="D74" s="760"/>
      <c r="E74" s="761"/>
      <c r="F74" s="736"/>
      <c r="G74" s="736"/>
      <c r="H74" s="736"/>
      <c r="I74" s="762">
        <f>E72*(1-C10)</f>
        <v>41675239.109405041</v>
      </c>
      <c r="J74" s="759"/>
      <c r="K74" s="736"/>
      <c r="L74" s="736"/>
      <c r="M74" s="763" t="s">
        <v>2824</v>
      </c>
      <c r="N74" s="764">
        <f>N72/F17</f>
        <v>0.11901765000000002</v>
      </c>
    </row>
    <row r="75" spans="2:17">
      <c r="B75" s="736"/>
      <c r="C75" s="736"/>
      <c r="D75" s="736"/>
      <c r="E75" s="736"/>
      <c r="F75" s="736"/>
      <c r="G75" s="736"/>
      <c r="H75" s="736"/>
      <c r="I75" s="736"/>
      <c r="J75" s="736"/>
      <c r="K75" s="736"/>
      <c r="L75" s="736"/>
      <c r="M75" s="736"/>
      <c r="N75" s="736"/>
    </row>
    <row r="76" spans="2:17">
      <c r="B76" s="736"/>
      <c r="C76" s="736"/>
      <c r="D76" s="736"/>
      <c r="E76" s="736"/>
      <c r="F76" s="736"/>
      <c r="G76" s="736"/>
      <c r="H76" s="736"/>
      <c r="I76" s="736"/>
      <c r="J76" s="736"/>
      <c r="K76" s="736"/>
      <c r="L76" s="736"/>
      <c r="M76" s="736"/>
      <c r="N76" s="736"/>
    </row>
    <row r="77" spans="2:17">
      <c r="B77" s="736"/>
      <c r="C77" s="736"/>
      <c r="D77" s="736"/>
      <c r="E77" s="736"/>
      <c r="F77" s="736"/>
      <c r="G77" s="736"/>
      <c r="H77" s="736"/>
      <c r="I77" s="736"/>
      <c r="J77" s="759"/>
      <c r="K77" s="736"/>
      <c r="L77" s="736"/>
      <c r="M77" s="736"/>
      <c r="N77" s="736"/>
    </row>
    <row r="78" spans="2:17">
      <c r="B78" s="736"/>
      <c r="C78" s="736"/>
      <c r="D78" s="736"/>
      <c r="E78" s="736"/>
      <c r="F78" s="736"/>
      <c r="G78" s="736"/>
      <c r="H78" s="736"/>
      <c r="I78" s="736"/>
      <c r="J78" s="736"/>
      <c r="K78" s="736"/>
      <c r="L78" s="736"/>
      <c r="M78" s="736"/>
      <c r="N78" s="736"/>
    </row>
    <row r="79" spans="2:17">
      <c r="B79" s="736"/>
      <c r="C79" s="736"/>
      <c r="D79" s="736"/>
      <c r="E79" s="736"/>
      <c r="F79" s="736"/>
      <c r="G79" s="736"/>
      <c r="H79" s="736"/>
      <c r="I79" s="736"/>
      <c r="J79" s="736"/>
      <c r="K79" s="736"/>
      <c r="L79" s="736"/>
      <c r="M79" s="736"/>
      <c r="N79" s="736"/>
    </row>
    <row r="80" spans="2:17">
      <c r="B80" s="736"/>
      <c r="C80" s="736"/>
      <c r="D80" s="736"/>
      <c r="E80" s="736"/>
      <c r="F80" s="736"/>
      <c r="G80" s="736"/>
      <c r="H80" s="736"/>
      <c r="I80" s="736"/>
      <c r="J80" s="736"/>
      <c r="K80" s="736"/>
      <c r="L80" s="736"/>
      <c r="M80" s="736"/>
      <c r="N80" s="736"/>
    </row>
    <row r="81" spans="2:14">
      <c r="B81" s="736"/>
      <c r="C81" s="736"/>
      <c r="D81" s="736"/>
      <c r="E81" s="736"/>
      <c r="F81" s="736"/>
      <c r="G81" s="736"/>
      <c r="H81" s="736"/>
      <c r="I81" s="736"/>
      <c r="J81" s="736"/>
      <c r="K81" s="736"/>
      <c r="L81" s="736"/>
      <c r="M81" s="736"/>
      <c r="N81" s="736"/>
    </row>
    <row r="82" spans="2:14">
      <c r="B82" s="736"/>
      <c r="C82" s="736"/>
      <c r="D82" s="736"/>
      <c r="E82" s="736"/>
      <c r="F82" s="736"/>
      <c r="G82" s="736"/>
      <c r="H82" s="736"/>
      <c r="I82" s="736"/>
      <c r="J82" s="736"/>
      <c r="K82" s="736"/>
      <c r="L82" s="736"/>
      <c r="M82" s="736"/>
      <c r="N82" s="736"/>
    </row>
    <row r="83" spans="2:14">
      <c r="B83" s="736"/>
      <c r="C83" s="736"/>
      <c r="D83" s="736"/>
      <c r="E83" s="736"/>
      <c r="F83" s="736"/>
      <c r="G83" s="736"/>
      <c r="H83" s="736"/>
      <c r="I83" s="736"/>
      <c r="J83" s="736"/>
      <c r="K83" s="736"/>
      <c r="L83" s="736"/>
      <c r="M83" s="736"/>
      <c r="N83" s="736"/>
    </row>
    <row r="84" spans="2:14">
      <c r="B84" s="736"/>
      <c r="C84" s="736"/>
      <c r="D84" s="736"/>
      <c r="E84" s="736"/>
      <c r="F84" s="736"/>
      <c r="G84" s="736"/>
      <c r="H84" s="736"/>
      <c r="I84" s="736"/>
      <c r="J84" s="736"/>
      <c r="K84" s="736"/>
      <c r="L84" s="736"/>
      <c r="M84" s="736"/>
      <c r="N84" s="736"/>
    </row>
    <row r="85" spans="2:14">
      <c r="B85" s="736"/>
      <c r="C85" s="736"/>
      <c r="D85" s="736"/>
      <c r="E85" s="736"/>
      <c r="F85" s="736"/>
      <c r="G85" s="736"/>
      <c r="H85" s="736"/>
      <c r="I85" s="736"/>
      <c r="J85" s="736"/>
      <c r="K85" s="736"/>
      <c r="L85" s="736"/>
      <c r="M85" s="736"/>
      <c r="N85" s="736"/>
    </row>
    <row r="86" spans="2:14">
      <c r="B86" s="736"/>
      <c r="C86" s="736"/>
      <c r="D86" s="736"/>
      <c r="E86" s="736"/>
      <c r="F86" s="736"/>
      <c r="G86" s="736"/>
      <c r="H86" s="736"/>
      <c r="I86" s="736"/>
      <c r="J86" s="736"/>
      <c r="K86" s="736"/>
      <c r="L86" s="736"/>
      <c r="M86" s="736"/>
      <c r="N86" s="736"/>
    </row>
  </sheetData>
  <mergeCells count="3">
    <mergeCell ref="F17:H17"/>
    <mergeCell ref="F18:H18"/>
    <mergeCell ref="F19:H19"/>
  </mergeCells>
  <pageMargins left="0.7" right="0.24" top="0.35" bottom="0.37" header="0.3" footer="0.3"/>
  <pageSetup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149"/>
  <sheetViews>
    <sheetView view="pageBreakPreview" zoomScale="85" zoomScaleNormal="99" zoomScaleSheetLayoutView="85" workbookViewId="0">
      <selection activeCell="D21" sqref="D21"/>
    </sheetView>
  </sheetViews>
  <sheetFormatPr defaultColWidth="6.109375" defaultRowHeight="13.2"/>
  <cols>
    <col min="1" max="1" width="9.109375" style="9" customWidth="1"/>
    <col min="2" max="2" width="8.88671875" style="9" customWidth="1"/>
    <col min="3" max="3" width="9.88671875" style="12" customWidth="1"/>
    <col min="4" max="4" width="58.88671875" style="10" customWidth="1"/>
    <col min="5" max="5" width="8.88671875" style="12" customWidth="1"/>
    <col min="6" max="6" width="10.88671875" style="9" customWidth="1"/>
    <col min="7" max="7" width="14.88671875" style="1227" customWidth="1"/>
    <col min="8" max="8" width="20.88671875" style="1227" customWidth="1"/>
    <col min="9" max="16384" width="6.109375" style="12"/>
  </cols>
  <sheetData>
    <row r="1" spans="1:8" s="7" customFormat="1" ht="15">
      <c r="A1" s="3007" t="s">
        <v>540</v>
      </c>
      <c r="B1" s="3008"/>
      <c r="C1" s="3008"/>
      <c r="D1" s="3008"/>
      <c r="E1" s="3008"/>
      <c r="F1" s="3008"/>
      <c r="G1" s="3008"/>
      <c r="H1" s="3008"/>
    </row>
    <row r="2" spans="1:8" s="32" customFormat="1" ht="25.5" customHeight="1">
      <c r="A2" s="1201" t="s">
        <v>541</v>
      </c>
      <c r="B2" s="1202" t="s">
        <v>217</v>
      </c>
      <c r="C2" s="1203" t="s">
        <v>218</v>
      </c>
      <c r="D2" s="1756" t="s">
        <v>219</v>
      </c>
      <c r="E2" s="1757" t="s">
        <v>220</v>
      </c>
      <c r="F2" s="1758" t="s">
        <v>221</v>
      </c>
      <c r="G2" s="803" t="s">
        <v>222</v>
      </c>
      <c r="H2" s="804" t="s">
        <v>223</v>
      </c>
    </row>
    <row r="3" spans="1:8">
      <c r="A3" s="1204"/>
      <c r="B3" s="1205"/>
      <c r="C3" s="1205"/>
      <c r="D3" s="1206"/>
      <c r="E3" s="1207"/>
      <c r="F3" s="1208"/>
      <c r="G3" s="1160"/>
      <c r="H3" s="783"/>
    </row>
    <row r="4" spans="1:8" s="1211" customFormat="1" ht="13.8">
      <c r="A4" s="1759">
        <v>2</v>
      </c>
      <c r="B4" s="1760">
        <v>1</v>
      </c>
      <c r="C4" s="1209"/>
      <c r="D4" s="1761" t="s">
        <v>542</v>
      </c>
      <c r="E4" s="1762"/>
      <c r="F4" s="1762"/>
      <c r="G4" s="1161"/>
      <c r="H4" s="1210"/>
    </row>
    <row r="5" spans="1:8">
      <c r="A5" s="1763"/>
      <c r="B5" s="1667"/>
      <c r="C5" s="1667"/>
      <c r="D5" s="1668"/>
      <c r="E5" s="1212"/>
      <c r="F5" s="1670"/>
      <c r="G5" s="1764"/>
      <c r="H5" s="784"/>
    </row>
    <row r="6" spans="1:8" ht="26.4">
      <c r="A6" s="1763"/>
      <c r="B6" s="1765" t="s">
        <v>543</v>
      </c>
      <c r="C6" s="1766" t="s">
        <v>544</v>
      </c>
      <c r="D6" s="1767" t="s">
        <v>545</v>
      </c>
      <c r="E6" s="1213"/>
      <c r="F6" s="1550"/>
      <c r="G6" s="1768"/>
      <c r="H6" s="785"/>
    </row>
    <row r="7" spans="1:8">
      <c r="A7" s="1763"/>
      <c r="B7" s="1551"/>
      <c r="C7" s="1550"/>
      <c r="D7" s="1583"/>
      <c r="E7" s="1214"/>
      <c r="F7" s="1550"/>
      <c r="G7" s="1505"/>
      <c r="H7" s="1506"/>
    </row>
    <row r="8" spans="1:8">
      <c r="A8" s="1763">
        <f>A4</f>
        <v>2</v>
      </c>
      <c r="B8" s="1769">
        <v>1.1000000000000001</v>
      </c>
      <c r="C8" s="1550" t="s">
        <v>546</v>
      </c>
      <c r="D8" s="1770" t="s">
        <v>547</v>
      </c>
      <c r="E8" s="1215" t="s">
        <v>548</v>
      </c>
      <c r="F8" s="1550">
        <v>1</v>
      </c>
      <c r="G8" s="1506">
        <v>25000</v>
      </c>
      <c r="H8" s="1501">
        <f t="shared" ref="H8:H70" si="0">IF(E8="","",ROUND(F8*G8,2))</f>
        <v>25000</v>
      </c>
    </row>
    <row r="9" spans="1:8">
      <c r="A9" s="1763"/>
      <c r="B9" s="1551"/>
      <c r="C9" s="1550"/>
      <c r="D9" s="1770"/>
      <c r="E9" s="1215"/>
      <c r="F9" s="1550"/>
      <c r="G9" s="1505"/>
      <c r="H9" s="1501" t="str">
        <f t="shared" si="0"/>
        <v/>
      </c>
    </row>
    <row r="10" spans="1:8" ht="26.4">
      <c r="A10" s="1763"/>
      <c r="B10" s="1765" t="s">
        <v>549</v>
      </c>
      <c r="C10" s="1766" t="s">
        <v>550</v>
      </c>
      <c r="D10" s="1767" t="s">
        <v>551</v>
      </c>
      <c r="E10" s="335"/>
      <c r="F10" s="1266"/>
      <c r="G10" s="1505"/>
      <c r="H10" s="1501" t="str">
        <f t="shared" si="0"/>
        <v/>
      </c>
    </row>
    <row r="11" spans="1:8">
      <c r="A11" s="1763"/>
      <c r="B11" s="1551"/>
      <c r="C11" s="1550"/>
      <c r="D11" s="1771"/>
      <c r="E11" s="335"/>
      <c r="F11" s="1266"/>
      <c r="G11" s="1505"/>
      <c r="H11" s="1501" t="str">
        <f t="shared" si="0"/>
        <v/>
      </c>
    </row>
    <row r="12" spans="1:8" ht="26.4">
      <c r="A12" s="1763"/>
      <c r="B12" s="1769"/>
      <c r="C12" s="1550" t="s">
        <v>226</v>
      </c>
      <c r="D12" s="1772" t="s">
        <v>552</v>
      </c>
      <c r="E12" s="335"/>
      <c r="F12" s="1266"/>
      <c r="G12" s="1505"/>
      <c r="H12" s="1501" t="str">
        <f t="shared" si="0"/>
        <v/>
      </c>
    </row>
    <row r="13" spans="1:8">
      <c r="A13" s="1763"/>
      <c r="B13" s="1769"/>
      <c r="C13" s="1550"/>
      <c r="D13" s="1771"/>
      <c r="E13" s="335"/>
      <c r="F13" s="1266"/>
      <c r="G13" s="1505"/>
      <c r="H13" s="1501" t="str">
        <f t="shared" si="0"/>
        <v/>
      </c>
    </row>
    <row r="14" spans="1:8">
      <c r="A14" s="1763"/>
      <c r="B14" s="1769"/>
      <c r="C14" s="1550"/>
      <c r="D14" s="1772" t="s">
        <v>553</v>
      </c>
      <c r="E14" s="335"/>
      <c r="F14" s="1266"/>
      <c r="G14" s="1505"/>
      <c r="H14" s="1501" t="str">
        <f t="shared" si="0"/>
        <v/>
      </c>
    </row>
    <row r="15" spans="1:8">
      <c r="A15" s="1763"/>
      <c r="B15" s="1769"/>
      <c r="C15" s="1550"/>
      <c r="D15" s="1771"/>
      <c r="E15" s="335"/>
      <c r="F15" s="1266"/>
      <c r="G15" s="1505"/>
      <c r="H15" s="1501" t="str">
        <f t="shared" si="0"/>
        <v/>
      </c>
    </row>
    <row r="16" spans="1:8">
      <c r="A16" s="1763">
        <f>A4</f>
        <v>2</v>
      </c>
      <c r="B16" s="1769">
        <v>1.2</v>
      </c>
      <c r="C16" s="1550"/>
      <c r="D16" s="1772" t="s">
        <v>514</v>
      </c>
      <c r="E16" s="1213" t="s">
        <v>508</v>
      </c>
      <c r="F16" s="1550">
        <v>10</v>
      </c>
      <c r="G16" s="1505"/>
      <c r="H16" s="1501">
        <f t="shared" si="0"/>
        <v>0</v>
      </c>
    </row>
    <row r="17" spans="1:8">
      <c r="A17" s="1763"/>
      <c r="B17" s="1769"/>
      <c r="C17" s="1550"/>
      <c r="D17" s="1773"/>
      <c r="E17" s="335"/>
      <c r="F17" s="1550"/>
      <c r="G17" s="1505"/>
      <c r="H17" s="1501" t="str">
        <f t="shared" si="0"/>
        <v/>
      </c>
    </row>
    <row r="18" spans="1:8">
      <c r="A18" s="1763">
        <f>A4</f>
        <v>2</v>
      </c>
      <c r="B18" s="1769">
        <v>1.3</v>
      </c>
      <c r="C18" s="1550" t="s">
        <v>305</v>
      </c>
      <c r="D18" s="1772" t="s">
        <v>554</v>
      </c>
      <c r="E18" s="1213" t="s">
        <v>508</v>
      </c>
      <c r="F18" s="1266">
        <v>10</v>
      </c>
      <c r="G18" s="1508"/>
      <c r="H18" s="1501">
        <f t="shared" si="0"/>
        <v>0</v>
      </c>
    </row>
    <row r="19" spans="1:8">
      <c r="A19" s="1763"/>
      <c r="B19" s="1769"/>
      <c r="C19" s="1550"/>
      <c r="D19" s="1771"/>
      <c r="E19" s="1213"/>
      <c r="F19" s="1550"/>
      <c r="G19" s="1505"/>
      <c r="H19" s="1501" t="str">
        <f t="shared" si="0"/>
        <v/>
      </c>
    </row>
    <row r="20" spans="1:8">
      <c r="A20" s="1763"/>
      <c r="B20" s="1769"/>
      <c r="C20" s="1550"/>
      <c r="D20" s="1767" t="s">
        <v>555</v>
      </c>
      <c r="E20" s="335"/>
      <c r="F20" s="1550"/>
      <c r="G20" s="1505"/>
      <c r="H20" s="1501" t="str">
        <f t="shared" si="0"/>
        <v/>
      </c>
    </row>
    <row r="21" spans="1:8">
      <c r="A21" s="1763"/>
      <c r="B21" s="1769"/>
      <c r="C21" s="1701"/>
      <c r="D21" s="1771"/>
      <c r="E21" s="335"/>
      <c r="F21" s="1550"/>
      <c r="G21" s="1505"/>
      <c r="H21" s="1501" t="str">
        <f t="shared" si="0"/>
        <v/>
      </c>
    </row>
    <row r="22" spans="1:8">
      <c r="A22" s="1763">
        <f>A4</f>
        <v>2</v>
      </c>
      <c r="B22" s="1769">
        <v>1.4</v>
      </c>
      <c r="C22" s="1550"/>
      <c r="D22" s="1772" t="s">
        <v>556</v>
      </c>
      <c r="E22" s="1213" t="s">
        <v>508</v>
      </c>
      <c r="F22" s="1550">
        <v>10</v>
      </c>
      <c r="G22" s="1505"/>
      <c r="H22" s="1501">
        <f t="shared" si="0"/>
        <v>0</v>
      </c>
    </row>
    <row r="23" spans="1:8">
      <c r="A23" s="1763"/>
      <c r="B23" s="1769"/>
      <c r="C23" s="1550"/>
      <c r="D23" s="1771"/>
      <c r="E23" s="335"/>
      <c r="F23" s="1550"/>
      <c r="G23" s="1508"/>
      <c r="H23" s="1501" t="str">
        <f t="shared" si="0"/>
        <v/>
      </c>
    </row>
    <row r="24" spans="1:8">
      <c r="A24" s="1763">
        <f>A4</f>
        <v>2</v>
      </c>
      <c r="B24" s="1769">
        <v>1.5</v>
      </c>
      <c r="C24" s="1550"/>
      <c r="D24" s="1772" t="s">
        <v>557</v>
      </c>
      <c r="E24" s="1213" t="s">
        <v>508</v>
      </c>
      <c r="F24" s="1550">
        <v>10</v>
      </c>
      <c r="G24" s="1505"/>
      <c r="H24" s="1501">
        <f t="shared" si="0"/>
        <v>0</v>
      </c>
    </row>
    <row r="25" spans="1:8">
      <c r="A25" s="1763"/>
      <c r="B25" s="1551"/>
      <c r="C25" s="1550"/>
      <c r="D25" s="1773"/>
      <c r="E25" s="335"/>
      <c r="F25" s="1550"/>
      <c r="G25" s="1505"/>
      <c r="H25" s="1501" t="str">
        <f t="shared" si="0"/>
        <v/>
      </c>
    </row>
    <row r="26" spans="1:8">
      <c r="A26" s="1763"/>
      <c r="B26" s="1774" t="s">
        <v>558</v>
      </c>
      <c r="D26" s="1767" t="s">
        <v>559</v>
      </c>
      <c r="E26" s="1213"/>
      <c r="F26" s="1550"/>
      <c r="G26" s="1505"/>
      <c r="H26" s="1501" t="str">
        <f t="shared" si="0"/>
        <v/>
      </c>
    </row>
    <row r="27" spans="1:8">
      <c r="A27" s="1763"/>
      <c r="B27" s="1551"/>
      <c r="C27" s="1550"/>
      <c r="D27" s="1583"/>
      <c r="E27" s="1214"/>
      <c r="F27" s="1550"/>
      <c r="G27" s="1505"/>
      <c r="H27" s="1501" t="str">
        <f t="shared" si="0"/>
        <v/>
      </c>
    </row>
    <row r="28" spans="1:8">
      <c r="A28" s="1763">
        <f>A4</f>
        <v>2</v>
      </c>
      <c r="B28" s="1769">
        <v>1.6</v>
      </c>
      <c r="C28" s="1775"/>
      <c r="D28" s="1770" t="s">
        <v>560</v>
      </c>
      <c r="E28" s="1215" t="s">
        <v>561</v>
      </c>
      <c r="F28" s="1776">
        <v>1600</v>
      </c>
      <c r="G28" s="1499"/>
      <c r="H28" s="1501">
        <f t="shared" si="0"/>
        <v>0</v>
      </c>
    </row>
    <row r="29" spans="1:8">
      <c r="A29" s="1763"/>
      <c r="B29" s="1776"/>
      <c r="C29" s="1776"/>
      <c r="D29" s="1583"/>
      <c r="E29" s="1214"/>
      <c r="F29" s="1776"/>
      <c r="G29" s="1499"/>
      <c r="H29" s="1501" t="str">
        <f t="shared" si="0"/>
        <v/>
      </c>
    </row>
    <row r="30" spans="1:8">
      <c r="A30" s="1763"/>
      <c r="B30" s="1777" t="s">
        <v>562</v>
      </c>
      <c r="C30" s="1776"/>
      <c r="D30" s="1767" t="s">
        <v>563</v>
      </c>
      <c r="E30" s="1213"/>
      <c r="F30" s="1776"/>
      <c r="G30" s="1499"/>
      <c r="H30" s="1501" t="str">
        <f t="shared" si="0"/>
        <v/>
      </c>
    </row>
    <row r="31" spans="1:8">
      <c r="A31" s="1763"/>
      <c r="B31" s="1776"/>
      <c r="C31" s="1776"/>
      <c r="D31" s="1583"/>
      <c r="E31" s="1214"/>
      <c r="F31" s="1776"/>
      <c r="G31" s="1499"/>
      <c r="H31" s="1501" t="str">
        <f t="shared" si="0"/>
        <v/>
      </c>
    </row>
    <row r="32" spans="1:8" ht="26.4">
      <c r="A32" s="1763">
        <f>A4</f>
        <v>2</v>
      </c>
      <c r="B32" s="1769">
        <v>1.7</v>
      </c>
      <c r="C32" s="1776"/>
      <c r="D32" s="1778" t="s">
        <v>564</v>
      </c>
      <c r="E32" s="1215" t="s">
        <v>565</v>
      </c>
      <c r="F32" s="1779">
        <v>1500</v>
      </c>
      <c r="G32" s="1499"/>
      <c r="H32" s="1501">
        <f t="shared" si="0"/>
        <v>0</v>
      </c>
    </row>
    <row r="33" spans="1:8">
      <c r="A33" s="1763"/>
      <c r="B33" s="1769"/>
      <c r="C33" s="1776"/>
      <c r="D33" s="1583"/>
      <c r="E33" s="1214"/>
      <c r="F33" s="1776"/>
      <c r="G33" s="1499"/>
      <c r="H33" s="1501" t="str">
        <f t="shared" si="0"/>
        <v/>
      </c>
    </row>
    <row r="34" spans="1:8" ht="15.6">
      <c r="A34" s="1763">
        <f>A4</f>
        <v>2</v>
      </c>
      <c r="B34" s="1769">
        <v>1.8</v>
      </c>
      <c r="C34" s="1776"/>
      <c r="D34" s="1778" t="s">
        <v>566</v>
      </c>
      <c r="E34" s="1215" t="s">
        <v>565</v>
      </c>
      <c r="F34" s="1779">
        <v>1500</v>
      </c>
      <c r="G34" s="1499"/>
      <c r="H34" s="1501">
        <f t="shared" si="0"/>
        <v>0</v>
      </c>
    </row>
    <row r="35" spans="1:8">
      <c r="A35" s="1763"/>
      <c r="B35" s="1769"/>
      <c r="C35" s="1776"/>
      <c r="D35" s="1778"/>
      <c r="E35" s="1215"/>
      <c r="F35" s="1779"/>
      <c r="G35" s="1499"/>
      <c r="H35" s="1501" t="str">
        <f t="shared" si="0"/>
        <v/>
      </c>
    </row>
    <row r="36" spans="1:8">
      <c r="A36" s="1763">
        <f>A4</f>
        <v>2</v>
      </c>
      <c r="B36" s="1769">
        <v>1.9</v>
      </c>
      <c r="C36" s="1776"/>
      <c r="D36" s="1780" t="s">
        <v>567</v>
      </c>
      <c r="E36" s="1261" t="s">
        <v>529</v>
      </c>
      <c r="F36" s="1781">
        <v>1</v>
      </c>
      <c r="G36" s="1503">
        <v>758300</v>
      </c>
      <c r="H36" s="1501">
        <f t="shared" si="0"/>
        <v>758300</v>
      </c>
    </row>
    <row r="37" spans="1:8">
      <c r="A37" s="1763"/>
      <c r="B37" s="1769"/>
      <c r="C37" s="1667"/>
      <c r="D37" s="1583"/>
      <c r="E37" s="1214"/>
      <c r="F37" s="1670"/>
      <c r="G37" s="1499"/>
      <c r="H37" s="1501" t="str">
        <f t="shared" si="0"/>
        <v/>
      </c>
    </row>
    <row r="38" spans="1:8" ht="26.4">
      <c r="A38" s="1763"/>
      <c r="B38" s="1776"/>
      <c r="C38" s="1766" t="s">
        <v>568</v>
      </c>
      <c r="D38" s="1767" t="s">
        <v>569</v>
      </c>
      <c r="E38" s="1213"/>
      <c r="F38" s="1776"/>
      <c r="G38" s="1499"/>
      <c r="H38" s="1501" t="str">
        <f t="shared" si="0"/>
        <v/>
      </c>
    </row>
    <row r="39" spans="1:8">
      <c r="A39" s="1763"/>
      <c r="B39" s="1776"/>
      <c r="C39" s="1776"/>
      <c r="D39" s="1583"/>
      <c r="E39" s="1214"/>
      <c r="F39" s="1776"/>
      <c r="G39" s="1499"/>
      <c r="H39" s="1501" t="str">
        <f t="shared" si="0"/>
        <v/>
      </c>
    </row>
    <row r="40" spans="1:8" ht="15.6">
      <c r="A40" s="1763">
        <f>A4</f>
        <v>2</v>
      </c>
      <c r="B40" s="1769">
        <v>1.9</v>
      </c>
      <c r="C40" s="1776" t="s">
        <v>328</v>
      </c>
      <c r="D40" s="1770" t="s">
        <v>570</v>
      </c>
      <c r="E40" s="1215" t="s">
        <v>565</v>
      </c>
      <c r="F40" s="1776">
        <v>1500</v>
      </c>
      <c r="G40" s="1499"/>
      <c r="H40" s="1501">
        <f t="shared" si="0"/>
        <v>0</v>
      </c>
    </row>
    <row r="41" spans="1:8">
      <c r="A41" s="1763"/>
      <c r="B41" s="1776"/>
      <c r="C41" s="1776"/>
      <c r="D41" s="1583"/>
      <c r="E41" s="1214"/>
      <c r="F41" s="1776"/>
      <c r="G41" s="1499"/>
      <c r="H41" s="1501" t="str">
        <f t="shared" si="0"/>
        <v/>
      </c>
    </row>
    <row r="42" spans="1:8">
      <c r="A42" s="1763"/>
      <c r="B42" s="1776"/>
      <c r="C42" s="1776"/>
      <c r="D42" s="1767" t="s">
        <v>571</v>
      </c>
      <c r="E42" s="1216"/>
      <c r="F42" s="1776"/>
      <c r="G42" s="1499"/>
      <c r="H42" s="1501" t="str">
        <f t="shared" si="0"/>
        <v/>
      </c>
    </row>
    <row r="43" spans="1:8">
      <c r="A43" s="1763"/>
      <c r="B43" s="1776"/>
      <c r="C43" s="1776"/>
      <c r="D43" s="1583"/>
      <c r="E43" s="1214"/>
      <c r="F43" s="1776"/>
      <c r="G43" s="1499"/>
      <c r="H43" s="1501" t="str">
        <f t="shared" si="0"/>
        <v/>
      </c>
    </row>
    <row r="44" spans="1:8">
      <c r="A44" s="1763"/>
      <c r="B44" s="1763"/>
      <c r="C44" s="1776"/>
      <c r="D44" s="1772" t="s">
        <v>572</v>
      </c>
      <c r="E44" s="1213"/>
      <c r="F44" s="1776"/>
      <c r="G44" s="1499"/>
      <c r="H44" s="1501" t="str">
        <f t="shared" si="0"/>
        <v/>
      </c>
    </row>
    <row r="45" spans="1:8">
      <c r="A45" s="1763"/>
      <c r="B45" s="1776"/>
      <c r="C45" s="1776"/>
      <c r="D45" s="1583"/>
      <c r="E45" s="1214"/>
      <c r="F45" s="1776"/>
      <c r="G45" s="1499"/>
      <c r="H45" s="1501" t="str">
        <f t="shared" si="0"/>
        <v/>
      </c>
    </row>
    <row r="46" spans="1:8" ht="15.6">
      <c r="A46" s="1763">
        <f>A4</f>
        <v>2</v>
      </c>
      <c r="B46" s="1782">
        <v>1.1000000000000001</v>
      </c>
      <c r="C46" s="1271"/>
      <c r="D46" s="1772" t="s">
        <v>573</v>
      </c>
      <c r="E46" s="1215" t="s">
        <v>565</v>
      </c>
      <c r="F46" s="1271">
        <v>1500</v>
      </c>
      <c r="G46" s="1508"/>
      <c r="H46" s="1501">
        <f t="shared" si="0"/>
        <v>0</v>
      </c>
    </row>
    <row r="47" spans="1:8">
      <c r="A47" s="1763"/>
      <c r="B47" s="1712"/>
      <c r="C47" s="1701"/>
      <c r="D47" s="1583"/>
      <c r="E47" s="1214"/>
      <c r="F47" s="1271"/>
      <c r="G47" s="1508"/>
      <c r="H47" s="1501" t="str">
        <f t="shared" si="0"/>
        <v/>
      </c>
    </row>
    <row r="48" spans="1:8">
      <c r="A48" s="1763"/>
      <c r="B48" s="1712"/>
      <c r="C48" s="1701"/>
      <c r="D48" s="1767" t="s">
        <v>574</v>
      </c>
      <c r="E48" s="1216"/>
      <c r="F48" s="1271"/>
      <c r="G48" s="1508"/>
      <c r="H48" s="1501" t="str">
        <f t="shared" si="0"/>
        <v/>
      </c>
    </row>
    <row r="49" spans="1:8">
      <c r="A49" s="1763"/>
      <c r="B49" s="1667"/>
      <c r="C49" s="1667"/>
      <c r="D49" s="1583"/>
      <c r="E49" s="1024"/>
      <c r="F49" s="1670"/>
      <c r="G49" s="1502"/>
      <c r="H49" s="1501" t="str">
        <f t="shared" si="0"/>
        <v/>
      </c>
    </row>
    <row r="50" spans="1:8" ht="26.4">
      <c r="A50" s="1763">
        <f>A4</f>
        <v>2</v>
      </c>
      <c r="B50" s="1782">
        <v>1.1100000000000001</v>
      </c>
      <c r="C50" s="1783" t="s">
        <v>575</v>
      </c>
      <c r="D50" s="1772" t="s">
        <v>576</v>
      </c>
      <c r="E50" s="1215" t="s">
        <v>565</v>
      </c>
      <c r="F50" s="1550">
        <v>18000</v>
      </c>
      <c r="G50" s="1505"/>
      <c r="H50" s="1501">
        <f t="shared" si="0"/>
        <v>0</v>
      </c>
    </row>
    <row r="51" spans="1:8">
      <c r="A51" s="1763"/>
      <c r="B51" s="1551"/>
      <c r="C51" s="1783"/>
      <c r="D51" s="1772"/>
      <c r="E51" s="1213"/>
      <c r="F51" s="1550"/>
      <c r="G51" s="1505"/>
      <c r="H51" s="1501" t="str">
        <f t="shared" si="0"/>
        <v/>
      </c>
    </row>
    <row r="52" spans="1:8">
      <c r="A52" s="1763"/>
      <c r="B52" s="1551"/>
      <c r="C52" s="1783"/>
      <c r="D52" s="1784" t="s">
        <v>577</v>
      </c>
      <c r="E52" s="1217"/>
      <c r="F52" s="1776"/>
      <c r="G52" s="1499"/>
      <c r="H52" s="1501" t="str">
        <f t="shared" si="0"/>
        <v/>
      </c>
    </row>
    <row r="53" spans="1:8">
      <c r="A53" s="1763"/>
      <c r="B53" s="1551"/>
      <c r="C53" s="1783"/>
      <c r="D53" s="1778"/>
      <c r="E53" s="10"/>
      <c r="F53" s="1776"/>
      <c r="G53" s="1499"/>
      <c r="H53" s="1501" t="str">
        <f t="shared" si="0"/>
        <v/>
      </c>
    </row>
    <row r="54" spans="1:8">
      <c r="A54" s="1763">
        <f>A4</f>
        <v>2</v>
      </c>
      <c r="B54" s="1782">
        <v>1.1200000000000001</v>
      </c>
      <c r="C54" s="1783" t="s">
        <v>387</v>
      </c>
      <c r="D54" s="1770" t="s">
        <v>578</v>
      </c>
      <c r="E54" s="1217" t="s">
        <v>579</v>
      </c>
      <c r="F54" s="1776">
        <v>18000</v>
      </c>
      <c r="G54" s="1499"/>
      <c r="H54" s="1501">
        <f t="shared" si="0"/>
        <v>0</v>
      </c>
    </row>
    <row r="55" spans="1:8">
      <c r="A55" s="1763"/>
      <c r="B55" s="1551"/>
      <c r="C55" s="1783"/>
      <c r="D55" s="1583"/>
      <c r="E55" s="1214"/>
      <c r="F55" s="1776"/>
      <c r="G55" s="1499"/>
      <c r="H55" s="1501" t="str">
        <f t="shared" si="0"/>
        <v/>
      </c>
    </row>
    <row r="56" spans="1:8" ht="26.4">
      <c r="A56" s="1763"/>
      <c r="B56" s="1765" t="s">
        <v>580</v>
      </c>
      <c r="C56" s="1766" t="s">
        <v>581</v>
      </c>
      <c r="D56" s="1767" t="s">
        <v>582</v>
      </c>
      <c r="E56" s="1218"/>
      <c r="F56" s="1776"/>
      <c r="G56" s="1499"/>
      <c r="H56" s="1501" t="str">
        <f t="shared" si="0"/>
        <v/>
      </c>
    </row>
    <row r="57" spans="1:8">
      <c r="A57" s="1763"/>
      <c r="B57" s="1551"/>
      <c r="C57" s="1783"/>
      <c r="D57" s="1583"/>
      <c r="E57" s="1214"/>
      <c r="F57" s="1776"/>
      <c r="G57" s="1499"/>
      <c r="H57" s="1501" t="str">
        <f t="shared" si="0"/>
        <v/>
      </c>
    </row>
    <row r="58" spans="1:8">
      <c r="A58" s="1763">
        <f>A4</f>
        <v>2</v>
      </c>
      <c r="B58" s="1782">
        <v>1.1299999999999999</v>
      </c>
      <c r="C58" s="1783"/>
      <c r="D58" s="1770" t="s">
        <v>583</v>
      </c>
      <c r="E58" s="1213" t="s">
        <v>508</v>
      </c>
      <c r="F58" s="1776">
        <v>290</v>
      </c>
      <c r="G58" s="1499"/>
      <c r="H58" s="1501">
        <f t="shared" si="0"/>
        <v>0</v>
      </c>
    </row>
    <row r="59" spans="1:8">
      <c r="A59" s="1763"/>
      <c r="B59" s="1782"/>
      <c r="C59" s="1783"/>
      <c r="D59" s="1778"/>
      <c r="E59" s="1219"/>
      <c r="F59" s="1776"/>
      <c r="G59" s="1499"/>
      <c r="H59" s="1501" t="str">
        <f t="shared" si="0"/>
        <v/>
      </c>
    </row>
    <row r="60" spans="1:8">
      <c r="A60" s="1763">
        <f>A4</f>
        <v>2</v>
      </c>
      <c r="B60" s="1782">
        <v>1.1399999999999999</v>
      </c>
      <c r="C60" s="1783" t="s">
        <v>375</v>
      </c>
      <c r="D60" s="1770" t="s">
        <v>584</v>
      </c>
      <c r="E60" s="1213" t="s">
        <v>508</v>
      </c>
      <c r="F60" s="1776">
        <v>290</v>
      </c>
      <c r="G60" s="1499"/>
      <c r="H60" s="1501">
        <f t="shared" si="0"/>
        <v>0</v>
      </c>
    </row>
    <row r="61" spans="1:8">
      <c r="A61" s="1763"/>
      <c r="B61" s="1782"/>
      <c r="C61" s="1783"/>
      <c r="D61" s="1778"/>
      <c r="E61" s="1219"/>
      <c r="F61" s="1776"/>
      <c r="G61" s="1499"/>
      <c r="H61" s="1501" t="str">
        <f t="shared" si="0"/>
        <v/>
      </c>
    </row>
    <row r="62" spans="1:8" ht="26.4">
      <c r="A62" s="1763">
        <f>A4</f>
        <v>2</v>
      </c>
      <c r="B62" s="1782">
        <v>1.1499999999999999</v>
      </c>
      <c r="C62" s="1783"/>
      <c r="D62" s="1770" t="s">
        <v>585</v>
      </c>
      <c r="E62" s="1215" t="s">
        <v>561</v>
      </c>
      <c r="F62" s="1776">
        <v>5000</v>
      </c>
      <c r="G62" s="1502"/>
      <c r="H62" s="1501">
        <f t="shared" si="0"/>
        <v>0</v>
      </c>
    </row>
    <row r="63" spans="1:8" ht="6.75" customHeight="1">
      <c r="A63" s="1763"/>
      <c r="B63" s="1551"/>
      <c r="C63" s="1783"/>
      <c r="D63" s="1778"/>
      <c r="E63" s="1219"/>
      <c r="F63" s="1550"/>
      <c r="G63" s="1499"/>
      <c r="H63" s="1501" t="str">
        <f t="shared" si="0"/>
        <v/>
      </c>
    </row>
    <row r="64" spans="1:8" ht="26.4">
      <c r="A64" s="1763"/>
      <c r="B64" s="1765" t="s">
        <v>586</v>
      </c>
      <c r="C64" s="1766" t="s">
        <v>587</v>
      </c>
      <c r="D64" s="1767" t="s">
        <v>588</v>
      </c>
      <c r="E64" s="1218"/>
      <c r="F64" s="1550"/>
      <c r="G64" s="1499"/>
      <c r="H64" s="1501" t="str">
        <f t="shared" si="0"/>
        <v/>
      </c>
    </row>
    <row r="65" spans="1:8" ht="6.75" customHeight="1">
      <c r="A65" s="1763"/>
      <c r="B65" s="1551"/>
      <c r="C65" s="1783"/>
      <c r="D65" s="1778"/>
      <c r="E65" s="1219"/>
      <c r="F65" s="1670"/>
      <c r="G65" s="1499"/>
      <c r="H65" s="1501" t="str">
        <f t="shared" si="0"/>
        <v/>
      </c>
    </row>
    <row r="66" spans="1:8" ht="26.4">
      <c r="A66" s="1763">
        <f>A4</f>
        <v>2</v>
      </c>
      <c r="B66" s="1782">
        <v>1.1599999999999999</v>
      </c>
      <c r="C66" s="1783"/>
      <c r="D66" s="1770" t="s">
        <v>589</v>
      </c>
      <c r="E66" s="1215" t="s">
        <v>565</v>
      </c>
      <c r="F66" s="1670">
        <v>5560</v>
      </c>
      <c r="G66" s="1499"/>
      <c r="H66" s="1501">
        <f t="shared" si="0"/>
        <v>0</v>
      </c>
    </row>
    <row r="67" spans="1:8">
      <c r="A67" s="1763"/>
      <c r="B67" s="1551"/>
      <c r="C67" s="1783"/>
      <c r="D67" s="1770"/>
      <c r="E67" s="1215"/>
      <c r="F67" s="1670"/>
      <c r="G67" s="1499"/>
      <c r="H67" s="1501" t="str">
        <f t="shared" si="0"/>
        <v/>
      </c>
    </row>
    <row r="68" spans="1:8" ht="26.4">
      <c r="A68" s="1763">
        <f>A4</f>
        <v>2</v>
      </c>
      <c r="B68" s="1782">
        <v>1.17</v>
      </c>
      <c r="C68" s="1776" t="s">
        <v>590</v>
      </c>
      <c r="D68" s="1770" t="s">
        <v>591</v>
      </c>
      <c r="E68" s="1215" t="s">
        <v>565</v>
      </c>
      <c r="F68" s="1785">
        <v>5560</v>
      </c>
      <c r="G68" s="1499"/>
      <c r="H68" s="1501">
        <f t="shared" si="0"/>
        <v>0</v>
      </c>
    </row>
    <row r="69" spans="1:8">
      <c r="A69" s="1763"/>
      <c r="B69" s="1782"/>
      <c r="C69" s="1776"/>
      <c r="D69" s="1778"/>
      <c r="E69" s="1219"/>
      <c r="F69" s="1785"/>
      <c r="G69" s="1499"/>
      <c r="H69" s="1501" t="str">
        <f t="shared" si="0"/>
        <v/>
      </c>
    </row>
    <row r="70" spans="1:8" ht="26.4">
      <c r="A70" s="1763">
        <f>A4</f>
        <v>2</v>
      </c>
      <c r="B70" s="1782">
        <v>1.18</v>
      </c>
      <c r="C70" s="1776"/>
      <c r="D70" s="1770" t="s">
        <v>592</v>
      </c>
      <c r="E70" s="1215" t="s">
        <v>565</v>
      </c>
      <c r="F70" s="1776">
        <v>200</v>
      </c>
      <c r="G70" s="1499"/>
      <c r="H70" s="1501">
        <f t="shared" si="0"/>
        <v>0</v>
      </c>
    </row>
    <row r="71" spans="1:8">
      <c r="A71" s="1763"/>
      <c r="B71" s="1551"/>
      <c r="C71" s="1783"/>
      <c r="D71" s="1778"/>
      <c r="E71" s="1219"/>
      <c r="F71" s="1550"/>
      <c r="G71" s="1162"/>
      <c r="H71" s="785"/>
    </row>
    <row r="72" spans="1:8">
      <c r="A72" s="1786"/>
      <c r="B72" s="787"/>
      <c r="C72" s="787"/>
      <c r="D72" s="801"/>
      <c r="E72" s="801"/>
      <c r="F72" s="800"/>
      <c r="G72" s="1163"/>
      <c r="H72" s="786"/>
    </row>
    <row r="73" spans="1:8">
      <c r="A73" s="802"/>
      <c r="B73" s="566"/>
      <c r="C73" s="566"/>
      <c r="D73" s="457" t="s">
        <v>289</v>
      </c>
      <c r="E73" s="426"/>
      <c r="F73" s="425"/>
      <c r="G73" s="1164"/>
      <c r="H73" s="1185">
        <f>SUM(H3:H71)</f>
        <v>783300</v>
      </c>
    </row>
    <row r="74" spans="1:8">
      <c r="A74" s="1763"/>
      <c r="B74" s="1787"/>
      <c r="C74" s="1788"/>
      <c r="D74" s="1789" t="s">
        <v>290</v>
      </c>
      <c r="E74" s="1220"/>
      <c r="F74" s="1788"/>
      <c r="G74" s="1165"/>
      <c r="H74" s="1186">
        <f>H73</f>
        <v>783300</v>
      </c>
    </row>
    <row r="75" spans="1:8">
      <c r="A75" s="1763"/>
      <c r="B75" s="1776"/>
      <c r="C75" s="1550"/>
      <c r="D75" s="1778"/>
      <c r="E75" s="1219"/>
      <c r="F75" s="1670"/>
      <c r="G75" s="1499"/>
      <c r="H75" s="1500"/>
    </row>
    <row r="76" spans="1:8" ht="26.4">
      <c r="A76" s="1763">
        <f>A4</f>
        <v>2</v>
      </c>
      <c r="B76" s="1782">
        <v>1.19</v>
      </c>
      <c r="C76" s="1776"/>
      <c r="D76" s="1770" t="s">
        <v>593</v>
      </c>
      <c r="E76" s="1215" t="s">
        <v>565</v>
      </c>
      <c r="F76" s="1776">
        <v>200</v>
      </c>
      <c r="G76" s="1499"/>
      <c r="H76" s="1501">
        <f t="shared" ref="H76:H118" si="1">IF(E76="","",ROUND(F76*G76,2))</f>
        <v>0</v>
      </c>
    </row>
    <row r="77" spans="1:8">
      <c r="A77" s="1763"/>
      <c r="B77" s="1782"/>
      <c r="C77" s="1776"/>
      <c r="D77" s="1778"/>
      <c r="E77" s="1219"/>
      <c r="F77" s="1776"/>
      <c r="G77" s="1499"/>
      <c r="H77" s="1501" t="str">
        <f t="shared" si="1"/>
        <v/>
      </c>
    </row>
    <row r="78" spans="1:8" ht="15.6">
      <c r="A78" s="1763">
        <f>A4</f>
        <v>2</v>
      </c>
      <c r="B78" s="1782">
        <v>1.2</v>
      </c>
      <c r="C78" s="1550"/>
      <c r="D78" s="1770" t="s">
        <v>594</v>
      </c>
      <c r="E78" s="1215" t="s">
        <v>565</v>
      </c>
      <c r="F78" s="1776">
        <v>250</v>
      </c>
      <c r="G78" s="1499"/>
      <c r="H78" s="1501">
        <f t="shared" si="1"/>
        <v>0</v>
      </c>
    </row>
    <row r="79" spans="1:8">
      <c r="A79" s="1763"/>
      <c r="B79" s="1782"/>
      <c r="C79" s="1550"/>
      <c r="D79" s="1778"/>
      <c r="E79" s="1219"/>
      <c r="F79" s="1776"/>
      <c r="G79" s="1499"/>
      <c r="H79" s="1501" t="str">
        <f t="shared" si="1"/>
        <v/>
      </c>
    </row>
    <row r="80" spans="1:8" ht="26.4">
      <c r="A80" s="1763">
        <f>A4</f>
        <v>2</v>
      </c>
      <c r="B80" s="1782">
        <v>1.21</v>
      </c>
      <c r="C80" s="1776"/>
      <c r="D80" s="1770" t="s">
        <v>595</v>
      </c>
      <c r="E80" s="1215" t="s">
        <v>565</v>
      </c>
      <c r="F80" s="1776">
        <v>250</v>
      </c>
      <c r="G80" s="1499"/>
      <c r="H80" s="1501">
        <f t="shared" si="1"/>
        <v>0</v>
      </c>
    </row>
    <row r="81" spans="1:8">
      <c r="A81" s="1763"/>
      <c r="B81" s="1782"/>
      <c r="C81" s="1776"/>
      <c r="D81" s="1778"/>
      <c r="E81" s="1219"/>
      <c r="F81" s="1776"/>
      <c r="G81" s="1499"/>
      <c r="H81" s="1501" t="str">
        <f t="shared" si="1"/>
        <v/>
      </c>
    </row>
    <row r="82" spans="1:8" ht="26.4">
      <c r="A82" s="1763">
        <f>A4</f>
        <v>2</v>
      </c>
      <c r="B82" s="1782">
        <v>1.22</v>
      </c>
      <c r="C82" s="1776"/>
      <c r="D82" s="1770" t="s">
        <v>596</v>
      </c>
      <c r="E82" s="1215" t="s">
        <v>565</v>
      </c>
      <c r="F82" s="1785">
        <v>1900</v>
      </c>
      <c r="G82" s="1499"/>
      <c r="H82" s="1501">
        <f t="shared" si="1"/>
        <v>0</v>
      </c>
    </row>
    <row r="83" spans="1:8">
      <c r="A83" s="1763"/>
      <c r="B83" s="1776"/>
      <c r="C83" s="1776"/>
      <c r="D83" s="1778"/>
      <c r="E83" s="1219"/>
      <c r="F83" s="1670"/>
      <c r="G83" s="1499"/>
      <c r="H83" s="1501" t="str">
        <f t="shared" si="1"/>
        <v/>
      </c>
    </row>
    <row r="84" spans="1:8">
      <c r="A84" s="1763"/>
      <c r="B84" s="1777" t="s">
        <v>597</v>
      </c>
      <c r="C84" s="1776"/>
      <c r="D84" s="1767" t="s">
        <v>598</v>
      </c>
      <c r="E84" s="1218"/>
      <c r="F84" s="1785"/>
      <c r="G84" s="1499"/>
      <c r="H84" s="1501" t="str">
        <f t="shared" si="1"/>
        <v/>
      </c>
    </row>
    <row r="85" spans="1:8">
      <c r="A85" s="1763"/>
      <c r="B85" s="1777"/>
      <c r="C85" s="1776"/>
      <c r="D85" s="1767"/>
      <c r="E85" s="1218"/>
      <c r="F85" s="1785"/>
      <c r="G85" s="1499"/>
      <c r="H85" s="1501" t="str">
        <f t="shared" si="1"/>
        <v/>
      </c>
    </row>
    <row r="86" spans="1:8" ht="26.4">
      <c r="A86" s="1763"/>
      <c r="B86" s="1777"/>
      <c r="C86" s="1790" t="s">
        <v>544</v>
      </c>
      <c r="D86" s="1767" t="s">
        <v>133</v>
      </c>
      <c r="E86" s="1218"/>
      <c r="F86" s="1785"/>
      <c r="G86" s="1499"/>
      <c r="H86" s="1501" t="str">
        <f t="shared" si="1"/>
        <v/>
      </c>
    </row>
    <row r="87" spans="1:8">
      <c r="A87" s="1763"/>
      <c r="B87" s="1777"/>
      <c r="C87" s="1776"/>
      <c r="D87" s="1767"/>
      <c r="E87" s="1218"/>
      <c r="F87" s="1785"/>
      <c r="G87" s="1499"/>
      <c r="H87" s="1501" t="str">
        <f t="shared" si="1"/>
        <v/>
      </c>
    </row>
    <row r="88" spans="1:8">
      <c r="A88" s="1763">
        <f>A4</f>
        <v>2</v>
      </c>
      <c r="B88" s="1782">
        <v>1.23</v>
      </c>
      <c r="C88" s="1667" t="s">
        <v>599</v>
      </c>
      <c r="D88" s="1770" t="s">
        <v>600</v>
      </c>
      <c r="E88" s="1215" t="s">
        <v>273</v>
      </c>
      <c r="F88" s="1670">
        <v>6</v>
      </c>
      <c r="G88" s="1502"/>
      <c r="H88" s="1501">
        <f t="shared" si="1"/>
        <v>0</v>
      </c>
    </row>
    <row r="89" spans="1:8">
      <c r="A89" s="1763"/>
      <c r="B89" s="1667"/>
      <c r="C89" s="1667"/>
      <c r="D89" s="1770"/>
      <c r="E89" s="1215"/>
      <c r="F89" s="1670"/>
      <c r="G89" s="1502"/>
      <c r="H89" s="1501" t="str">
        <f t="shared" si="1"/>
        <v/>
      </c>
    </row>
    <row r="90" spans="1:8" ht="26.4">
      <c r="A90" s="1763"/>
      <c r="B90" s="1777"/>
      <c r="C90" s="1790" t="s">
        <v>601</v>
      </c>
      <c r="D90" s="1767" t="s">
        <v>602</v>
      </c>
      <c r="E90" s="1218"/>
      <c r="F90" s="1785"/>
      <c r="G90" s="1499"/>
      <c r="H90" s="1501" t="str">
        <f t="shared" si="1"/>
        <v/>
      </c>
    </row>
    <row r="91" spans="1:8">
      <c r="A91" s="1763"/>
      <c r="B91" s="1667"/>
      <c r="C91" s="1776"/>
      <c r="D91" s="1778"/>
      <c r="E91" s="1219"/>
      <c r="F91" s="1670"/>
      <c r="G91" s="1499"/>
      <c r="H91" s="1501" t="str">
        <f t="shared" si="1"/>
        <v/>
      </c>
    </row>
    <row r="92" spans="1:8">
      <c r="A92" s="1763">
        <f>A4</f>
        <v>2</v>
      </c>
      <c r="B92" s="1782">
        <v>1.24</v>
      </c>
      <c r="C92" s="1667"/>
      <c r="D92" s="1770" t="s">
        <v>603</v>
      </c>
      <c r="E92" s="1215" t="s">
        <v>561</v>
      </c>
      <c r="F92" s="1670">
        <v>50</v>
      </c>
      <c r="G92" s="1499"/>
      <c r="H92" s="1501">
        <f t="shared" si="1"/>
        <v>0</v>
      </c>
    </row>
    <row r="93" spans="1:8">
      <c r="A93" s="1763"/>
      <c r="B93" s="1782"/>
      <c r="C93" s="1667"/>
      <c r="D93" s="1778"/>
      <c r="E93" s="1219"/>
      <c r="F93" s="1670"/>
      <c r="G93" s="1502"/>
      <c r="H93" s="1501" t="str">
        <f t="shared" si="1"/>
        <v/>
      </c>
    </row>
    <row r="94" spans="1:8">
      <c r="A94" s="1763">
        <f>A4</f>
        <v>2</v>
      </c>
      <c r="B94" s="1782">
        <v>1.25</v>
      </c>
      <c r="C94" s="1667" t="s">
        <v>546</v>
      </c>
      <c r="D94" s="1770" t="s">
        <v>604</v>
      </c>
      <c r="E94" s="1215" t="s">
        <v>561</v>
      </c>
      <c r="F94" s="1670">
        <v>50</v>
      </c>
      <c r="G94" s="1502"/>
      <c r="H94" s="1501">
        <f t="shared" si="1"/>
        <v>0</v>
      </c>
    </row>
    <row r="95" spans="1:8">
      <c r="A95" s="1763"/>
      <c r="B95" s="1782"/>
      <c r="C95" s="1667"/>
      <c r="D95" s="1770"/>
      <c r="E95" s="1215"/>
      <c r="F95" s="1670"/>
      <c r="G95" s="1502"/>
      <c r="H95" s="1501" t="str">
        <f t="shared" si="1"/>
        <v/>
      </c>
    </row>
    <row r="96" spans="1:8">
      <c r="A96" s="1763">
        <f>A4</f>
        <v>2</v>
      </c>
      <c r="B96" s="1782">
        <v>1.26</v>
      </c>
      <c r="C96" s="1667" t="s">
        <v>546</v>
      </c>
      <c r="D96" s="1778" t="s">
        <v>605</v>
      </c>
      <c r="E96" s="1215" t="s">
        <v>561</v>
      </c>
      <c r="F96" s="1670">
        <v>50</v>
      </c>
      <c r="G96" s="1502"/>
      <c r="H96" s="1501">
        <f t="shared" si="1"/>
        <v>0</v>
      </c>
    </row>
    <row r="97" spans="1:8">
      <c r="A97" s="1763"/>
      <c r="B97" s="1782"/>
      <c r="C97" s="1667"/>
      <c r="D97" s="1778"/>
      <c r="E97" s="1219"/>
      <c r="F97" s="1785"/>
      <c r="G97" s="1502"/>
      <c r="H97" s="1501" t="str">
        <f t="shared" si="1"/>
        <v/>
      </c>
    </row>
    <row r="98" spans="1:8" s="32" customFormat="1" ht="26.4">
      <c r="A98" s="1791">
        <f>A4</f>
        <v>2</v>
      </c>
      <c r="B98" s="1782">
        <v>1.27</v>
      </c>
      <c r="C98" s="1701" t="s">
        <v>606</v>
      </c>
      <c r="D98" s="1770" t="s">
        <v>607</v>
      </c>
      <c r="E98" s="1215" t="s">
        <v>561</v>
      </c>
      <c r="F98" s="1271">
        <v>12</v>
      </c>
      <c r="G98" s="1502"/>
      <c r="H98" s="1501">
        <f t="shared" si="1"/>
        <v>0</v>
      </c>
    </row>
    <row r="99" spans="1:8">
      <c r="A99" s="1763"/>
      <c r="B99" s="1763"/>
      <c r="C99" s="1701"/>
      <c r="D99" s="1778"/>
      <c r="E99" s="1219"/>
      <c r="F99" s="1271"/>
      <c r="G99" s="1502"/>
      <c r="H99" s="1501" t="str">
        <f t="shared" si="1"/>
        <v/>
      </c>
    </row>
    <row r="100" spans="1:8" s="32" customFormat="1" ht="26.4">
      <c r="A100" s="1791">
        <f>A4</f>
        <v>2</v>
      </c>
      <c r="B100" s="1667">
        <v>1.28</v>
      </c>
      <c r="C100" s="1701"/>
      <c r="D100" s="1770" t="s">
        <v>608</v>
      </c>
      <c r="E100" s="1213" t="s">
        <v>609</v>
      </c>
      <c r="F100" s="1271">
        <v>1</v>
      </c>
      <c r="G100" s="1502"/>
      <c r="H100" s="1501">
        <f t="shared" si="1"/>
        <v>0</v>
      </c>
    </row>
    <row r="101" spans="1:8">
      <c r="A101" s="1763"/>
      <c r="B101" s="1763"/>
      <c r="C101" s="1701"/>
      <c r="D101" s="1770"/>
      <c r="E101" s="1221"/>
      <c r="F101" s="1271"/>
      <c r="G101" s="1499"/>
      <c r="H101" s="1501" t="str">
        <f t="shared" si="1"/>
        <v/>
      </c>
    </row>
    <row r="102" spans="1:8">
      <c r="A102" s="1763">
        <f>A4</f>
        <v>2</v>
      </c>
      <c r="B102" s="1667">
        <v>1.29</v>
      </c>
      <c r="C102" s="1701"/>
      <c r="D102" s="1770" t="s">
        <v>610</v>
      </c>
      <c r="E102" s="1213" t="s">
        <v>548</v>
      </c>
      <c r="F102" s="1271">
        <v>1</v>
      </c>
      <c r="G102" s="1503">
        <v>150000</v>
      </c>
      <c r="H102" s="1501">
        <f t="shared" si="1"/>
        <v>150000</v>
      </c>
    </row>
    <row r="103" spans="1:8">
      <c r="A103" s="1763"/>
      <c r="B103" s="1667"/>
      <c r="C103" s="1701"/>
      <c r="D103" s="1770"/>
      <c r="E103" s="1221"/>
      <c r="F103" s="1271"/>
      <c r="G103" s="1499"/>
      <c r="H103" s="1501" t="str">
        <f t="shared" si="1"/>
        <v/>
      </c>
    </row>
    <row r="104" spans="1:8">
      <c r="A104" s="1763"/>
      <c r="B104" s="1667"/>
      <c r="C104" s="1792" t="s">
        <v>611</v>
      </c>
      <c r="D104" s="1784" t="s">
        <v>612</v>
      </c>
      <c r="E104" s="1215"/>
      <c r="F104" s="1785"/>
      <c r="G104" s="1502"/>
      <c r="H104" s="1501" t="str">
        <f t="shared" si="1"/>
        <v/>
      </c>
    </row>
    <row r="105" spans="1:8">
      <c r="A105" s="1763"/>
      <c r="B105" s="1667"/>
      <c r="C105" s="1701"/>
      <c r="D105" s="1778"/>
      <c r="E105" s="1219"/>
      <c r="F105" s="1785"/>
      <c r="G105" s="1502"/>
      <c r="H105" s="1501" t="str">
        <f t="shared" si="1"/>
        <v/>
      </c>
    </row>
    <row r="106" spans="1:8">
      <c r="A106" s="1763">
        <f>A4</f>
        <v>2</v>
      </c>
      <c r="B106" s="1793">
        <v>1.3</v>
      </c>
      <c r="C106" s="1271" t="s">
        <v>350</v>
      </c>
      <c r="D106" s="1770" t="s">
        <v>613</v>
      </c>
      <c r="E106" s="1215" t="s">
        <v>548</v>
      </c>
      <c r="F106" s="1785">
        <v>1</v>
      </c>
      <c r="G106" s="1504">
        <f>_xlfn.CEILING.MATH((100000*1.1*1.1),5)</f>
        <v>121000</v>
      </c>
      <c r="H106" s="1501">
        <f t="shared" si="1"/>
        <v>121000</v>
      </c>
    </row>
    <row r="107" spans="1:8">
      <c r="A107" s="1763"/>
      <c r="B107" s="1712"/>
      <c r="C107" s="1701"/>
      <c r="D107" s="1778"/>
      <c r="E107" s="1219"/>
      <c r="F107" s="1785"/>
      <c r="G107" s="1502"/>
      <c r="H107" s="1501" t="str">
        <f t="shared" si="1"/>
        <v/>
      </c>
    </row>
    <row r="108" spans="1:8" ht="28.5" customHeight="1">
      <c r="A108" s="1763"/>
      <c r="B108" s="1712"/>
      <c r="C108" s="1792"/>
      <c r="D108" s="1784" t="s">
        <v>614</v>
      </c>
      <c r="E108" s="1216"/>
      <c r="F108" s="1785"/>
      <c r="G108" s="1502"/>
      <c r="H108" s="1501" t="str">
        <f t="shared" si="1"/>
        <v/>
      </c>
    </row>
    <row r="109" spans="1:8">
      <c r="A109" s="1763"/>
      <c r="B109" s="1712"/>
      <c r="C109" s="1701"/>
      <c r="D109" s="1583"/>
      <c r="E109" s="1024"/>
      <c r="F109" s="1785"/>
      <c r="G109" s="1502"/>
      <c r="H109" s="1501" t="str">
        <f t="shared" si="1"/>
        <v/>
      </c>
    </row>
    <row r="110" spans="1:8">
      <c r="A110" s="1763"/>
      <c r="B110" s="1712"/>
      <c r="C110" s="1701"/>
      <c r="D110" s="1770" t="s">
        <v>615</v>
      </c>
      <c r="E110" s="1216"/>
      <c r="F110" s="1785"/>
      <c r="G110" s="1502"/>
      <c r="H110" s="1501" t="str">
        <f t="shared" si="1"/>
        <v/>
      </c>
    </row>
    <row r="111" spans="1:8">
      <c r="A111" s="1763"/>
      <c r="B111" s="1712"/>
      <c r="C111" s="1701"/>
      <c r="D111" s="1583"/>
      <c r="E111" s="1024"/>
      <c r="F111" s="1785"/>
      <c r="G111" s="1502"/>
      <c r="H111" s="1501" t="str">
        <f t="shared" si="1"/>
        <v/>
      </c>
    </row>
    <row r="112" spans="1:8">
      <c r="A112" s="1763">
        <f>A4</f>
        <v>2</v>
      </c>
      <c r="B112" s="1763">
        <v>1.31</v>
      </c>
      <c r="C112" s="1701"/>
      <c r="D112" s="1770" t="s">
        <v>616</v>
      </c>
      <c r="E112" s="1217" t="s">
        <v>273</v>
      </c>
      <c r="F112" s="1670">
        <v>6</v>
      </c>
      <c r="G112" s="1505"/>
      <c r="H112" s="1501">
        <f t="shared" si="1"/>
        <v>0</v>
      </c>
    </row>
    <row r="113" spans="1:8">
      <c r="A113" s="1763"/>
      <c r="B113" s="1794"/>
      <c r="C113" s="1701"/>
      <c r="D113" s="1583"/>
      <c r="E113" s="1024"/>
      <c r="F113" s="1670"/>
      <c r="G113" s="1505"/>
      <c r="H113" s="1501" t="str">
        <f t="shared" si="1"/>
        <v/>
      </c>
    </row>
    <row r="114" spans="1:8">
      <c r="A114" s="1763"/>
      <c r="B114" s="1794"/>
      <c r="C114" s="1701"/>
      <c r="D114" s="1784" t="s">
        <v>617</v>
      </c>
      <c r="E114" s="1216"/>
      <c r="F114" s="1670"/>
      <c r="G114" s="1505"/>
      <c r="H114" s="1501" t="str">
        <f t="shared" si="1"/>
        <v/>
      </c>
    </row>
    <row r="115" spans="1:8">
      <c r="A115" s="1763"/>
      <c r="B115" s="1794"/>
      <c r="C115" s="1701"/>
      <c r="D115" s="1583"/>
      <c r="E115" s="1024"/>
      <c r="F115" s="1776"/>
      <c r="G115" s="1505"/>
      <c r="H115" s="1501" t="str">
        <f t="shared" si="1"/>
        <v/>
      </c>
    </row>
    <row r="116" spans="1:8" ht="15.6">
      <c r="A116" s="1763">
        <f>A4</f>
        <v>2</v>
      </c>
      <c r="B116" s="1763">
        <v>1.32</v>
      </c>
      <c r="C116" s="1701"/>
      <c r="D116" s="1770" t="s">
        <v>618</v>
      </c>
      <c r="E116" s="1215" t="s">
        <v>565</v>
      </c>
      <c r="F116" s="1670">
        <v>200</v>
      </c>
      <c r="G116" s="1505"/>
      <c r="H116" s="1501">
        <f t="shared" si="1"/>
        <v>0</v>
      </c>
    </row>
    <row r="117" spans="1:8">
      <c r="A117" s="1763"/>
      <c r="B117" s="1794"/>
      <c r="C117" s="1701"/>
      <c r="D117" s="1583"/>
      <c r="E117" s="1024"/>
      <c r="F117" s="1776"/>
      <c r="G117" s="1505"/>
      <c r="H117" s="1501" t="str">
        <f t="shared" si="1"/>
        <v/>
      </c>
    </row>
    <row r="118" spans="1:8">
      <c r="A118" s="1763">
        <f>A4</f>
        <v>2</v>
      </c>
      <c r="B118" s="1763">
        <v>1.33</v>
      </c>
      <c r="C118" s="1701"/>
      <c r="D118" s="1778" t="s">
        <v>619</v>
      </c>
      <c r="E118" s="1215" t="s">
        <v>548</v>
      </c>
      <c r="F118" s="1776">
        <v>1</v>
      </c>
      <c r="G118" s="1506">
        <f>_xlfn.CEILING.MATH((2000*1.1*1.1),5)</f>
        <v>2420</v>
      </c>
      <c r="H118" s="1501">
        <f t="shared" si="1"/>
        <v>2420</v>
      </c>
    </row>
    <row r="119" spans="1:8">
      <c r="A119" s="1763"/>
      <c r="B119" s="1763"/>
      <c r="C119" s="1701"/>
      <c r="D119" s="1778"/>
      <c r="E119" s="1215"/>
      <c r="F119" s="1776"/>
      <c r="G119" s="1505"/>
      <c r="H119" s="1507"/>
    </row>
    <row r="120" spans="1:8">
      <c r="A120" s="1763"/>
      <c r="B120" s="1763"/>
      <c r="C120" s="1701"/>
      <c r="D120" s="1778"/>
      <c r="E120" s="1215"/>
      <c r="F120" s="1776"/>
      <c r="G120" s="1505"/>
      <c r="H120" s="1507"/>
    </row>
    <row r="121" spans="1:8">
      <c r="A121" s="1763"/>
      <c r="B121" s="1763"/>
      <c r="C121" s="1701"/>
      <c r="D121" s="1778"/>
      <c r="E121" s="1215"/>
      <c r="F121" s="1776"/>
      <c r="G121" s="1505"/>
      <c r="H121" s="1507"/>
    </row>
    <row r="122" spans="1:8">
      <c r="A122" s="1763"/>
      <c r="B122" s="1763"/>
      <c r="C122" s="1701"/>
      <c r="D122" s="1778"/>
      <c r="E122" s="1215"/>
      <c r="F122" s="1776"/>
      <c r="G122" s="1505"/>
      <c r="H122" s="1507"/>
    </row>
    <row r="123" spans="1:8">
      <c r="A123" s="1763"/>
      <c r="B123" s="1763"/>
      <c r="C123" s="1701"/>
      <c r="D123" s="1778"/>
      <c r="E123" s="1215"/>
      <c r="F123" s="1776"/>
      <c r="G123" s="1505"/>
      <c r="H123" s="1507"/>
    </row>
    <row r="124" spans="1:8">
      <c r="A124" s="1763"/>
      <c r="B124" s="1763"/>
      <c r="C124" s="1701"/>
      <c r="D124" s="1778"/>
      <c r="E124" s="1215"/>
      <c r="F124" s="1776"/>
      <c r="G124" s="1505"/>
      <c r="H124" s="1507"/>
    </row>
    <row r="125" spans="1:8">
      <c r="A125" s="1763"/>
      <c r="B125" s="1763"/>
      <c r="C125" s="1701"/>
      <c r="D125" s="1778"/>
      <c r="E125" s="1215"/>
      <c r="F125" s="1776"/>
      <c r="G125" s="1505"/>
      <c r="H125" s="1507"/>
    </row>
    <row r="126" spans="1:8">
      <c r="A126" s="1763"/>
      <c r="B126" s="1763"/>
      <c r="C126" s="1701"/>
      <c r="D126" s="1778"/>
      <c r="E126" s="1215"/>
      <c r="F126" s="1776"/>
      <c r="G126" s="1166"/>
      <c r="H126" s="1222"/>
    </row>
    <row r="127" spans="1:8">
      <c r="A127" s="1763"/>
      <c r="B127" s="1763"/>
      <c r="C127" s="1701"/>
      <c r="D127" s="1778"/>
      <c r="E127" s="1215"/>
      <c r="F127" s="1776"/>
      <c r="G127" s="1166"/>
      <c r="H127" s="1222"/>
    </row>
    <row r="128" spans="1:8">
      <c r="A128" s="1763"/>
      <c r="B128" s="1763"/>
      <c r="C128" s="1701"/>
      <c r="D128" s="1778"/>
      <c r="E128" s="1215"/>
      <c r="F128" s="1776"/>
      <c r="G128" s="1166"/>
      <c r="H128" s="1222"/>
    </row>
    <row r="129" spans="1:8">
      <c r="A129" s="1763"/>
      <c r="B129" s="1763"/>
      <c r="C129" s="1701"/>
      <c r="D129" s="1778"/>
      <c r="E129" s="1215"/>
      <c r="F129" s="1776"/>
      <c r="G129" s="1166"/>
      <c r="H129" s="1222"/>
    </row>
    <row r="130" spans="1:8">
      <c r="A130" s="1763"/>
      <c r="B130" s="1763"/>
      <c r="C130" s="1701"/>
      <c r="D130" s="1778"/>
      <c r="E130" s="1215"/>
      <c r="F130" s="1776"/>
      <c r="G130" s="1166"/>
      <c r="H130" s="1222"/>
    </row>
    <row r="131" spans="1:8">
      <c r="A131" s="1763"/>
      <c r="B131" s="1763"/>
      <c r="C131" s="1701"/>
      <c r="D131" s="1778"/>
      <c r="E131" s="1215"/>
      <c r="F131" s="1776"/>
      <c r="G131" s="1166"/>
      <c r="H131" s="1222"/>
    </row>
    <row r="132" spans="1:8">
      <c r="A132" s="1763"/>
      <c r="B132" s="1763"/>
      <c r="C132" s="1701"/>
      <c r="D132" s="1778"/>
      <c r="E132" s="1215"/>
      <c r="F132" s="1776"/>
      <c r="G132" s="1166"/>
      <c r="H132" s="1222"/>
    </row>
    <row r="133" spans="1:8">
      <c r="A133" s="1763"/>
      <c r="B133" s="1763"/>
      <c r="C133" s="1701"/>
      <c r="D133" s="1778"/>
      <c r="E133" s="1215"/>
      <c r="F133" s="1776"/>
      <c r="G133" s="1166"/>
      <c r="H133" s="1222"/>
    </row>
    <row r="134" spans="1:8">
      <c r="A134" s="1763"/>
      <c r="B134" s="1763"/>
      <c r="C134" s="1701"/>
      <c r="D134" s="1778"/>
      <c r="E134" s="1215"/>
      <c r="F134" s="1776"/>
      <c r="G134" s="1166"/>
      <c r="H134" s="1222"/>
    </row>
    <row r="135" spans="1:8">
      <c r="A135" s="1763"/>
      <c r="B135" s="1763"/>
      <c r="C135" s="1701"/>
      <c r="D135" s="1778"/>
      <c r="E135" s="1215"/>
      <c r="F135" s="1776"/>
      <c r="G135" s="1166"/>
      <c r="H135" s="1222"/>
    </row>
    <row r="136" spans="1:8">
      <c r="A136" s="1763"/>
      <c r="B136" s="1763"/>
      <c r="C136" s="1701"/>
      <c r="D136" s="1778"/>
      <c r="E136" s="1215"/>
      <c r="F136" s="1776"/>
      <c r="G136" s="1166"/>
      <c r="H136" s="1222"/>
    </row>
    <row r="137" spans="1:8">
      <c r="A137" s="1763"/>
      <c r="B137" s="1763"/>
      <c r="C137" s="1701"/>
      <c r="D137" s="1778"/>
      <c r="E137" s="1215"/>
      <c r="F137" s="1776"/>
      <c r="G137" s="1166"/>
      <c r="H137" s="1222"/>
    </row>
    <row r="138" spans="1:8">
      <c r="A138" s="1763"/>
      <c r="B138" s="1763"/>
      <c r="C138" s="1701"/>
      <c r="D138" s="1778"/>
      <c r="E138" s="1215"/>
      <c r="F138" s="1776"/>
      <c r="G138" s="1166"/>
      <c r="H138" s="1222"/>
    </row>
    <row r="139" spans="1:8">
      <c r="A139" s="1763"/>
      <c r="B139" s="1763"/>
      <c r="C139" s="1701"/>
      <c r="D139" s="1778"/>
      <c r="E139" s="1215"/>
      <c r="F139" s="1776"/>
      <c r="G139" s="1166"/>
      <c r="H139" s="1222"/>
    </row>
    <row r="140" spans="1:8">
      <c r="A140" s="1763"/>
      <c r="B140" s="1763"/>
      <c r="C140" s="1701"/>
      <c r="D140" s="1778"/>
      <c r="E140" s="1215"/>
      <c r="F140" s="1776"/>
      <c r="G140" s="1166"/>
      <c r="H140" s="1222"/>
    </row>
    <row r="141" spans="1:8">
      <c r="A141" s="1763"/>
      <c r="B141" s="1763"/>
      <c r="C141" s="1701"/>
      <c r="D141" s="1778"/>
      <c r="E141" s="1215"/>
      <c r="F141" s="1776"/>
      <c r="G141" s="1166"/>
      <c r="H141" s="1222"/>
    </row>
    <row r="142" spans="1:8">
      <c r="A142" s="1763"/>
      <c r="B142" s="1763"/>
      <c r="C142" s="1701"/>
      <c r="D142" s="1778"/>
      <c r="E142" s="1215"/>
      <c r="F142" s="1776"/>
      <c r="G142" s="1166"/>
      <c r="H142" s="1222"/>
    </row>
    <row r="143" spans="1:8">
      <c r="A143" s="1763"/>
      <c r="B143" s="1763"/>
      <c r="C143" s="1701"/>
      <c r="D143" s="1778"/>
      <c r="E143" s="1215"/>
      <c r="F143" s="1776"/>
      <c r="G143" s="1166"/>
      <c r="H143" s="1222"/>
    </row>
    <row r="144" spans="1:8">
      <c r="A144" s="1763"/>
      <c r="B144" s="1763"/>
      <c r="C144" s="1701"/>
      <c r="D144" s="1778"/>
      <c r="E144" s="1215"/>
      <c r="F144" s="1776"/>
      <c r="G144" s="1166"/>
      <c r="H144" s="1222"/>
    </row>
    <row r="145" spans="1:8">
      <c r="A145" s="1763"/>
      <c r="B145" s="1763"/>
      <c r="C145" s="1701"/>
      <c r="D145" s="1778"/>
      <c r="E145" s="1215"/>
      <c r="F145" s="1776"/>
      <c r="G145" s="1166"/>
      <c r="H145" s="1222"/>
    </row>
    <row r="146" spans="1:8">
      <c r="A146" s="1795"/>
      <c r="B146" s="787"/>
      <c r="C146" s="1223"/>
      <c r="D146" s="801"/>
      <c r="E146" s="1224"/>
      <c r="F146" s="800"/>
      <c r="G146" s="1163"/>
      <c r="H146" s="1796"/>
    </row>
    <row r="147" spans="1:8">
      <c r="A147" s="1225"/>
      <c r="B147" s="566"/>
      <c r="C147" s="1226"/>
      <c r="D147" s="457" t="s">
        <v>289</v>
      </c>
      <c r="E147" s="426"/>
      <c r="F147" s="425"/>
      <c r="G147" s="1164"/>
      <c r="H147" s="1797">
        <f>SUM(H74:H145)</f>
        <v>1056720</v>
      </c>
    </row>
    <row r="149" spans="1:8">
      <c r="H149" s="1228"/>
    </row>
  </sheetData>
  <sheetProtection algorithmName="SHA-512" hashValue="AQO8jC02oEiIH8tleYbLvODmNtXwrtiPkSyWqkVZUMKnsMRAUZyNp+mdkK0OD3cOyZE9vsq+g6ZJmDCR68J/IQ==" saltValue="HkV8UC6jXl83UXFxt8J5Sg==" spinCount="100000" sheet="1" objects="1" scenarios="1"/>
  <mergeCells count="1">
    <mergeCell ref="A1:H1"/>
  </mergeCells>
  <phoneticPr fontId="33" type="noConversion"/>
  <pageMargins left="0.59055118110236227" right="0.59055118110236227" top="1.1023622047244095" bottom="0.78740157480314965" header="0.27559055118110237" footer="0.27559055118110237"/>
  <pageSetup paperSize="9" scale="64" firstPageNumber="58" fitToHeight="0" orientation="portrait" useFirstPageNumber="1" copies="2" r:id="rId1"/>
  <headerFooter alignWithMargins="0">
    <oddHeader>&amp;L&amp;G&amp;CContract JW 14425
Bushkoppie Wastewater Treatment Works:
Infrastructure Renewal Plan
Volume 1 
C 2.2 Bill of Quantities&amp;R&amp;G</oddHeader>
    <oddFooter>&amp;C&amp;12
&amp;G
C.&amp;P</oddFooter>
  </headerFooter>
  <rowBreaks count="1" manualBreakCount="1">
    <brk id="73" max="7"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I711"/>
  <sheetViews>
    <sheetView view="pageBreakPreview" zoomScale="90" zoomScaleNormal="100" zoomScaleSheetLayoutView="90" workbookViewId="0">
      <selection activeCell="M13" sqref="M13"/>
    </sheetView>
  </sheetViews>
  <sheetFormatPr defaultColWidth="4.44140625" defaultRowHeight="13.2"/>
  <cols>
    <col min="1" max="1" width="9.109375" style="9" customWidth="1"/>
    <col min="2" max="2" width="8.88671875" style="9" customWidth="1"/>
    <col min="3" max="3" width="9.88671875" style="9" customWidth="1"/>
    <col min="4" max="4" width="58.88671875" style="12" customWidth="1"/>
    <col min="5" max="5" width="8.88671875" style="9" customWidth="1"/>
    <col min="6" max="6" width="10.88671875" style="9" customWidth="1"/>
    <col min="7" max="7" width="14.88671875" style="1276" customWidth="1"/>
    <col min="8" max="8" width="20.88671875" style="1276" customWidth="1"/>
    <col min="9" max="9" width="5" style="1276" customWidth="1"/>
    <col min="10" max="33" width="4.44140625" style="12" customWidth="1"/>
    <col min="34" max="16384" width="4.44140625" style="12"/>
  </cols>
  <sheetData>
    <row r="1" spans="1:9" s="7" customFormat="1" ht="15.6">
      <c r="A1" s="3010" t="s">
        <v>620</v>
      </c>
      <c r="B1" s="3011"/>
      <c r="C1" s="3011"/>
      <c r="D1" s="3011"/>
      <c r="E1" s="3011"/>
      <c r="F1" s="3011"/>
      <c r="G1" s="3011"/>
      <c r="H1" s="3012"/>
      <c r="I1" s="1229"/>
    </row>
    <row r="2" spans="1:9" s="32" customFormat="1" ht="25.5" customHeight="1">
      <c r="A2" s="488" t="s">
        <v>541</v>
      </c>
      <c r="B2" s="488" t="s">
        <v>217</v>
      </c>
      <c r="C2" s="453" t="s">
        <v>218</v>
      </c>
      <c r="D2" s="1230" t="s">
        <v>219</v>
      </c>
      <c r="E2" s="414" t="s">
        <v>220</v>
      </c>
      <c r="F2" s="454" t="s">
        <v>221</v>
      </c>
      <c r="G2" s="455" t="s">
        <v>222</v>
      </c>
      <c r="H2" s="473" t="s">
        <v>223</v>
      </c>
      <c r="I2" s="1231"/>
    </row>
    <row r="3" spans="1:9">
      <c r="A3" s="1763"/>
      <c r="B3" s="1667"/>
      <c r="C3" s="1667"/>
      <c r="D3" s="1767"/>
      <c r="E3" s="1767"/>
      <c r="F3" s="1767"/>
      <c r="G3" s="1798"/>
      <c r="H3" s="1799"/>
      <c r="I3" s="1232"/>
    </row>
    <row r="4" spans="1:9" s="489" customFormat="1" ht="13.8">
      <c r="A4" s="1800">
        <v>3</v>
      </c>
      <c r="B4" s="1800">
        <v>1</v>
      </c>
      <c r="C4" s="793"/>
      <c r="D4" s="1801" t="s">
        <v>621</v>
      </c>
      <c r="E4" s="1802"/>
      <c r="F4" s="1802"/>
      <c r="G4" s="1175"/>
      <c r="H4" s="1803"/>
      <c r="I4" s="1233"/>
    </row>
    <row r="5" spans="1:9">
      <c r="A5" s="1763"/>
      <c r="B5" s="1667"/>
      <c r="C5" s="1667"/>
      <c r="D5" s="1668"/>
      <c r="E5" s="1669"/>
      <c r="F5" s="1670"/>
      <c r="G5" s="1804"/>
      <c r="H5" s="1805"/>
      <c r="I5" s="1234"/>
    </row>
    <row r="6" spans="1:9" ht="26.4">
      <c r="A6" s="1763"/>
      <c r="B6" s="1765" t="s">
        <v>543</v>
      </c>
      <c r="C6" s="1766" t="s">
        <v>544</v>
      </c>
      <c r="D6" s="1806" t="s">
        <v>133</v>
      </c>
      <c r="E6" s="1550"/>
      <c r="F6" s="1550"/>
      <c r="G6" s="1807"/>
      <c r="H6" s="1808"/>
      <c r="I6" s="1235"/>
    </row>
    <row r="7" spans="1:9">
      <c r="A7" s="1763"/>
      <c r="B7" s="1551"/>
      <c r="C7" s="1550"/>
      <c r="D7" s="1809"/>
      <c r="E7" s="1550"/>
      <c r="F7" s="1550"/>
      <c r="G7" s="1810"/>
      <c r="H7" s="1808"/>
      <c r="I7" s="1235"/>
    </row>
    <row r="8" spans="1:9">
      <c r="A8" s="1763">
        <f>A4</f>
        <v>3</v>
      </c>
      <c r="B8" s="1550">
        <v>1.1000000000000001</v>
      </c>
      <c r="C8" s="1550" t="s">
        <v>622</v>
      </c>
      <c r="D8" s="1811" t="s">
        <v>623</v>
      </c>
      <c r="E8" s="1550" t="s">
        <v>561</v>
      </c>
      <c r="F8" s="1261">
        <v>35</v>
      </c>
      <c r="G8" s="1536"/>
      <c r="H8" s="1501">
        <f t="shared" ref="H8:H71" si="0">IF(E8="","",ROUND(F8*G8,2))</f>
        <v>0</v>
      </c>
      <c r="I8" s="383"/>
    </row>
    <row r="9" spans="1:9">
      <c r="A9" s="1763"/>
      <c r="B9" s="1667"/>
      <c r="C9" s="1667"/>
      <c r="D9" s="1668"/>
      <c r="E9" s="1669"/>
      <c r="F9" s="1670"/>
      <c r="G9" s="1812"/>
      <c r="H9" s="1501" t="str">
        <f t="shared" si="0"/>
        <v/>
      </c>
      <c r="I9" s="1234"/>
    </row>
    <row r="10" spans="1:9">
      <c r="A10" s="1763">
        <f>A4</f>
        <v>3</v>
      </c>
      <c r="B10" s="1667">
        <v>1.2</v>
      </c>
      <c r="C10" s="1667" t="s">
        <v>624</v>
      </c>
      <c r="D10" s="1668" t="s">
        <v>625</v>
      </c>
      <c r="E10" s="1669" t="s">
        <v>561</v>
      </c>
      <c r="F10" s="1670">
        <v>15</v>
      </c>
      <c r="G10" s="1813"/>
      <c r="H10" s="1501">
        <f t="shared" si="0"/>
        <v>0</v>
      </c>
      <c r="I10" s="211"/>
    </row>
    <row r="11" spans="1:9">
      <c r="A11" s="1763"/>
      <c r="B11" s="1667"/>
      <c r="C11" s="1667"/>
      <c r="D11" s="1668"/>
      <c r="E11" s="1669"/>
      <c r="F11" s="1670"/>
      <c r="G11" s="1812"/>
      <c r="H11" s="1501" t="str">
        <f t="shared" si="0"/>
        <v/>
      </c>
      <c r="I11" s="1234"/>
    </row>
    <row r="12" spans="1:9" ht="30" customHeight="1">
      <c r="A12" s="1763"/>
      <c r="B12" s="1753" t="s">
        <v>549</v>
      </c>
      <c r="C12" s="1672" t="s">
        <v>626</v>
      </c>
      <c r="D12" s="1673" t="s">
        <v>627</v>
      </c>
      <c r="E12" s="1669"/>
      <c r="F12" s="1670"/>
      <c r="G12" s="1812"/>
      <c r="H12" s="1501" t="str">
        <f t="shared" si="0"/>
        <v/>
      </c>
      <c r="I12" s="1234"/>
    </row>
    <row r="13" spans="1:9">
      <c r="A13" s="1763"/>
      <c r="B13" s="1667"/>
      <c r="C13" s="1667"/>
      <c r="D13" s="1668"/>
      <c r="E13" s="1669"/>
      <c r="F13" s="1670"/>
      <c r="G13" s="1812"/>
      <c r="H13" s="1501" t="str">
        <f t="shared" si="0"/>
        <v/>
      </c>
      <c r="I13" s="1234"/>
    </row>
    <row r="14" spans="1:9">
      <c r="A14" s="1763"/>
      <c r="B14" s="1667"/>
      <c r="C14" s="1667"/>
      <c r="D14" s="1673" t="s">
        <v>628</v>
      </c>
      <c r="E14" s="1669"/>
      <c r="F14" s="1236"/>
      <c r="G14" s="1812"/>
      <c r="H14" s="1501" t="str">
        <f t="shared" si="0"/>
        <v/>
      </c>
      <c r="I14" s="1234"/>
    </row>
    <row r="15" spans="1:9">
      <c r="A15" s="1763"/>
      <c r="B15" s="1667"/>
      <c r="C15" s="1667"/>
      <c r="D15" s="1668"/>
      <c r="E15" s="1669"/>
      <c r="F15" s="1236"/>
      <c r="G15" s="1812"/>
      <c r="H15" s="1501" t="str">
        <f t="shared" si="0"/>
        <v/>
      </c>
      <c r="I15" s="1234"/>
    </row>
    <row r="16" spans="1:9" ht="15.6">
      <c r="A16" s="1763">
        <f>A4</f>
        <v>3</v>
      </c>
      <c r="B16" s="1667">
        <v>1.3</v>
      </c>
      <c r="C16" s="1667" t="s">
        <v>629</v>
      </c>
      <c r="D16" s="1668" t="s">
        <v>630</v>
      </c>
      <c r="E16" s="1550" t="s">
        <v>631</v>
      </c>
      <c r="F16" s="9">
        <v>95</v>
      </c>
      <c r="G16" s="1813"/>
      <c r="H16" s="1501">
        <f t="shared" si="0"/>
        <v>0</v>
      </c>
      <c r="I16" s="211"/>
    </row>
    <row r="17" spans="1:9">
      <c r="A17" s="1763"/>
      <c r="B17" s="1667"/>
      <c r="C17" s="1667"/>
      <c r="D17" s="1668"/>
      <c r="E17" s="1669"/>
      <c r="F17" s="1670"/>
      <c r="G17" s="1812"/>
      <c r="H17" s="1501" t="str">
        <f t="shared" si="0"/>
        <v/>
      </c>
      <c r="I17" s="1234"/>
    </row>
    <row r="18" spans="1:9" ht="27.75" customHeight="1">
      <c r="A18" s="1763"/>
      <c r="B18" s="1783"/>
      <c r="C18" s="1616" t="s">
        <v>632</v>
      </c>
      <c r="D18" s="1771" t="s">
        <v>633</v>
      </c>
      <c r="E18" s="1550"/>
      <c r="F18" s="1550"/>
      <c r="G18" s="1814"/>
      <c r="H18" s="1501" t="str">
        <f t="shared" si="0"/>
        <v/>
      </c>
      <c r="I18" s="243"/>
    </row>
    <row r="19" spans="1:9">
      <c r="A19" s="1763"/>
      <c r="B19" s="1550"/>
      <c r="C19" s="1551"/>
      <c r="D19" s="1809"/>
      <c r="E19" s="1550"/>
      <c r="F19" s="1550"/>
      <c r="G19" s="1814"/>
      <c r="H19" s="1501" t="str">
        <f t="shared" si="0"/>
        <v/>
      </c>
      <c r="I19" s="243"/>
    </row>
    <row r="20" spans="1:9" ht="15.6">
      <c r="A20" s="1763">
        <f>A4</f>
        <v>3</v>
      </c>
      <c r="B20" s="1550">
        <v>1.4</v>
      </c>
      <c r="C20" s="1551"/>
      <c r="D20" s="1809" t="s">
        <v>634</v>
      </c>
      <c r="E20" s="1550" t="s">
        <v>631</v>
      </c>
      <c r="F20" s="1550">
        <v>24</v>
      </c>
      <c r="G20" s="1516"/>
      <c r="H20" s="1501">
        <f t="shared" si="0"/>
        <v>0</v>
      </c>
      <c r="I20" s="211"/>
    </row>
    <row r="21" spans="1:9">
      <c r="A21" s="1763"/>
      <c r="B21" s="1550"/>
      <c r="C21" s="1551"/>
      <c r="D21" s="1809"/>
      <c r="E21" s="1550"/>
      <c r="F21" s="1550"/>
      <c r="G21" s="1516"/>
      <c r="H21" s="1501" t="str">
        <f t="shared" si="0"/>
        <v/>
      </c>
      <c r="I21" s="243"/>
    </row>
    <row r="22" spans="1:9" ht="15.6">
      <c r="A22" s="1763">
        <f>A4</f>
        <v>3</v>
      </c>
      <c r="B22" s="1550">
        <v>1.5</v>
      </c>
      <c r="C22" s="1551"/>
      <c r="D22" s="1809" t="s">
        <v>635</v>
      </c>
      <c r="E22" s="1550" t="s">
        <v>631</v>
      </c>
      <c r="F22" s="1550">
        <v>5</v>
      </c>
      <c r="G22" s="1516"/>
      <c r="H22" s="1501">
        <f t="shared" si="0"/>
        <v>0</v>
      </c>
      <c r="I22" s="211"/>
    </row>
    <row r="23" spans="1:9">
      <c r="A23" s="1763"/>
      <c r="B23" s="1667"/>
      <c r="C23" s="1667"/>
      <c r="D23" s="1668"/>
      <c r="E23" s="1669"/>
      <c r="F23" s="1670"/>
      <c r="G23" s="1812"/>
      <c r="H23" s="1501" t="str">
        <f t="shared" si="0"/>
        <v/>
      </c>
      <c r="I23" s="1234"/>
    </row>
    <row r="24" spans="1:9" ht="39.75" customHeight="1">
      <c r="A24" s="1763"/>
      <c r="B24" s="1765" t="s">
        <v>558</v>
      </c>
      <c r="C24" s="1766" t="s">
        <v>581</v>
      </c>
      <c r="D24" s="1806" t="s">
        <v>636</v>
      </c>
      <c r="E24" s="1550"/>
      <c r="F24" s="1550"/>
      <c r="G24" s="1814"/>
      <c r="H24" s="1501" t="str">
        <f t="shared" si="0"/>
        <v/>
      </c>
      <c r="I24" s="243"/>
    </row>
    <row r="25" spans="1:9">
      <c r="A25" s="1763"/>
      <c r="B25" s="1551"/>
      <c r="C25" s="1550"/>
      <c r="D25" s="1806"/>
      <c r="E25" s="1550"/>
      <c r="F25" s="1550"/>
      <c r="G25" s="1814"/>
      <c r="H25" s="1501" t="str">
        <f t="shared" si="0"/>
        <v/>
      </c>
      <c r="I25" s="243"/>
    </row>
    <row r="26" spans="1:9" ht="12" customHeight="1">
      <c r="A26" s="1763"/>
      <c r="B26" s="1551"/>
      <c r="C26" s="1550">
        <v>8.1999999999999993</v>
      </c>
      <c r="D26" s="1806" t="s">
        <v>637</v>
      </c>
      <c r="E26" s="1550"/>
      <c r="F26" s="1550"/>
      <c r="G26" s="1814"/>
      <c r="H26" s="1501" t="str">
        <f t="shared" si="0"/>
        <v/>
      </c>
      <c r="I26" s="243"/>
    </row>
    <row r="27" spans="1:9">
      <c r="A27" s="1763"/>
      <c r="B27" s="1551"/>
      <c r="C27" s="1550"/>
      <c r="D27" s="1815"/>
      <c r="E27" s="1550"/>
      <c r="F27" s="1550"/>
      <c r="G27" s="1814"/>
      <c r="H27" s="1501" t="str">
        <f t="shared" si="0"/>
        <v/>
      </c>
      <c r="I27" s="243"/>
    </row>
    <row r="28" spans="1:9">
      <c r="A28" s="1763"/>
      <c r="B28" s="1551"/>
      <c r="C28" s="1550" t="s">
        <v>590</v>
      </c>
      <c r="D28" s="1815" t="s">
        <v>638</v>
      </c>
      <c r="E28" s="1550"/>
      <c r="F28" s="1550"/>
      <c r="G28" s="1814"/>
      <c r="H28" s="1501" t="str">
        <f t="shared" si="0"/>
        <v/>
      </c>
      <c r="I28" s="243"/>
    </row>
    <row r="29" spans="1:9">
      <c r="A29" s="1763"/>
      <c r="B29" s="1551"/>
      <c r="C29" s="1550"/>
      <c r="D29" s="1771"/>
      <c r="E29" s="1550"/>
      <c r="F29" s="1550"/>
      <c r="G29" s="1814"/>
      <c r="H29" s="1501" t="str">
        <f t="shared" si="0"/>
        <v/>
      </c>
      <c r="I29" s="243"/>
    </row>
    <row r="30" spans="1:9">
      <c r="A30" s="1763"/>
      <c r="B30" s="1616"/>
      <c r="C30" s="1550"/>
      <c r="D30" s="1773" t="s">
        <v>639</v>
      </c>
      <c r="E30" s="1550"/>
      <c r="F30" s="1550"/>
      <c r="G30" s="1814"/>
      <c r="H30" s="1501" t="str">
        <f t="shared" si="0"/>
        <v/>
      </c>
      <c r="I30" s="243"/>
    </row>
    <row r="31" spans="1:9">
      <c r="A31" s="1763"/>
      <c r="B31" s="1667"/>
      <c r="C31" s="1667"/>
      <c r="D31" s="1668"/>
      <c r="E31" s="1667"/>
      <c r="F31" s="1816"/>
      <c r="G31" s="1817"/>
      <c r="H31" s="1501" t="str">
        <f t="shared" si="0"/>
        <v/>
      </c>
      <c r="I31" s="1237"/>
    </row>
    <row r="32" spans="1:9" s="1238" customFormat="1" ht="23.25" customHeight="1">
      <c r="A32" s="1763">
        <f>A4</f>
        <v>3</v>
      </c>
      <c r="B32" s="1818">
        <v>1.6</v>
      </c>
      <c r="C32" s="1818"/>
      <c r="D32" s="1780" t="s">
        <v>640</v>
      </c>
      <c r="E32" s="1818" t="s">
        <v>641</v>
      </c>
      <c r="F32" s="1818">
        <v>150</v>
      </c>
      <c r="G32" s="1819"/>
      <c r="H32" s="1501">
        <f t="shared" si="0"/>
        <v>0</v>
      </c>
      <c r="I32" s="1029"/>
    </row>
    <row r="33" spans="1:9" s="357" customFormat="1">
      <c r="A33" s="1820"/>
      <c r="B33" s="1821"/>
      <c r="C33" s="1821"/>
      <c r="D33" s="1822"/>
      <c r="E33" s="1821"/>
      <c r="F33" s="1823"/>
      <c r="G33" s="1824"/>
      <c r="H33" s="1501" t="str">
        <f t="shared" si="0"/>
        <v/>
      </c>
      <c r="I33" s="1239"/>
    </row>
    <row r="34" spans="1:9">
      <c r="A34" s="1763"/>
      <c r="B34" s="1616"/>
      <c r="C34" s="1550" t="s">
        <v>624</v>
      </c>
      <c r="D34" s="1773" t="s">
        <v>642</v>
      </c>
      <c r="E34" s="1550"/>
      <c r="F34" s="1550"/>
      <c r="G34" s="1810"/>
      <c r="H34" s="1501" t="str">
        <f t="shared" si="0"/>
        <v/>
      </c>
      <c r="I34" s="1240"/>
    </row>
    <row r="35" spans="1:9">
      <c r="A35" s="1763"/>
      <c r="B35" s="1616"/>
      <c r="C35" s="1550"/>
      <c r="D35" s="1773"/>
      <c r="E35" s="1550"/>
      <c r="F35" s="1550"/>
      <c r="G35" s="1810"/>
      <c r="H35" s="1501" t="str">
        <f t="shared" si="0"/>
        <v/>
      </c>
      <c r="I35" s="1240"/>
    </row>
    <row r="36" spans="1:9" s="357" customFormat="1">
      <c r="A36" s="1820">
        <f>A4</f>
        <v>3</v>
      </c>
      <c r="B36" s="1818">
        <v>1.7</v>
      </c>
      <c r="C36" s="1261"/>
      <c r="D36" s="1825" t="s">
        <v>643</v>
      </c>
      <c r="E36" s="1821" t="s">
        <v>644</v>
      </c>
      <c r="F36" s="1823">
        <v>30</v>
      </c>
      <c r="G36" s="1513"/>
      <c r="H36" s="1501">
        <f t="shared" si="0"/>
        <v>0</v>
      </c>
      <c r="I36" s="480"/>
    </row>
    <row r="37" spans="1:9" s="357" customFormat="1">
      <c r="A37" s="1820"/>
      <c r="B37" s="1826"/>
      <c r="C37" s="1261"/>
      <c r="D37" s="1825"/>
      <c r="E37" s="1821"/>
      <c r="F37" s="1823"/>
      <c r="G37" s="1513"/>
      <c r="H37" s="1501" t="str">
        <f t="shared" si="0"/>
        <v/>
      </c>
      <c r="I37" s="480"/>
    </row>
    <row r="38" spans="1:9" s="357" customFormat="1">
      <c r="A38" s="1820"/>
      <c r="B38" s="1826"/>
      <c r="C38" s="1261">
        <v>8.3000000000000007</v>
      </c>
      <c r="D38" s="1827" t="s">
        <v>645</v>
      </c>
      <c r="E38" s="1261"/>
      <c r="F38" s="1261"/>
      <c r="G38" s="1536"/>
      <c r="H38" s="1501" t="str">
        <f t="shared" si="0"/>
        <v/>
      </c>
      <c r="I38" s="791"/>
    </row>
    <row r="39" spans="1:9" s="357" customFormat="1">
      <c r="A39" s="1820"/>
      <c r="B39" s="1261"/>
      <c r="C39" s="1261"/>
      <c r="D39" s="1828"/>
      <c r="E39" s="1261"/>
      <c r="F39" s="1532"/>
      <c r="G39" s="1829"/>
      <c r="H39" s="1501" t="str">
        <f t="shared" si="0"/>
        <v/>
      </c>
      <c r="I39" s="1241"/>
    </row>
    <row r="40" spans="1:9" s="357" customFormat="1">
      <c r="A40" s="1820"/>
      <c r="B40" s="1261"/>
      <c r="C40" s="1261" t="s">
        <v>226</v>
      </c>
      <c r="D40" s="1827" t="s">
        <v>646</v>
      </c>
      <c r="E40" s="1261"/>
      <c r="F40" s="1532"/>
      <c r="G40" s="1829"/>
      <c r="H40" s="1501" t="str">
        <f t="shared" si="0"/>
        <v/>
      </c>
      <c r="I40" s="1241"/>
    </row>
    <row r="41" spans="1:9" s="357" customFormat="1">
      <c r="A41" s="1820"/>
      <c r="B41" s="1261"/>
      <c r="C41" s="1261"/>
      <c r="D41" s="1828"/>
      <c r="E41" s="1261"/>
      <c r="F41" s="1532"/>
      <c r="G41" s="1829"/>
      <c r="H41" s="1501" t="str">
        <f t="shared" si="0"/>
        <v/>
      </c>
      <c r="I41" s="1241"/>
    </row>
    <row r="42" spans="1:9" s="357" customFormat="1">
      <c r="A42" s="1820">
        <f>A4</f>
        <v>3</v>
      </c>
      <c r="B42" s="1261">
        <v>1.8</v>
      </c>
      <c r="C42" s="1261" t="s">
        <v>647</v>
      </c>
      <c r="D42" s="1828" t="s">
        <v>648</v>
      </c>
      <c r="E42" s="1261" t="s">
        <v>649</v>
      </c>
      <c r="F42" s="1270">
        <v>1</v>
      </c>
      <c r="G42" s="1524"/>
      <c r="H42" s="1501">
        <f t="shared" si="0"/>
        <v>0</v>
      </c>
      <c r="I42" s="1241"/>
    </row>
    <row r="43" spans="1:9" s="357" customFormat="1">
      <c r="A43" s="1820"/>
      <c r="B43" s="1261"/>
      <c r="C43" s="1261"/>
      <c r="D43" s="1828"/>
      <c r="E43" s="1261"/>
      <c r="F43" s="1270"/>
      <c r="G43" s="1819"/>
      <c r="H43" s="1501" t="str">
        <f t="shared" si="0"/>
        <v/>
      </c>
      <c r="I43" s="1241"/>
    </row>
    <row r="44" spans="1:9" s="357" customFormat="1">
      <c r="A44" s="1820"/>
      <c r="B44" s="1261"/>
      <c r="C44" s="1830" t="s">
        <v>226</v>
      </c>
      <c r="D44" s="1831" t="s">
        <v>650</v>
      </c>
      <c r="E44" s="1832"/>
      <c r="F44" s="1270"/>
      <c r="G44" s="1819"/>
      <c r="H44" s="1501" t="str">
        <f t="shared" si="0"/>
        <v/>
      </c>
      <c r="I44" s="1241"/>
    </row>
    <row r="45" spans="1:9" s="357" customFormat="1">
      <c r="A45" s="1820"/>
      <c r="B45" s="1261"/>
      <c r="C45" s="1830"/>
      <c r="D45" s="1833"/>
      <c r="E45" s="1832"/>
      <c r="F45" s="1270"/>
      <c r="G45" s="1819"/>
      <c r="H45" s="1501" t="str">
        <f t="shared" si="0"/>
        <v/>
      </c>
      <c r="I45" s="1241"/>
    </row>
    <row r="46" spans="1:9" s="357" customFormat="1">
      <c r="A46" s="1820">
        <f>A4</f>
        <v>3</v>
      </c>
      <c r="B46" s="1261">
        <v>1.9</v>
      </c>
      <c r="C46" s="1830" t="s">
        <v>647</v>
      </c>
      <c r="D46" s="1834" t="s">
        <v>651</v>
      </c>
      <c r="E46" s="1261" t="s">
        <v>649</v>
      </c>
      <c r="F46" s="1270">
        <v>0.5</v>
      </c>
      <c r="G46" s="1819"/>
      <c r="H46" s="1501">
        <f t="shared" si="0"/>
        <v>0</v>
      </c>
      <c r="I46" s="1241"/>
    </row>
    <row r="47" spans="1:9" s="357" customFormat="1">
      <c r="A47" s="1820"/>
      <c r="B47" s="1261"/>
      <c r="C47" s="1261"/>
      <c r="D47" s="1828"/>
      <c r="E47" s="1261"/>
      <c r="F47" s="1532"/>
      <c r="G47" s="1524"/>
      <c r="H47" s="1501" t="str">
        <f t="shared" si="0"/>
        <v/>
      </c>
      <c r="I47" s="1241"/>
    </row>
    <row r="48" spans="1:9">
      <c r="A48" s="1763"/>
      <c r="B48" s="1550"/>
      <c r="C48" s="1550">
        <v>8.4</v>
      </c>
      <c r="D48" s="1773" t="s">
        <v>652</v>
      </c>
      <c r="E48" s="1550"/>
      <c r="F48" s="1550"/>
      <c r="G48" s="1814"/>
      <c r="H48" s="1501" t="str">
        <f t="shared" si="0"/>
        <v/>
      </c>
      <c r="I48" s="244"/>
    </row>
    <row r="49" spans="1:9">
      <c r="A49" s="1763"/>
      <c r="B49" s="1550"/>
      <c r="C49" s="1550"/>
      <c r="D49" s="1806"/>
      <c r="E49" s="1550"/>
      <c r="F49" s="1550"/>
      <c r="G49" s="1814"/>
      <c r="H49" s="1501" t="str">
        <f t="shared" si="0"/>
        <v/>
      </c>
      <c r="I49" s="244"/>
    </row>
    <row r="50" spans="1:9" s="10" customFormat="1" ht="28.5" customHeight="1">
      <c r="A50" s="1574"/>
      <c r="B50" s="1783"/>
      <c r="C50" s="1783" t="s">
        <v>337</v>
      </c>
      <c r="D50" s="1815" t="s">
        <v>653</v>
      </c>
      <c r="E50" s="1783"/>
      <c r="F50" s="1783"/>
      <c r="G50" s="1835"/>
      <c r="H50" s="1501" t="str">
        <f t="shared" si="0"/>
        <v/>
      </c>
      <c r="I50" s="1242"/>
    </row>
    <row r="51" spans="1:9">
      <c r="A51" s="1763"/>
      <c r="B51" s="1550"/>
      <c r="C51" s="1550"/>
      <c r="D51" s="1806"/>
      <c r="E51" s="1550"/>
      <c r="F51" s="1550"/>
      <c r="G51" s="1814"/>
      <c r="H51" s="1501" t="str">
        <f t="shared" si="0"/>
        <v/>
      </c>
      <c r="I51" s="244"/>
    </row>
    <row r="52" spans="1:9" s="357" customFormat="1" ht="15.6">
      <c r="A52" s="1820">
        <f>A4</f>
        <v>3</v>
      </c>
      <c r="B52" s="1836">
        <v>1.1000000000000001</v>
      </c>
      <c r="C52" s="1261"/>
      <c r="D52" s="1780" t="s">
        <v>654</v>
      </c>
      <c r="E52" s="1261" t="s">
        <v>641</v>
      </c>
      <c r="F52" s="1261">
        <v>45</v>
      </c>
      <c r="G52" s="1536"/>
      <c r="H52" s="1501">
        <f t="shared" si="0"/>
        <v>0</v>
      </c>
      <c r="I52" s="480"/>
    </row>
    <row r="53" spans="1:9">
      <c r="A53" s="1763"/>
      <c r="B53" s="1550"/>
      <c r="C53" s="1550"/>
      <c r="D53" s="1806"/>
      <c r="E53" s="1550"/>
      <c r="F53" s="1550"/>
      <c r="G53" s="1814"/>
      <c r="H53" s="1501" t="str">
        <f t="shared" si="0"/>
        <v/>
      </c>
      <c r="I53" s="244"/>
    </row>
    <row r="54" spans="1:9">
      <c r="A54" s="1763"/>
      <c r="B54" s="1550"/>
      <c r="C54" s="1550" t="s">
        <v>375</v>
      </c>
      <c r="D54" s="1815" t="s">
        <v>655</v>
      </c>
      <c r="E54" s="1550"/>
      <c r="F54" s="1550"/>
      <c r="G54" s="1814"/>
      <c r="H54" s="1501" t="str">
        <f t="shared" si="0"/>
        <v/>
      </c>
      <c r="I54" s="244"/>
    </row>
    <row r="55" spans="1:9">
      <c r="A55" s="1763"/>
      <c r="B55" s="1550"/>
      <c r="C55" s="1551"/>
      <c r="D55" s="1837"/>
      <c r="E55" s="1550"/>
      <c r="F55" s="1550"/>
      <c r="G55" s="1814"/>
      <c r="H55" s="1501" t="str">
        <f t="shared" si="0"/>
        <v/>
      </c>
      <c r="I55" s="244"/>
    </row>
    <row r="56" spans="1:9" s="357" customFormat="1" ht="13.5" customHeight="1">
      <c r="A56" s="1820">
        <f>A4</f>
        <v>3</v>
      </c>
      <c r="B56" s="1261">
        <v>1.1100000000000001</v>
      </c>
      <c r="C56" s="1565"/>
      <c r="D56" s="1828" t="s">
        <v>656</v>
      </c>
      <c r="E56" s="1261" t="s">
        <v>657</v>
      </c>
      <c r="F56" s="1532">
        <v>10</v>
      </c>
      <c r="G56" s="1536"/>
      <c r="H56" s="1501">
        <f t="shared" si="0"/>
        <v>0</v>
      </c>
      <c r="I56" s="480"/>
    </row>
    <row r="57" spans="1:9" s="357" customFormat="1" ht="13.5" customHeight="1">
      <c r="A57" s="1820"/>
      <c r="B57" s="1261"/>
      <c r="C57" s="1565"/>
      <c r="D57" s="1828"/>
      <c r="E57" s="1261"/>
      <c r="F57" s="1532"/>
      <c r="G57" s="1536"/>
      <c r="H57" s="1501" t="str">
        <f t="shared" si="0"/>
        <v/>
      </c>
      <c r="I57" s="480"/>
    </row>
    <row r="58" spans="1:9" s="357" customFormat="1" ht="11.25" customHeight="1">
      <c r="A58" s="1820">
        <f>A4</f>
        <v>3</v>
      </c>
      <c r="B58" s="1261">
        <v>1.1200000000000001</v>
      </c>
      <c r="C58" s="1565"/>
      <c r="D58" s="1780" t="s">
        <v>658</v>
      </c>
      <c r="E58" s="1261" t="s">
        <v>657</v>
      </c>
      <c r="F58" s="1261">
        <v>15</v>
      </c>
      <c r="G58" s="1536"/>
      <c r="H58" s="1501">
        <f t="shared" si="0"/>
        <v>0</v>
      </c>
      <c r="I58" s="480"/>
    </row>
    <row r="59" spans="1:9">
      <c r="A59" s="1763"/>
      <c r="B59" s="1667"/>
      <c r="C59" s="1667"/>
      <c r="D59" s="1668"/>
      <c r="E59" s="1669"/>
      <c r="F59" s="1670"/>
      <c r="G59" s="1812"/>
      <c r="H59" s="1501" t="str">
        <f t="shared" si="0"/>
        <v/>
      </c>
      <c r="I59" s="1234"/>
    </row>
    <row r="60" spans="1:9" s="357" customFormat="1">
      <c r="A60" s="1820"/>
      <c r="B60" s="1261"/>
      <c r="C60" s="1261" t="s">
        <v>659</v>
      </c>
      <c r="D60" s="1838" t="s">
        <v>660</v>
      </c>
      <c r="E60" s="1261"/>
      <c r="F60" s="1261"/>
      <c r="G60" s="1839"/>
      <c r="H60" s="1501" t="str">
        <f t="shared" si="0"/>
        <v/>
      </c>
      <c r="I60" s="1243"/>
    </row>
    <row r="61" spans="1:9">
      <c r="A61" s="1763"/>
      <c r="B61" s="1550"/>
      <c r="C61" s="1551"/>
      <c r="D61" s="1840"/>
      <c r="E61" s="1550"/>
      <c r="F61" s="1550"/>
      <c r="G61" s="1814"/>
      <c r="H61" s="1501" t="str">
        <f t="shared" si="0"/>
        <v/>
      </c>
      <c r="I61" s="244"/>
    </row>
    <row r="62" spans="1:9" s="357" customFormat="1" ht="15.6">
      <c r="A62" s="1820">
        <f>A4</f>
        <v>3</v>
      </c>
      <c r="B62" s="1261">
        <v>1.1299999999999999</v>
      </c>
      <c r="C62" s="1565"/>
      <c r="D62" s="1780" t="s">
        <v>661</v>
      </c>
      <c r="E62" s="1261" t="s">
        <v>641</v>
      </c>
      <c r="F62" s="1261">
        <v>15</v>
      </c>
      <c r="G62" s="1536"/>
      <c r="H62" s="1501">
        <f t="shared" si="0"/>
        <v>0</v>
      </c>
      <c r="I62" s="480"/>
    </row>
    <row r="63" spans="1:9">
      <c r="A63" s="1763"/>
      <c r="B63" s="1550"/>
      <c r="C63" s="1551"/>
      <c r="D63" s="1840"/>
      <c r="E63" s="1550"/>
      <c r="F63" s="1550"/>
      <c r="G63" s="1814"/>
      <c r="H63" s="1501" t="str">
        <f t="shared" si="0"/>
        <v/>
      </c>
      <c r="I63" s="244"/>
    </row>
    <row r="64" spans="1:9" s="357" customFormat="1" ht="15.6">
      <c r="A64" s="1820">
        <f>A4</f>
        <v>3</v>
      </c>
      <c r="B64" s="1261">
        <v>1.1399999999999999</v>
      </c>
      <c r="C64" s="1565"/>
      <c r="D64" s="1780" t="s">
        <v>662</v>
      </c>
      <c r="E64" s="1261" t="s">
        <v>641</v>
      </c>
      <c r="F64" s="1261">
        <v>15</v>
      </c>
      <c r="G64" s="1536"/>
      <c r="H64" s="1501">
        <f t="shared" si="0"/>
        <v>0</v>
      </c>
      <c r="I64" s="480"/>
    </row>
    <row r="65" spans="1:9" s="357" customFormat="1">
      <c r="A65" s="1820"/>
      <c r="B65" s="1261"/>
      <c r="C65" s="1565"/>
      <c r="D65" s="1780"/>
      <c r="E65" s="1261"/>
      <c r="F65" s="1261"/>
      <c r="G65" s="1536"/>
      <c r="H65" s="1501" t="str">
        <f t="shared" si="0"/>
        <v/>
      </c>
      <c r="I65" s="480"/>
    </row>
    <row r="66" spans="1:9" s="357" customFormat="1">
      <c r="A66" s="1820"/>
      <c r="B66" s="1550"/>
      <c r="C66" s="1551" t="s">
        <v>663</v>
      </c>
      <c r="D66" s="1841" t="s">
        <v>664</v>
      </c>
      <c r="E66" s="1550"/>
      <c r="F66" s="1550"/>
      <c r="G66" s="1814"/>
      <c r="H66" s="1501" t="str">
        <f t="shared" si="0"/>
        <v/>
      </c>
      <c r="I66" s="244"/>
    </row>
    <row r="67" spans="1:9" s="357" customFormat="1">
      <c r="A67" s="1820"/>
      <c r="B67" s="1842"/>
      <c r="C67" s="1551"/>
      <c r="D67" s="1843"/>
      <c r="E67" s="1842"/>
      <c r="F67" s="1842"/>
      <c r="G67" s="1844"/>
      <c r="H67" s="1501" t="str">
        <f t="shared" si="0"/>
        <v/>
      </c>
      <c r="I67" s="1244"/>
    </row>
    <row r="68" spans="1:9" s="357" customFormat="1" ht="26.4">
      <c r="A68" s="1820"/>
      <c r="B68" s="1261"/>
      <c r="C68" s="1845" t="s">
        <v>665</v>
      </c>
      <c r="D68" s="1846" t="s">
        <v>666</v>
      </c>
      <c r="E68" s="1261"/>
      <c r="F68" s="1261"/>
      <c r="G68" s="1839"/>
      <c r="H68" s="1501" t="str">
        <f t="shared" si="0"/>
        <v/>
      </c>
      <c r="I68" s="1243"/>
    </row>
    <row r="69" spans="1:9" s="357" customFormat="1">
      <c r="A69" s="1820"/>
      <c r="B69" s="1261"/>
      <c r="C69" s="1565"/>
      <c r="D69" s="1847"/>
      <c r="E69" s="1261"/>
      <c r="F69" s="1261"/>
      <c r="G69" s="1839"/>
      <c r="H69" s="1501" t="str">
        <f t="shared" si="0"/>
        <v/>
      </c>
      <c r="I69" s="1243"/>
    </row>
    <row r="70" spans="1:9" s="357" customFormat="1" ht="15.6">
      <c r="A70" s="1820">
        <f>A4</f>
        <v>3</v>
      </c>
      <c r="B70" s="1261">
        <v>1.1499999999999999</v>
      </c>
      <c r="C70" s="1565" t="s">
        <v>667</v>
      </c>
      <c r="D70" s="1780" t="s">
        <v>668</v>
      </c>
      <c r="E70" s="1261" t="s">
        <v>657</v>
      </c>
      <c r="F70" s="1836">
        <v>0.1</v>
      </c>
      <c r="G70" s="1536"/>
      <c r="H70" s="1501">
        <f t="shared" si="0"/>
        <v>0</v>
      </c>
      <c r="I70" s="480"/>
    </row>
    <row r="71" spans="1:9" s="357" customFormat="1">
      <c r="A71" s="1820"/>
      <c r="B71" s="1261"/>
      <c r="C71" s="1565"/>
      <c r="D71" s="1847"/>
      <c r="E71" s="1261"/>
      <c r="F71" s="1261"/>
      <c r="G71" s="1839"/>
      <c r="H71" s="1501" t="str">
        <f t="shared" si="0"/>
        <v/>
      </c>
      <c r="I71" s="1243"/>
    </row>
    <row r="72" spans="1:9" s="357" customFormat="1" ht="15.6">
      <c r="A72" s="1820">
        <f>A4</f>
        <v>3</v>
      </c>
      <c r="B72" s="1261">
        <v>1.1599999999999999</v>
      </c>
      <c r="C72" s="1565" t="s">
        <v>669</v>
      </c>
      <c r="D72" s="1780" t="s">
        <v>670</v>
      </c>
      <c r="E72" s="1261" t="s">
        <v>657</v>
      </c>
      <c r="F72" s="1836">
        <v>0.1</v>
      </c>
      <c r="G72" s="1536"/>
      <c r="H72" s="1501">
        <f t="shared" ref="H72:H75" si="1">IF(E72="","",ROUND(F72*G72,2))</f>
        <v>0</v>
      </c>
      <c r="I72" s="480"/>
    </row>
    <row r="73" spans="1:9" s="357" customFormat="1" ht="13.35" customHeight="1">
      <c r="A73" s="1820"/>
      <c r="B73" s="1261"/>
      <c r="C73" s="1565"/>
      <c r="D73" s="1780"/>
      <c r="E73" s="1261"/>
      <c r="F73" s="1836"/>
      <c r="G73" s="1536"/>
      <c r="H73" s="1501" t="str">
        <f t="shared" si="1"/>
        <v/>
      </c>
      <c r="I73" s="480"/>
    </row>
    <row r="74" spans="1:9" s="357" customFormat="1" ht="13.35" customHeight="1">
      <c r="A74" s="1820"/>
      <c r="B74" s="1261"/>
      <c r="C74" s="1565"/>
      <c r="D74" s="1780"/>
      <c r="E74" s="1261"/>
      <c r="F74" s="1836"/>
      <c r="G74" s="1536"/>
      <c r="H74" s="1501" t="str">
        <f t="shared" si="1"/>
        <v/>
      </c>
      <c r="I74" s="480"/>
    </row>
    <row r="75" spans="1:9">
      <c r="A75" s="1763"/>
      <c r="B75" s="1261"/>
      <c r="C75" s="1565"/>
      <c r="D75" s="1780"/>
      <c r="E75" s="1261"/>
      <c r="F75" s="1261"/>
      <c r="G75" s="1536"/>
      <c r="H75" s="1501" t="str">
        <f t="shared" si="1"/>
        <v/>
      </c>
      <c r="I75" s="480"/>
    </row>
    <row r="76" spans="1:9">
      <c r="A76" s="1848"/>
      <c r="B76" s="787"/>
      <c r="C76" s="800"/>
      <c r="D76" s="801"/>
      <c r="E76" s="800"/>
      <c r="F76" s="800"/>
      <c r="G76" s="1176"/>
      <c r="H76" s="1849"/>
      <c r="I76" s="1245"/>
    </row>
    <row r="77" spans="1:9" s="357" customFormat="1">
      <c r="A77" s="1246"/>
      <c r="B77" s="566"/>
      <c r="C77" s="425"/>
      <c r="D77" s="457" t="s">
        <v>289</v>
      </c>
      <c r="E77" s="425"/>
      <c r="F77" s="425"/>
      <c r="G77" s="1177"/>
      <c r="H77" s="1850">
        <f>SUM(H3:H75)</f>
        <v>0</v>
      </c>
      <c r="I77" s="1030"/>
    </row>
    <row r="78" spans="1:9">
      <c r="A78" s="1763"/>
      <c r="B78" s="1787"/>
      <c r="C78" s="1788"/>
      <c r="D78" s="1789" t="s">
        <v>290</v>
      </c>
      <c r="E78" s="1788"/>
      <c r="F78" s="1788"/>
      <c r="G78" s="1851"/>
      <c r="H78" s="1852">
        <f>H77</f>
        <v>0</v>
      </c>
      <c r="I78" s="483"/>
    </row>
    <row r="79" spans="1:9" s="1247" customFormat="1">
      <c r="A79" s="1853"/>
      <c r="B79" s="1261"/>
      <c r="C79" s="1565"/>
      <c r="D79" s="1780"/>
      <c r="E79" s="1261"/>
      <c r="F79" s="1261"/>
      <c r="G79" s="1536"/>
      <c r="H79" s="1854"/>
      <c r="I79" s="480"/>
    </row>
    <row r="80" spans="1:9" s="1248" customFormat="1">
      <c r="A80" s="1820"/>
      <c r="B80" s="1261"/>
      <c r="C80" s="1565"/>
      <c r="D80" s="1780"/>
      <c r="E80" s="1261"/>
      <c r="F80" s="1836"/>
      <c r="G80" s="1855"/>
      <c r="H80" s="1856"/>
      <c r="I80" s="1031"/>
    </row>
    <row r="81" spans="1:9">
      <c r="A81" s="1820"/>
      <c r="B81" s="1261"/>
      <c r="C81" s="1565"/>
      <c r="D81" s="1780"/>
      <c r="E81" s="1261"/>
      <c r="F81" s="1261"/>
      <c r="G81" s="1536"/>
      <c r="H81" s="1854"/>
      <c r="I81" s="480"/>
    </row>
    <row r="82" spans="1:9" ht="13.8">
      <c r="A82" s="1820">
        <f>A4</f>
        <v>3</v>
      </c>
      <c r="B82" s="1857">
        <v>2</v>
      </c>
      <c r="C82" s="1767"/>
      <c r="D82" s="1858" t="s">
        <v>671</v>
      </c>
      <c r="E82" s="1767"/>
      <c r="F82" s="1767"/>
      <c r="G82" s="1859"/>
      <c r="H82" s="1767"/>
      <c r="I82" s="1232"/>
    </row>
    <row r="83" spans="1:9">
      <c r="A83" s="1763"/>
      <c r="B83" s="1551"/>
      <c r="C83" s="1550"/>
      <c r="D83" s="1809"/>
      <c r="E83" s="1550"/>
      <c r="F83" s="1550"/>
      <c r="G83" s="1810"/>
      <c r="H83" s="1808"/>
      <c r="I83" s="1235"/>
    </row>
    <row r="84" spans="1:9">
      <c r="A84" s="1763"/>
      <c r="B84" s="1765" t="s">
        <v>543</v>
      </c>
      <c r="C84" s="1766"/>
      <c r="D84" s="1806" t="s">
        <v>672</v>
      </c>
      <c r="E84" s="1550"/>
      <c r="F84" s="1550"/>
      <c r="G84" s="1810"/>
      <c r="H84" s="1808"/>
      <c r="I84" s="1235"/>
    </row>
    <row r="85" spans="1:9">
      <c r="A85" s="1763"/>
      <c r="B85" s="1551"/>
      <c r="C85" s="1550"/>
      <c r="D85" s="1809"/>
      <c r="E85" s="1550"/>
      <c r="F85" s="1550"/>
      <c r="G85" s="1810"/>
      <c r="H85" s="1808"/>
      <c r="I85" s="1235"/>
    </row>
    <row r="86" spans="1:9">
      <c r="A86" s="1763">
        <f>A4</f>
        <v>3</v>
      </c>
      <c r="B86" s="1550">
        <v>2.1</v>
      </c>
      <c r="C86" s="1550" t="s">
        <v>673</v>
      </c>
      <c r="D86" s="1811" t="s">
        <v>674</v>
      </c>
      <c r="E86" s="1550" t="s">
        <v>561</v>
      </c>
      <c r="F86" s="1261">
        <v>185</v>
      </c>
      <c r="G86" s="1536"/>
      <c r="H86" s="1501">
        <f t="shared" ref="H86:H134" si="2">IF(E86="","",ROUND(F86*G86,2))</f>
        <v>0</v>
      </c>
      <c r="I86" s="383"/>
    </row>
    <row r="87" spans="1:9">
      <c r="A87" s="1763"/>
      <c r="B87" s="1551"/>
      <c r="C87" s="1550"/>
      <c r="D87" s="1809"/>
      <c r="E87" s="1550"/>
      <c r="F87" s="1860"/>
      <c r="G87" s="1810"/>
      <c r="H87" s="1501" t="str">
        <f t="shared" si="2"/>
        <v/>
      </c>
      <c r="I87" s="1249"/>
    </row>
    <row r="88" spans="1:9" ht="30" customHeight="1">
      <c r="A88" s="1763">
        <f>A4</f>
        <v>3</v>
      </c>
      <c r="B88" s="1550">
        <v>2.2000000000000002</v>
      </c>
      <c r="C88" s="1550"/>
      <c r="D88" s="1771" t="s">
        <v>675</v>
      </c>
      <c r="E88" s="1550" t="s">
        <v>230</v>
      </c>
      <c r="F88" s="1860">
        <v>1</v>
      </c>
      <c r="G88" s="1519"/>
      <c r="H88" s="1501">
        <f t="shared" si="2"/>
        <v>0</v>
      </c>
      <c r="I88" s="480"/>
    </row>
    <row r="89" spans="1:9">
      <c r="A89" s="1763"/>
      <c r="B89" s="1551"/>
      <c r="C89" s="1550"/>
      <c r="D89" s="1809"/>
      <c r="E89" s="1550"/>
      <c r="F89" s="1860"/>
      <c r="G89" s="1810"/>
      <c r="H89" s="1501" t="str">
        <f t="shared" si="2"/>
        <v/>
      </c>
      <c r="I89" s="1249"/>
    </row>
    <row r="90" spans="1:9" ht="26.4">
      <c r="A90" s="1763"/>
      <c r="B90" s="1753" t="s">
        <v>549</v>
      </c>
      <c r="C90" s="1672" t="s">
        <v>626</v>
      </c>
      <c r="D90" s="1673" t="s">
        <v>627</v>
      </c>
      <c r="E90" s="1669"/>
      <c r="F90" s="1670"/>
      <c r="G90" s="1812"/>
      <c r="H90" s="1501" t="str">
        <f t="shared" si="2"/>
        <v/>
      </c>
      <c r="I90" s="1234"/>
    </row>
    <row r="91" spans="1:9">
      <c r="A91" s="1763"/>
      <c r="B91" s="1667"/>
      <c r="C91" s="1667"/>
      <c r="D91" s="1668"/>
      <c r="E91" s="1669"/>
      <c r="F91" s="1670"/>
      <c r="G91" s="1812"/>
      <c r="H91" s="1501" t="str">
        <f t="shared" si="2"/>
        <v/>
      </c>
      <c r="I91" s="1234"/>
    </row>
    <row r="92" spans="1:9">
      <c r="A92" s="1763"/>
      <c r="B92" s="1667"/>
      <c r="C92" s="1667"/>
      <c r="D92" s="1673" t="s">
        <v>628</v>
      </c>
      <c r="E92" s="1669"/>
      <c r="F92" s="1236"/>
      <c r="G92" s="1812"/>
      <c r="H92" s="1501" t="str">
        <f t="shared" si="2"/>
        <v/>
      </c>
      <c r="I92" s="1234"/>
    </row>
    <row r="93" spans="1:9">
      <c r="A93" s="1763"/>
      <c r="B93" s="1667"/>
      <c r="C93" s="1667"/>
      <c r="D93" s="1668"/>
      <c r="E93" s="1669"/>
      <c r="F93" s="1236"/>
      <c r="G93" s="1812"/>
      <c r="H93" s="1501" t="str">
        <f t="shared" si="2"/>
        <v/>
      </c>
      <c r="I93" s="1234"/>
    </row>
    <row r="94" spans="1:9" ht="27.75" customHeight="1">
      <c r="A94" s="1763">
        <f>A4</f>
        <v>3</v>
      </c>
      <c r="B94" s="1667">
        <v>2.2999999999999998</v>
      </c>
      <c r="C94" s="1667" t="s">
        <v>629</v>
      </c>
      <c r="D94" s="1668" t="s">
        <v>676</v>
      </c>
      <c r="E94" s="1550" t="s">
        <v>631</v>
      </c>
      <c r="F94" s="9">
        <v>95</v>
      </c>
      <c r="G94" s="1861"/>
      <c r="H94" s="1501">
        <f t="shared" si="2"/>
        <v>0</v>
      </c>
      <c r="I94" s="241"/>
    </row>
    <row r="95" spans="1:9">
      <c r="A95" s="1763"/>
      <c r="B95" s="1667"/>
      <c r="C95" s="1667"/>
      <c r="D95" s="1668"/>
      <c r="E95" s="1669"/>
      <c r="F95" s="1670"/>
      <c r="G95" s="1812"/>
      <c r="H95" s="1501" t="str">
        <f t="shared" si="2"/>
        <v/>
      </c>
      <c r="I95" s="1234"/>
    </row>
    <row r="96" spans="1:9" ht="26.4">
      <c r="A96" s="1763"/>
      <c r="B96" s="1783"/>
      <c r="C96" s="1616" t="s">
        <v>632</v>
      </c>
      <c r="D96" s="1771" t="s">
        <v>677</v>
      </c>
      <c r="E96" s="1550"/>
      <c r="F96" s="1550"/>
      <c r="G96" s="1814"/>
      <c r="H96" s="1501" t="str">
        <f t="shared" si="2"/>
        <v/>
      </c>
      <c r="I96" s="243"/>
    </row>
    <row r="97" spans="1:9">
      <c r="A97" s="1763"/>
      <c r="B97" s="1550"/>
      <c r="C97" s="1551"/>
      <c r="D97" s="1809"/>
      <c r="E97" s="1550"/>
      <c r="F97" s="1550"/>
      <c r="G97" s="1814"/>
      <c r="H97" s="1501" t="str">
        <f t="shared" si="2"/>
        <v/>
      </c>
      <c r="I97" s="243"/>
    </row>
    <row r="98" spans="1:9" ht="15.6">
      <c r="A98" s="1763">
        <f>A4</f>
        <v>3</v>
      </c>
      <c r="B98" s="1550">
        <v>2.4</v>
      </c>
      <c r="C98" s="1551"/>
      <c r="D98" s="1809" t="s">
        <v>634</v>
      </c>
      <c r="E98" s="1550" t="s">
        <v>631</v>
      </c>
      <c r="F98" s="1550">
        <v>24</v>
      </c>
      <c r="G98" s="1515"/>
      <c r="H98" s="1501">
        <f t="shared" si="2"/>
        <v>0</v>
      </c>
      <c r="I98" s="241"/>
    </row>
    <row r="99" spans="1:9">
      <c r="A99" s="1763"/>
      <c r="B99" s="1550"/>
      <c r="C99" s="1551"/>
      <c r="D99" s="1809"/>
      <c r="E99" s="1550"/>
      <c r="F99" s="1550"/>
      <c r="G99" s="1515"/>
      <c r="H99" s="1501" t="str">
        <f t="shared" si="2"/>
        <v/>
      </c>
      <c r="I99" s="243"/>
    </row>
    <row r="100" spans="1:9" ht="15.6">
      <c r="A100" s="1763">
        <f>A4</f>
        <v>3</v>
      </c>
      <c r="B100" s="1550">
        <v>2.5</v>
      </c>
      <c r="C100" s="1551"/>
      <c r="D100" s="1809" t="s">
        <v>635</v>
      </c>
      <c r="E100" s="1550" t="s">
        <v>631</v>
      </c>
      <c r="F100" s="1550">
        <v>5</v>
      </c>
      <c r="G100" s="1515"/>
      <c r="H100" s="1501">
        <f t="shared" si="2"/>
        <v>0</v>
      </c>
      <c r="I100" s="241"/>
    </row>
    <row r="101" spans="1:9">
      <c r="A101" s="1763"/>
      <c r="B101" s="1667"/>
      <c r="C101" s="1667"/>
      <c r="D101" s="1668"/>
      <c r="E101" s="1669"/>
      <c r="F101" s="1670"/>
      <c r="G101" s="1812"/>
      <c r="H101" s="1501" t="str">
        <f t="shared" si="2"/>
        <v/>
      </c>
      <c r="I101" s="1234"/>
    </row>
    <row r="102" spans="1:9" ht="12" customHeight="1">
      <c r="A102" s="1763"/>
      <c r="B102" s="1765" t="s">
        <v>549</v>
      </c>
      <c r="C102" s="1766" t="s">
        <v>581</v>
      </c>
      <c r="D102" s="1773" t="s">
        <v>678</v>
      </c>
      <c r="E102" s="1550"/>
      <c r="F102" s="1860"/>
      <c r="G102" s="1810"/>
      <c r="H102" s="1501" t="str">
        <f t="shared" si="2"/>
        <v/>
      </c>
      <c r="I102" s="1249"/>
    </row>
    <row r="103" spans="1:9">
      <c r="A103" s="1763"/>
      <c r="B103" s="1551"/>
      <c r="C103" s="1550"/>
      <c r="D103" s="1809"/>
      <c r="E103" s="1550"/>
      <c r="F103" s="1860"/>
      <c r="G103" s="1810"/>
      <c r="H103" s="1501" t="str">
        <f t="shared" si="2"/>
        <v/>
      </c>
      <c r="I103" s="1249"/>
    </row>
    <row r="104" spans="1:9">
      <c r="A104" s="1763"/>
      <c r="B104" s="1551"/>
      <c r="C104" s="1550">
        <v>8.1999999999999993</v>
      </c>
      <c r="D104" s="1806" t="s">
        <v>637</v>
      </c>
      <c r="E104" s="1550"/>
      <c r="F104" s="1550"/>
      <c r="G104" s="1814"/>
      <c r="H104" s="1501" t="str">
        <f t="shared" si="2"/>
        <v/>
      </c>
      <c r="I104" s="243"/>
    </row>
    <row r="105" spans="1:9">
      <c r="A105" s="1763"/>
      <c r="B105" s="1551"/>
      <c r="C105" s="1550"/>
      <c r="D105" s="1815"/>
      <c r="E105" s="1550"/>
      <c r="F105" s="1550"/>
      <c r="G105" s="1814"/>
      <c r="H105" s="1501" t="str">
        <f t="shared" si="2"/>
        <v/>
      </c>
      <c r="I105" s="243"/>
    </row>
    <row r="106" spans="1:9">
      <c r="A106" s="1763"/>
      <c r="B106" s="1551"/>
      <c r="C106" s="1550" t="s">
        <v>590</v>
      </c>
      <c r="D106" s="1815" t="s">
        <v>638</v>
      </c>
      <c r="E106" s="1550"/>
      <c r="F106" s="1550"/>
      <c r="G106" s="1814"/>
      <c r="H106" s="1501" t="str">
        <f t="shared" si="2"/>
        <v/>
      </c>
      <c r="I106" s="243"/>
    </row>
    <row r="107" spans="1:9">
      <c r="A107" s="1763"/>
      <c r="B107" s="1551"/>
      <c r="C107" s="1550"/>
      <c r="D107" s="1771"/>
      <c r="E107" s="1550"/>
      <c r="F107" s="1550"/>
      <c r="G107" s="1814"/>
      <c r="H107" s="1501" t="str">
        <f t="shared" si="2"/>
        <v/>
      </c>
      <c r="I107" s="243"/>
    </row>
    <row r="108" spans="1:9" s="1238" customFormat="1">
      <c r="A108" s="1862"/>
      <c r="B108" s="1616"/>
      <c r="C108" s="1550"/>
      <c r="D108" s="1773" t="s">
        <v>639</v>
      </c>
      <c r="E108" s="1550"/>
      <c r="F108" s="1550"/>
      <c r="G108" s="1814"/>
      <c r="H108" s="1501" t="str">
        <f t="shared" si="2"/>
        <v/>
      </c>
      <c r="I108" s="243"/>
    </row>
    <row r="109" spans="1:9" s="357" customFormat="1">
      <c r="A109" s="1820"/>
      <c r="B109" s="1667"/>
      <c r="C109" s="1667"/>
      <c r="D109" s="1668"/>
      <c r="E109" s="1667"/>
      <c r="F109" s="1816"/>
      <c r="G109" s="1817"/>
      <c r="H109" s="1501" t="str">
        <f t="shared" si="2"/>
        <v/>
      </c>
      <c r="I109" s="1237"/>
    </row>
    <row r="110" spans="1:9" ht="15.6">
      <c r="A110" s="1763">
        <f>A4</f>
        <v>3</v>
      </c>
      <c r="B110" s="1818">
        <v>2.6</v>
      </c>
      <c r="C110" s="1818"/>
      <c r="D110" s="1863" t="s">
        <v>679</v>
      </c>
      <c r="E110" s="1818" t="s">
        <v>641</v>
      </c>
      <c r="F110" s="1818">
        <v>150</v>
      </c>
      <c r="G110" s="1533"/>
      <c r="H110" s="1501">
        <f t="shared" si="2"/>
        <v>0</v>
      </c>
      <c r="I110" s="1032"/>
    </row>
    <row r="111" spans="1:9">
      <c r="A111" s="1763"/>
      <c r="B111" s="1821"/>
      <c r="C111" s="1821"/>
      <c r="D111" s="1822"/>
      <c r="E111" s="1821"/>
      <c r="F111" s="1823"/>
      <c r="G111" s="1533"/>
      <c r="H111" s="1501" t="str">
        <f t="shared" si="2"/>
        <v/>
      </c>
      <c r="I111" s="1239"/>
    </row>
    <row r="112" spans="1:9" s="357" customFormat="1">
      <c r="A112" s="1820"/>
      <c r="B112" s="1616"/>
      <c r="C112" s="1550" t="s">
        <v>624</v>
      </c>
      <c r="D112" s="1773" t="s">
        <v>642</v>
      </c>
      <c r="E112" s="1550"/>
      <c r="F112" s="1550"/>
      <c r="G112" s="1533"/>
      <c r="H112" s="1501" t="str">
        <f t="shared" si="2"/>
        <v/>
      </c>
      <c r="I112" s="1240"/>
    </row>
    <row r="113" spans="1:9">
      <c r="A113" s="1763"/>
      <c r="B113" s="1616"/>
      <c r="C113" s="1550"/>
      <c r="D113" s="1773"/>
      <c r="E113" s="1550"/>
      <c r="F113" s="1550"/>
      <c r="G113" s="1533"/>
      <c r="H113" s="1501" t="str">
        <f t="shared" si="2"/>
        <v/>
      </c>
      <c r="I113" s="1240"/>
    </row>
    <row r="114" spans="1:9" s="357" customFormat="1">
      <c r="A114" s="1820">
        <f>A4</f>
        <v>3</v>
      </c>
      <c r="B114" s="1818">
        <v>2.7</v>
      </c>
      <c r="C114" s="1261"/>
      <c r="D114" s="1825" t="s">
        <v>680</v>
      </c>
      <c r="E114" s="1821" t="s">
        <v>561</v>
      </c>
      <c r="F114" s="1823">
        <v>30</v>
      </c>
      <c r="G114" s="1533"/>
      <c r="H114" s="1501">
        <f t="shared" si="2"/>
        <v>0</v>
      </c>
      <c r="I114" s="1031"/>
    </row>
    <row r="115" spans="1:9" s="357" customFormat="1">
      <c r="A115" s="1820"/>
      <c r="B115" s="1616"/>
      <c r="C115" s="1550"/>
      <c r="D115" s="1773"/>
      <c r="E115" s="1550"/>
      <c r="F115" s="1550"/>
      <c r="G115" s="1533"/>
      <c r="H115" s="1501" t="str">
        <f t="shared" si="2"/>
        <v/>
      </c>
      <c r="I115" s="1240"/>
    </row>
    <row r="116" spans="1:9" s="1250" customFormat="1">
      <c r="A116" s="1820">
        <f>A4</f>
        <v>3</v>
      </c>
      <c r="B116" s="1818">
        <v>2.8</v>
      </c>
      <c r="C116" s="1261"/>
      <c r="D116" s="1825" t="s">
        <v>681</v>
      </c>
      <c r="E116" s="1821" t="s">
        <v>561</v>
      </c>
      <c r="F116" s="1823">
        <v>30</v>
      </c>
      <c r="G116" s="1533"/>
      <c r="H116" s="1501">
        <f t="shared" si="2"/>
        <v>0</v>
      </c>
      <c r="I116" s="1031"/>
    </row>
    <row r="117" spans="1:9" s="357" customFormat="1">
      <c r="A117" s="1820"/>
      <c r="B117" s="1826"/>
      <c r="C117" s="1261"/>
      <c r="D117" s="1825"/>
      <c r="E117" s="1821"/>
      <c r="F117" s="1823"/>
      <c r="G117" s="1819"/>
      <c r="H117" s="1501" t="str">
        <f t="shared" si="2"/>
        <v/>
      </c>
      <c r="I117" s="480"/>
    </row>
    <row r="118" spans="1:9" s="357" customFormat="1" ht="26.4">
      <c r="A118" s="1820"/>
      <c r="B118" s="1864" t="s">
        <v>558</v>
      </c>
      <c r="C118" s="1865" t="s">
        <v>581</v>
      </c>
      <c r="D118" s="1827" t="s">
        <v>636</v>
      </c>
      <c r="E118" s="1866"/>
      <c r="F118" s="1866"/>
      <c r="G118" s="1867"/>
      <c r="H118" s="1501" t="str">
        <f t="shared" si="2"/>
        <v/>
      </c>
      <c r="I118" s="1033"/>
    </row>
    <row r="119" spans="1:9" s="357" customFormat="1">
      <c r="A119" s="1820"/>
      <c r="B119" s="1826"/>
      <c r="C119" s="1261"/>
      <c r="D119" s="1828"/>
      <c r="E119" s="1261"/>
      <c r="F119" s="1261"/>
      <c r="G119" s="1819"/>
      <c r="H119" s="1501" t="str">
        <f t="shared" si="2"/>
        <v/>
      </c>
      <c r="I119" s="791"/>
    </row>
    <row r="120" spans="1:9" s="357" customFormat="1">
      <c r="A120" s="1820"/>
      <c r="B120" s="1826"/>
      <c r="C120" s="1261">
        <v>8.3000000000000007</v>
      </c>
      <c r="D120" s="1827" t="s">
        <v>645</v>
      </c>
      <c r="E120" s="1261"/>
      <c r="F120" s="1261"/>
      <c r="G120" s="1819"/>
      <c r="H120" s="1501" t="str">
        <f t="shared" si="2"/>
        <v/>
      </c>
      <c r="I120" s="791"/>
    </row>
    <row r="121" spans="1:9" s="357" customFormat="1">
      <c r="A121" s="1820"/>
      <c r="B121" s="1261"/>
      <c r="C121" s="1261"/>
      <c r="D121" s="1828"/>
      <c r="E121" s="1261"/>
      <c r="F121" s="1532"/>
      <c r="G121" s="1819"/>
      <c r="H121" s="1501" t="str">
        <f t="shared" si="2"/>
        <v/>
      </c>
      <c r="I121" s="1241"/>
    </row>
    <row r="122" spans="1:9" s="357" customFormat="1">
      <c r="A122" s="1820"/>
      <c r="B122" s="1261"/>
      <c r="C122" s="1261" t="s">
        <v>226</v>
      </c>
      <c r="D122" s="1827" t="s">
        <v>646</v>
      </c>
      <c r="E122" s="1261"/>
      <c r="F122" s="1532"/>
      <c r="G122" s="1819"/>
      <c r="H122" s="1501" t="str">
        <f t="shared" si="2"/>
        <v/>
      </c>
      <c r="I122" s="1241"/>
    </row>
    <row r="123" spans="1:9" s="357" customFormat="1">
      <c r="A123" s="1820"/>
      <c r="B123" s="1261"/>
      <c r="C123" s="1261"/>
      <c r="D123" s="1828"/>
      <c r="E123" s="1261"/>
      <c r="F123" s="1532"/>
      <c r="G123" s="1819"/>
      <c r="H123" s="1501" t="str">
        <f t="shared" si="2"/>
        <v/>
      </c>
      <c r="I123" s="1241"/>
    </row>
    <row r="124" spans="1:9" s="357" customFormat="1">
      <c r="A124" s="1820">
        <f>A4</f>
        <v>3</v>
      </c>
      <c r="B124" s="1261">
        <v>2.9</v>
      </c>
      <c r="C124" s="1261" t="s">
        <v>647</v>
      </c>
      <c r="D124" s="1828" t="s">
        <v>648</v>
      </c>
      <c r="E124" s="1261" t="s">
        <v>649</v>
      </c>
      <c r="F124" s="1270">
        <v>1</v>
      </c>
      <c r="G124" s="1819"/>
      <c r="H124" s="1501">
        <f t="shared" si="2"/>
        <v>0</v>
      </c>
      <c r="I124" s="1241"/>
    </row>
    <row r="125" spans="1:9" s="357" customFormat="1">
      <c r="A125" s="1820"/>
      <c r="B125" s="1261"/>
      <c r="C125" s="1261"/>
      <c r="D125" s="1828"/>
      <c r="E125" s="1261"/>
      <c r="F125" s="1270"/>
      <c r="G125" s="1819"/>
      <c r="H125" s="1501" t="str">
        <f t="shared" si="2"/>
        <v/>
      </c>
      <c r="I125" s="1241"/>
    </row>
    <row r="126" spans="1:9" s="357" customFormat="1">
      <c r="A126" s="1820"/>
      <c r="B126" s="1261"/>
      <c r="C126" s="1830" t="s">
        <v>226</v>
      </c>
      <c r="D126" s="1831" t="s">
        <v>650</v>
      </c>
      <c r="E126" s="1832"/>
      <c r="F126" s="1270"/>
      <c r="G126" s="1819"/>
      <c r="H126" s="1501" t="str">
        <f t="shared" si="2"/>
        <v/>
      </c>
      <c r="I126" s="1241"/>
    </row>
    <row r="127" spans="1:9" s="357" customFormat="1">
      <c r="A127" s="1820"/>
      <c r="B127" s="1261"/>
      <c r="C127" s="1830"/>
      <c r="D127" s="1833"/>
      <c r="E127" s="1832"/>
      <c r="F127" s="1270"/>
      <c r="G127" s="1819"/>
      <c r="H127" s="1501" t="str">
        <f t="shared" si="2"/>
        <v/>
      </c>
      <c r="I127" s="1241"/>
    </row>
    <row r="128" spans="1:9">
      <c r="A128" s="1763">
        <f>A4</f>
        <v>3</v>
      </c>
      <c r="B128" s="1836">
        <v>2.1</v>
      </c>
      <c r="C128" s="1830" t="s">
        <v>647</v>
      </c>
      <c r="D128" s="1834" t="s">
        <v>682</v>
      </c>
      <c r="E128" s="1261" t="s">
        <v>649</v>
      </c>
      <c r="F128" s="1270">
        <v>0.5</v>
      </c>
      <c r="G128" s="1819"/>
      <c r="H128" s="1501">
        <f t="shared" si="2"/>
        <v>0</v>
      </c>
      <c r="I128" s="1241"/>
    </row>
    <row r="129" spans="1:9">
      <c r="A129" s="1763"/>
      <c r="B129" s="1261"/>
      <c r="C129" s="1261"/>
      <c r="D129" s="1828"/>
      <c r="E129" s="1261"/>
      <c r="F129" s="1270"/>
      <c r="G129" s="1819"/>
      <c r="H129" s="1501" t="str">
        <f t="shared" si="2"/>
        <v/>
      </c>
      <c r="I129" s="1241"/>
    </row>
    <row r="130" spans="1:9">
      <c r="A130" s="1763"/>
      <c r="B130" s="1550"/>
      <c r="C130" s="1550">
        <v>8.4</v>
      </c>
      <c r="D130" s="1773" t="s">
        <v>652</v>
      </c>
      <c r="E130" s="1550"/>
      <c r="F130" s="1550"/>
      <c r="G130" s="1814"/>
      <c r="H130" s="1501" t="str">
        <f t="shared" si="2"/>
        <v/>
      </c>
      <c r="I130" s="244"/>
    </row>
    <row r="131" spans="1:9">
      <c r="A131" s="1763"/>
      <c r="B131" s="1550"/>
      <c r="C131" s="1550"/>
      <c r="D131" s="1806"/>
      <c r="E131" s="1550"/>
      <c r="F131" s="1550"/>
      <c r="G131" s="1814"/>
      <c r="H131" s="1501" t="str">
        <f t="shared" si="2"/>
        <v/>
      </c>
      <c r="I131" s="244"/>
    </row>
    <row r="132" spans="1:9" ht="26.4">
      <c r="A132" s="1763">
        <f>A4</f>
        <v>3</v>
      </c>
      <c r="B132" s="1550">
        <v>2.11</v>
      </c>
      <c r="C132" s="1842"/>
      <c r="D132" s="1771" t="s">
        <v>683</v>
      </c>
      <c r="E132" s="1550" t="s">
        <v>565</v>
      </c>
      <c r="F132" s="1261">
        <v>140</v>
      </c>
      <c r="G132" s="1536"/>
      <c r="H132" s="1501">
        <f t="shared" si="2"/>
        <v>0</v>
      </c>
      <c r="I132" s="383"/>
    </row>
    <row r="133" spans="1:9">
      <c r="A133" s="1763"/>
      <c r="B133" s="1551"/>
      <c r="C133" s="1842"/>
      <c r="D133" s="29"/>
      <c r="E133" s="1550"/>
      <c r="F133" s="955"/>
      <c r="G133" s="1536"/>
      <c r="H133" s="1501" t="str">
        <f t="shared" si="2"/>
        <v/>
      </c>
      <c r="I133" s="383"/>
    </row>
    <row r="134" spans="1:9" ht="26.4">
      <c r="A134" s="1763">
        <f>A4</f>
        <v>3</v>
      </c>
      <c r="B134" s="1550">
        <v>2.12</v>
      </c>
      <c r="C134" s="1842"/>
      <c r="D134" s="10" t="s">
        <v>684</v>
      </c>
      <c r="E134" s="1550" t="s">
        <v>561</v>
      </c>
      <c r="F134" s="955">
        <v>20</v>
      </c>
      <c r="G134" s="1855"/>
      <c r="H134" s="1501">
        <f t="shared" si="2"/>
        <v>0</v>
      </c>
      <c r="I134" s="1034"/>
    </row>
    <row r="135" spans="1:9">
      <c r="A135" s="1763"/>
      <c r="B135" s="1550"/>
      <c r="C135" s="1842"/>
      <c r="D135" s="10"/>
      <c r="E135" s="1550"/>
      <c r="F135" s="955"/>
      <c r="G135" s="1855"/>
      <c r="H135" s="1868"/>
      <c r="I135" s="1034"/>
    </row>
    <row r="136" spans="1:9">
      <c r="A136" s="1763"/>
      <c r="B136" s="1550"/>
      <c r="C136" s="1842"/>
      <c r="D136" s="10"/>
      <c r="E136" s="1550"/>
      <c r="F136" s="955"/>
      <c r="G136" s="1855"/>
      <c r="H136" s="1868"/>
      <c r="I136" s="1034"/>
    </row>
    <row r="137" spans="1:9">
      <c r="A137" s="1763"/>
      <c r="B137" s="1550"/>
      <c r="C137" s="1842"/>
      <c r="D137" s="10"/>
      <c r="E137" s="1550"/>
      <c r="F137" s="955"/>
      <c r="G137" s="1855"/>
      <c r="H137" s="1868"/>
      <c r="I137" s="1034"/>
    </row>
    <row r="138" spans="1:9">
      <c r="A138" s="1763"/>
      <c r="B138" s="1550"/>
      <c r="C138" s="1842"/>
      <c r="D138" s="10"/>
      <c r="E138" s="1550"/>
      <c r="F138" s="955"/>
      <c r="G138" s="1855"/>
      <c r="H138" s="1868"/>
      <c r="I138" s="1034"/>
    </row>
    <row r="139" spans="1:9">
      <c r="A139" s="1763"/>
      <c r="B139" s="1550"/>
      <c r="C139" s="1842"/>
      <c r="D139" s="10"/>
      <c r="E139" s="1550"/>
      <c r="F139" s="955"/>
      <c r="G139" s="1855"/>
      <c r="H139" s="1868"/>
      <c r="I139" s="1034"/>
    </row>
    <row r="140" spans="1:9">
      <c r="A140" s="1763"/>
      <c r="B140" s="1550"/>
      <c r="C140" s="1842"/>
      <c r="D140" s="10"/>
      <c r="E140" s="1550"/>
      <c r="F140" s="955"/>
      <c r="G140" s="1855"/>
      <c r="H140" s="1868"/>
      <c r="I140" s="1034"/>
    </row>
    <row r="141" spans="1:9">
      <c r="A141" s="1763"/>
      <c r="B141" s="1550"/>
      <c r="C141" s="1842"/>
      <c r="D141" s="10"/>
      <c r="E141" s="1550"/>
      <c r="F141" s="955"/>
      <c r="G141" s="1855"/>
      <c r="H141" s="1868"/>
      <c r="I141" s="1034"/>
    </row>
    <row r="142" spans="1:9">
      <c r="A142" s="1763"/>
      <c r="B142" s="1550"/>
      <c r="C142" s="1842"/>
      <c r="D142" s="10"/>
      <c r="E142" s="1550"/>
      <c r="F142" s="955"/>
      <c r="G142" s="1855"/>
      <c r="H142" s="1868"/>
      <c r="I142" s="1034"/>
    </row>
    <row r="143" spans="1:9">
      <c r="A143" s="1763"/>
      <c r="B143" s="1550"/>
      <c r="C143" s="1842"/>
      <c r="D143" s="10"/>
      <c r="E143" s="1550"/>
      <c r="F143" s="955"/>
      <c r="G143" s="1855"/>
      <c r="H143" s="1868"/>
      <c r="I143" s="1034"/>
    </row>
    <row r="144" spans="1:9">
      <c r="A144" s="1763"/>
      <c r="B144" s="1550"/>
      <c r="C144" s="1842"/>
      <c r="D144" s="10"/>
      <c r="E144" s="1550"/>
      <c r="F144" s="955"/>
      <c r="G144" s="1855"/>
      <c r="H144" s="1868"/>
      <c r="I144" s="1034"/>
    </row>
    <row r="145" spans="1:9">
      <c r="A145" s="1763"/>
      <c r="B145" s="1550"/>
      <c r="C145" s="1842"/>
      <c r="D145" s="10"/>
      <c r="E145" s="1550"/>
      <c r="F145" s="955"/>
      <c r="G145" s="1855"/>
      <c r="H145" s="1868"/>
      <c r="I145" s="1034"/>
    </row>
    <row r="146" spans="1:9">
      <c r="A146" s="1763"/>
      <c r="B146" s="1550"/>
      <c r="C146" s="1842"/>
      <c r="D146" s="10"/>
      <c r="E146" s="1550"/>
      <c r="F146" s="955"/>
      <c r="G146" s="1855"/>
      <c r="H146" s="1868"/>
      <c r="I146" s="1034"/>
    </row>
    <row r="147" spans="1:9">
      <c r="A147" s="1763"/>
      <c r="B147" s="1551"/>
      <c r="C147" s="1842"/>
      <c r="D147" s="10"/>
      <c r="E147" s="1550"/>
      <c r="F147" s="955"/>
      <c r="G147" s="1855"/>
      <c r="H147" s="1868"/>
      <c r="I147" s="1034"/>
    </row>
    <row r="148" spans="1:9">
      <c r="A148" s="1763"/>
      <c r="B148" s="1551"/>
      <c r="C148" s="1842"/>
      <c r="D148" s="10"/>
      <c r="E148" s="1550"/>
      <c r="F148" s="955"/>
      <c r="G148" s="1855"/>
      <c r="H148" s="1868"/>
      <c r="I148" s="1034"/>
    </row>
    <row r="149" spans="1:9">
      <c r="A149" s="1763"/>
      <c r="B149" s="1551"/>
      <c r="C149" s="1842"/>
      <c r="D149" s="29"/>
      <c r="E149" s="1550"/>
      <c r="F149" s="955"/>
      <c r="G149" s="1536"/>
      <c r="H149" s="1869"/>
      <c r="I149" s="383"/>
    </row>
    <row r="150" spans="1:9">
      <c r="A150" s="1786"/>
      <c r="B150" s="787"/>
      <c r="C150" s="800"/>
      <c r="D150" s="801"/>
      <c r="E150" s="800"/>
      <c r="F150" s="800"/>
      <c r="G150" s="1176"/>
      <c r="H150" s="1849"/>
      <c r="I150" s="1245"/>
    </row>
    <row r="151" spans="1:9">
      <c r="A151" s="802"/>
      <c r="B151" s="566"/>
      <c r="C151" s="425"/>
      <c r="D151" s="457" t="s">
        <v>289</v>
      </c>
      <c r="E151" s="425"/>
      <c r="F151" s="425"/>
      <c r="G151" s="1177"/>
      <c r="H151" s="1850">
        <f>SUM(H78:H149)</f>
        <v>0</v>
      </c>
      <c r="I151" s="1030"/>
    </row>
    <row r="152" spans="1:9">
      <c r="A152" s="1763"/>
      <c r="B152" s="1787"/>
      <c r="C152" s="1788"/>
      <c r="D152" s="1789" t="s">
        <v>290</v>
      </c>
      <c r="E152" s="1788"/>
      <c r="F152" s="1788"/>
      <c r="G152" s="1851"/>
      <c r="H152" s="1852">
        <f>H151</f>
        <v>0</v>
      </c>
      <c r="I152" s="483"/>
    </row>
    <row r="153" spans="1:9">
      <c r="A153" s="1763"/>
      <c r="B153" s="1712"/>
      <c r="C153" s="1271"/>
      <c r="D153" s="1251"/>
      <c r="E153" s="1271"/>
      <c r="G153" s="1870"/>
      <c r="H153" s="1871"/>
      <c r="I153" s="483"/>
    </row>
    <row r="154" spans="1:9">
      <c r="A154" s="1763">
        <f>A4</f>
        <v>3</v>
      </c>
      <c r="B154" s="1551" t="s">
        <v>685</v>
      </c>
      <c r="C154" s="1842"/>
      <c r="D154" s="29" t="s">
        <v>686</v>
      </c>
      <c r="E154" s="1550" t="s">
        <v>230</v>
      </c>
      <c r="F154" s="955">
        <v>1</v>
      </c>
      <c r="G154" s="1855"/>
      <c r="H154" s="1501">
        <f t="shared" ref="H154:H211" si="3">IF(E154="","",ROUND(F154*G154,2))</f>
        <v>0</v>
      </c>
      <c r="I154" s="1034"/>
    </row>
    <row r="155" spans="1:9">
      <c r="A155" s="1763"/>
      <c r="B155" s="1550"/>
      <c r="C155" s="1550"/>
      <c r="D155" s="29"/>
      <c r="E155" s="1550"/>
      <c r="F155" s="955"/>
      <c r="G155" s="1855"/>
      <c r="H155" s="1501" t="str">
        <f t="shared" si="3"/>
        <v/>
      </c>
      <c r="I155" s="1034"/>
    </row>
    <row r="156" spans="1:9" s="370" customFormat="1" ht="52.8">
      <c r="A156" s="1763">
        <f>A4</f>
        <v>3</v>
      </c>
      <c r="B156" s="1551" t="s">
        <v>687</v>
      </c>
      <c r="C156" s="1550"/>
      <c r="D156" s="29" t="s">
        <v>688</v>
      </c>
      <c r="E156" s="1550" t="s">
        <v>561</v>
      </c>
      <c r="F156" s="955">
        <v>20</v>
      </c>
      <c r="G156" s="1855"/>
      <c r="H156" s="1501">
        <f t="shared" si="3"/>
        <v>0</v>
      </c>
      <c r="I156" s="1034"/>
    </row>
    <row r="157" spans="1:9" s="370" customFormat="1">
      <c r="A157" s="1763"/>
      <c r="B157" s="1550"/>
      <c r="C157" s="1550"/>
      <c r="D157" s="29"/>
      <c r="E157" s="1550"/>
      <c r="F157" s="955"/>
      <c r="G157" s="1855"/>
      <c r="H157" s="1501" t="str">
        <f t="shared" si="3"/>
        <v/>
      </c>
      <c r="I157" s="1034"/>
    </row>
    <row r="158" spans="1:9" s="370" customFormat="1">
      <c r="A158" s="1763">
        <f>A4</f>
        <v>3</v>
      </c>
      <c r="B158" s="1551" t="s">
        <v>689</v>
      </c>
      <c r="C158" s="1701"/>
      <c r="D158" s="10" t="s">
        <v>690</v>
      </c>
      <c r="E158" s="1271" t="s">
        <v>691</v>
      </c>
      <c r="F158" s="25">
        <v>250</v>
      </c>
      <c r="G158" s="1872"/>
      <c r="H158" s="1501">
        <f t="shared" si="3"/>
        <v>0</v>
      </c>
      <c r="I158" s="1252"/>
    </row>
    <row r="159" spans="1:9">
      <c r="A159" s="1763"/>
      <c r="B159" s="1550"/>
      <c r="C159" s="1701"/>
      <c r="D159" s="10"/>
      <c r="E159" s="1271"/>
      <c r="F159" s="25"/>
      <c r="G159" s="1873"/>
      <c r="H159" s="1501" t="str">
        <f t="shared" si="3"/>
        <v/>
      </c>
      <c r="I159" s="1252"/>
    </row>
    <row r="160" spans="1:9" ht="26.4">
      <c r="A160" s="1763">
        <f>A4</f>
        <v>3</v>
      </c>
      <c r="B160" s="1551" t="s">
        <v>692</v>
      </c>
      <c r="C160" s="1701"/>
      <c r="D160" s="10" t="s">
        <v>693</v>
      </c>
      <c r="E160" s="1271" t="s">
        <v>691</v>
      </c>
      <c r="F160" s="25">
        <v>250</v>
      </c>
      <c r="G160" s="1872"/>
      <c r="H160" s="1501">
        <f t="shared" si="3"/>
        <v>0</v>
      </c>
      <c r="I160" s="1252"/>
    </row>
    <row r="161" spans="1:9">
      <c r="A161" s="1763"/>
      <c r="B161" s="1551"/>
      <c r="C161" s="1550"/>
      <c r="D161" s="1840"/>
      <c r="E161" s="1874"/>
      <c r="F161" s="1860"/>
      <c r="G161" s="1875"/>
      <c r="H161" s="1501" t="str">
        <f t="shared" si="3"/>
        <v/>
      </c>
      <c r="I161" s="1031"/>
    </row>
    <row r="162" spans="1:9" s="357" customFormat="1">
      <c r="A162" s="1763"/>
      <c r="B162" s="1550"/>
      <c r="C162" s="1550" t="s">
        <v>337</v>
      </c>
      <c r="D162" s="1815" t="s">
        <v>653</v>
      </c>
      <c r="E162" s="1550"/>
      <c r="F162" s="1550"/>
      <c r="G162" s="1814"/>
      <c r="H162" s="1501" t="str">
        <f t="shared" si="3"/>
        <v/>
      </c>
      <c r="I162" s="244"/>
    </row>
    <row r="163" spans="1:9">
      <c r="A163" s="1763"/>
      <c r="B163" s="1550"/>
      <c r="C163" s="1550"/>
      <c r="D163" s="1806"/>
      <c r="E163" s="1550"/>
      <c r="F163" s="1550"/>
      <c r="G163" s="1814"/>
      <c r="H163" s="1501" t="str">
        <f t="shared" si="3"/>
        <v/>
      </c>
      <c r="I163" s="244"/>
    </row>
    <row r="164" spans="1:9" ht="15.6">
      <c r="A164" s="1763">
        <f>A4</f>
        <v>3</v>
      </c>
      <c r="B164" s="1261" t="s">
        <v>694</v>
      </c>
      <c r="C164" s="1261"/>
      <c r="D164" s="1780" t="s">
        <v>695</v>
      </c>
      <c r="E164" s="1261" t="s">
        <v>641</v>
      </c>
      <c r="F164" s="1261">
        <v>45</v>
      </c>
      <c r="G164" s="1855"/>
      <c r="H164" s="1501">
        <f t="shared" si="3"/>
        <v>0</v>
      </c>
      <c r="I164" s="1031"/>
    </row>
    <row r="165" spans="1:9">
      <c r="A165" s="1763"/>
      <c r="B165" s="1550"/>
      <c r="C165" s="1550"/>
      <c r="D165" s="1806"/>
      <c r="E165" s="1550"/>
      <c r="F165" s="1550"/>
      <c r="G165" s="1814"/>
      <c r="H165" s="1501" t="str">
        <f t="shared" si="3"/>
        <v/>
      </c>
      <c r="I165" s="244"/>
    </row>
    <row r="166" spans="1:9" s="357" customFormat="1" ht="13.5" customHeight="1">
      <c r="A166" s="1763"/>
      <c r="B166" s="1550"/>
      <c r="C166" s="1550" t="s">
        <v>375</v>
      </c>
      <c r="D166" s="1815" t="s">
        <v>655</v>
      </c>
      <c r="E166" s="1550"/>
      <c r="F166" s="1550"/>
      <c r="G166" s="1814"/>
      <c r="H166" s="1501" t="str">
        <f t="shared" si="3"/>
        <v/>
      </c>
      <c r="I166" s="244"/>
    </row>
    <row r="167" spans="1:9" s="357" customFormat="1" ht="13.5" customHeight="1">
      <c r="A167" s="1763"/>
      <c r="B167" s="1550"/>
      <c r="C167" s="1551"/>
      <c r="D167" s="1837"/>
      <c r="E167" s="1550"/>
      <c r="F167" s="1550"/>
      <c r="G167" s="1814"/>
      <c r="H167" s="1501" t="str">
        <f t="shared" si="3"/>
        <v/>
      </c>
      <c r="I167" s="244"/>
    </row>
    <row r="168" spans="1:9" s="357" customFormat="1" ht="11.25" customHeight="1">
      <c r="A168" s="1763">
        <f>A4</f>
        <v>3</v>
      </c>
      <c r="B168" s="1261" t="s">
        <v>696</v>
      </c>
      <c r="C168" s="1565"/>
      <c r="D168" s="1828" t="s">
        <v>697</v>
      </c>
      <c r="E168" s="1261" t="s">
        <v>657</v>
      </c>
      <c r="F168" s="1532">
        <v>10</v>
      </c>
      <c r="G168" s="1855"/>
      <c r="H168" s="1501">
        <f t="shared" si="3"/>
        <v>0</v>
      </c>
      <c r="I168" s="1031"/>
    </row>
    <row r="169" spans="1:9" s="357" customFormat="1" ht="11.25" customHeight="1">
      <c r="A169" s="1763"/>
      <c r="B169" s="1261"/>
      <c r="C169" s="1565"/>
      <c r="D169" s="1828"/>
      <c r="E169" s="1261"/>
      <c r="F169" s="1532"/>
      <c r="G169" s="1855"/>
      <c r="H169" s="1501" t="str">
        <f t="shared" si="3"/>
        <v/>
      </c>
      <c r="I169" s="1031"/>
    </row>
    <row r="170" spans="1:9" s="357" customFormat="1" ht="15.6">
      <c r="A170" s="1763">
        <f>A4</f>
        <v>3</v>
      </c>
      <c r="B170" s="1261" t="s">
        <v>698</v>
      </c>
      <c r="C170" s="1565"/>
      <c r="D170" s="1780" t="s">
        <v>699</v>
      </c>
      <c r="E170" s="1261" t="s">
        <v>657</v>
      </c>
      <c r="F170" s="1261">
        <v>15</v>
      </c>
      <c r="G170" s="1855"/>
      <c r="H170" s="1501">
        <f t="shared" si="3"/>
        <v>0</v>
      </c>
      <c r="I170" s="1031"/>
    </row>
    <row r="171" spans="1:9">
      <c r="A171" s="1763"/>
      <c r="B171" s="1261"/>
      <c r="C171" s="1565"/>
      <c r="D171" s="1780"/>
      <c r="E171" s="1261"/>
      <c r="F171" s="1261"/>
      <c r="G171" s="1855"/>
      <c r="H171" s="1501" t="str">
        <f t="shared" si="3"/>
        <v/>
      </c>
      <c r="I171" s="1031"/>
    </row>
    <row r="172" spans="1:9" s="357" customFormat="1">
      <c r="A172" s="1763"/>
      <c r="B172" s="1261"/>
      <c r="C172" s="1261" t="s">
        <v>659</v>
      </c>
      <c r="D172" s="1838" t="s">
        <v>660</v>
      </c>
      <c r="E172" s="1261"/>
      <c r="F172" s="1261"/>
      <c r="G172" s="1839"/>
      <c r="H172" s="1501" t="str">
        <f t="shared" si="3"/>
        <v/>
      </c>
      <c r="I172" s="1243"/>
    </row>
    <row r="173" spans="1:9">
      <c r="A173" s="1763"/>
      <c r="B173" s="1550"/>
      <c r="C173" s="1551"/>
      <c r="D173" s="1840"/>
      <c r="E173" s="1550"/>
      <c r="F173" s="1550"/>
      <c r="G173" s="1814"/>
      <c r="H173" s="1501" t="str">
        <f t="shared" si="3"/>
        <v/>
      </c>
      <c r="I173" s="244"/>
    </row>
    <row r="174" spans="1:9" s="357" customFormat="1" ht="15.6">
      <c r="A174" s="1763">
        <f>A4</f>
        <v>3</v>
      </c>
      <c r="B174" s="1261" t="s">
        <v>700</v>
      </c>
      <c r="C174" s="1565"/>
      <c r="D174" s="1780" t="s">
        <v>701</v>
      </c>
      <c r="E174" s="1261" t="s">
        <v>641</v>
      </c>
      <c r="F174" s="1261">
        <v>15</v>
      </c>
      <c r="G174" s="1855"/>
      <c r="H174" s="1501">
        <f t="shared" si="3"/>
        <v>0</v>
      </c>
      <c r="I174" s="1031"/>
    </row>
    <row r="175" spans="1:9" s="357" customFormat="1" ht="11.25" customHeight="1">
      <c r="A175" s="1763"/>
      <c r="B175" s="1550"/>
      <c r="C175" s="1551"/>
      <c r="D175" s="1840"/>
      <c r="E175" s="1550"/>
      <c r="F175" s="1550"/>
      <c r="G175" s="1814"/>
      <c r="H175" s="1501" t="str">
        <f t="shared" si="3"/>
        <v/>
      </c>
      <c r="I175" s="244"/>
    </row>
    <row r="176" spans="1:9" s="357" customFormat="1" ht="15.6">
      <c r="A176" s="1763">
        <f>A4</f>
        <v>3</v>
      </c>
      <c r="B176" s="1261" t="s">
        <v>702</v>
      </c>
      <c r="C176" s="1565"/>
      <c r="D176" s="1780" t="s">
        <v>703</v>
      </c>
      <c r="E176" s="1261" t="s">
        <v>641</v>
      </c>
      <c r="F176" s="1261">
        <v>15</v>
      </c>
      <c r="G176" s="1855"/>
      <c r="H176" s="1501">
        <f t="shared" si="3"/>
        <v>0</v>
      </c>
      <c r="I176" s="1031"/>
    </row>
    <row r="177" spans="1:9">
      <c r="A177" s="1763"/>
      <c r="B177" s="1261"/>
      <c r="C177" s="1565"/>
      <c r="D177" s="1780"/>
      <c r="E177" s="1261"/>
      <c r="F177" s="1261"/>
      <c r="G177" s="1855"/>
      <c r="H177" s="1501" t="str">
        <f t="shared" si="3"/>
        <v/>
      </c>
      <c r="I177" s="1031"/>
    </row>
    <row r="178" spans="1:9" s="357" customFormat="1">
      <c r="A178" s="1763"/>
      <c r="B178" s="1261"/>
      <c r="C178" s="1261" t="s">
        <v>659</v>
      </c>
      <c r="D178" s="1838" t="s">
        <v>704</v>
      </c>
      <c r="E178" s="1261"/>
      <c r="F178" s="1261"/>
      <c r="G178" s="1839"/>
      <c r="H178" s="1501" t="str">
        <f t="shared" si="3"/>
        <v/>
      </c>
      <c r="I178" s="1243"/>
    </row>
    <row r="179" spans="1:9" s="357" customFormat="1">
      <c r="A179" s="1763"/>
      <c r="B179" s="1550"/>
      <c r="C179" s="1551"/>
      <c r="D179" s="1840"/>
      <c r="E179" s="1550"/>
      <c r="F179" s="1550"/>
      <c r="G179" s="1814"/>
      <c r="H179" s="1501" t="str">
        <f t="shared" si="3"/>
        <v/>
      </c>
      <c r="I179" s="244"/>
    </row>
    <row r="180" spans="1:9" ht="15.6">
      <c r="A180" s="1763">
        <f>A4</f>
        <v>3</v>
      </c>
      <c r="B180" s="1261" t="s">
        <v>705</v>
      </c>
      <c r="C180" s="1565"/>
      <c r="D180" s="1780" t="s">
        <v>706</v>
      </c>
      <c r="E180" s="1261" t="s">
        <v>641</v>
      </c>
      <c r="F180" s="1261">
        <v>15</v>
      </c>
      <c r="G180" s="1855"/>
      <c r="H180" s="1501">
        <f t="shared" si="3"/>
        <v>0</v>
      </c>
      <c r="I180" s="1031"/>
    </row>
    <row r="181" spans="1:9" s="1247" customFormat="1">
      <c r="A181" s="1763"/>
      <c r="B181" s="1261"/>
      <c r="C181" s="1551"/>
      <c r="D181" s="1780"/>
      <c r="E181" s="1261"/>
      <c r="F181" s="1261"/>
      <c r="G181" s="1855"/>
      <c r="H181" s="1501" t="str">
        <f t="shared" si="3"/>
        <v/>
      </c>
      <c r="I181" s="1031"/>
    </row>
    <row r="182" spans="1:9" s="357" customFormat="1">
      <c r="A182" s="1763"/>
      <c r="B182" s="1550"/>
      <c r="C182" s="1551" t="s">
        <v>663</v>
      </c>
      <c r="D182" s="1841" t="s">
        <v>664</v>
      </c>
      <c r="E182" s="1550"/>
      <c r="F182" s="1550"/>
      <c r="G182" s="1814"/>
      <c r="H182" s="1501" t="str">
        <f t="shared" si="3"/>
        <v/>
      </c>
      <c r="I182" s="244"/>
    </row>
    <row r="183" spans="1:9" s="357" customFormat="1" ht="11.25" customHeight="1">
      <c r="A183" s="1763"/>
      <c r="B183" s="1842"/>
      <c r="C183" s="1551"/>
      <c r="D183" s="1843"/>
      <c r="E183" s="1842"/>
      <c r="F183" s="1842"/>
      <c r="G183" s="1844"/>
      <c r="H183" s="1501" t="str">
        <f t="shared" si="3"/>
        <v/>
      </c>
      <c r="I183" s="1244"/>
    </row>
    <row r="184" spans="1:9" s="357" customFormat="1" ht="26.4">
      <c r="A184" s="1763"/>
      <c r="B184" s="1261"/>
      <c r="C184" s="1845" t="s">
        <v>665</v>
      </c>
      <c r="D184" s="1846" t="s">
        <v>666</v>
      </c>
      <c r="E184" s="1261"/>
      <c r="F184" s="1261"/>
      <c r="G184" s="1839"/>
      <c r="H184" s="1501" t="str">
        <f t="shared" si="3"/>
        <v/>
      </c>
      <c r="I184" s="1243"/>
    </row>
    <row r="185" spans="1:9" s="357" customFormat="1">
      <c r="A185" s="1763"/>
      <c r="B185" s="1261"/>
      <c r="C185" s="1551"/>
      <c r="D185" s="1780"/>
      <c r="E185" s="1261"/>
      <c r="F185" s="1261"/>
      <c r="G185" s="1536"/>
      <c r="H185" s="1501" t="str">
        <f t="shared" si="3"/>
        <v/>
      </c>
      <c r="I185" s="480"/>
    </row>
    <row r="186" spans="1:9" s="357" customFormat="1" ht="15.6">
      <c r="A186" s="1763">
        <f>A4</f>
        <v>3</v>
      </c>
      <c r="B186" s="1261" t="s">
        <v>707</v>
      </c>
      <c r="C186" s="1565" t="s">
        <v>667</v>
      </c>
      <c r="D186" s="1780" t="s">
        <v>668</v>
      </c>
      <c r="E186" s="1261" t="s">
        <v>657</v>
      </c>
      <c r="F186" s="1836">
        <v>0.1</v>
      </c>
      <c r="G186" s="1536"/>
      <c r="H186" s="1501">
        <f t="shared" si="3"/>
        <v>0</v>
      </c>
      <c r="I186" s="480"/>
    </row>
    <row r="187" spans="1:9">
      <c r="A187" s="1763"/>
      <c r="B187" s="1261"/>
      <c r="C187" s="1565"/>
      <c r="D187" s="1847"/>
      <c r="E187" s="1261"/>
      <c r="F187" s="1261"/>
      <c r="G187" s="1839"/>
      <c r="H187" s="1501" t="str">
        <f t="shared" si="3"/>
        <v/>
      </c>
      <c r="I187" s="1243"/>
    </row>
    <row r="188" spans="1:9" ht="15.6">
      <c r="A188" s="1763">
        <f>A4</f>
        <v>3</v>
      </c>
      <c r="B188" s="1261" t="s">
        <v>708</v>
      </c>
      <c r="C188" s="1565" t="s">
        <v>669</v>
      </c>
      <c r="D188" s="1780" t="s">
        <v>670</v>
      </c>
      <c r="E188" s="1261" t="s">
        <v>657</v>
      </c>
      <c r="F188" s="1836">
        <v>0.1</v>
      </c>
      <c r="G188" s="1536"/>
      <c r="H188" s="1501">
        <f t="shared" si="3"/>
        <v>0</v>
      </c>
      <c r="I188" s="480"/>
    </row>
    <row r="189" spans="1:9">
      <c r="A189" s="1763"/>
      <c r="B189" s="1712"/>
      <c r="C189" s="1271"/>
      <c r="D189" s="1702"/>
      <c r="E189" s="1271"/>
      <c r="F189" s="1271"/>
      <c r="G189" s="1870"/>
      <c r="H189" s="1501" t="str">
        <f t="shared" si="3"/>
        <v/>
      </c>
      <c r="I189" s="1035"/>
    </row>
    <row r="190" spans="1:9">
      <c r="A190" s="1763"/>
      <c r="B190" s="1712"/>
      <c r="C190" s="1876" t="s">
        <v>709</v>
      </c>
      <c r="D190" s="1877" t="s">
        <v>139</v>
      </c>
      <c r="E190" s="1832"/>
      <c r="F190" s="1271"/>
      <c r="G190" s="1870"/>
      <c r="H190" s="1501" t="str">
        <f t="shared" si="3"/>
        <v/>
      </c>
      <c r="I190" s="1035"/>
    </row>
    <row r="191" spans="1:9">
      <c r="A191" s="1763"/>
      <c r="B191" s="1712"/>
      <c r="C191" s="1876"/>
      <c r="D191" s="1878"/>
      <c r="E191" s="1832"/>
      <c r="F191" s="1271"/>
      <c r="G191" s="1870"/>
      <c r="H191" s="1501" t="str">
        <f t="shared" si="3"/>
        <v/>
      </c>
      <c r="I191" s="1035"/>
    </row>
    <row r="192" spans="1:9">
      <c r="A192" s="1763"/>
      <c r="B192" s="1712"/>
      <c r="C192" s="1876" t="s">
        <v>710</v>
      </c>
      <c r="D192" s="1879" t="s">
        <v>711</v>
      </c>
      <c r="E192" s="1832"/>
      <c r="F192" s="1271"/>
      <c r="G192" s="1870"/>
      <c r="H192" s="1501" t="str">
        <f t="shared" si="3"/>
        <v/>
      </c>
      <c r="I192" s="1035"/>
    </row>
    <row r="193" spans="1:9">
      <c r="A193" s="1763"/>
      <c r="B193" s="1712"/>
      <c r="C193" s="1876"/>
      <c r="D193" s="1564"/>
      <c r="E193" s="1832"/>
      <c r="F193" s="1271"/>
      <c r="G193" s="1870"/>
      <c r="H193" s="1501" t="str">
        <f t="shared" si="3"/>
        <v/>
      </c>
      <c r="I193" s="1035"/>
    </row>
    <row r="194" spans="1:9" ht="39.6">
      <c r="A194" s="1763"/>
      <c r="B194" s="1712"/>
      <c r="C194" s="1876"/>
      <c r="D194" s="1877" t="s">
        <v>712</v>
      </c>
      <c r="E194" s="1832"/>
      <c r="F194" s="1271"/>
      <c r="G194" s="1870"/>
      <c r="H194" s="1501" t="str">
        <f t="shared" si="3"/>
        <v/>
      </c>
      <c r="I194" s="1035"/>
    </row>
    <row r="195" spans="1:9">
      <c r="A195" s="1763"/>
      <c r="B195" s="1712"/>
      <c r="C195" s="1880"/>
      <c r="D195" s="1881"/>
      <c r="E195" s="1832"/>
      <c r="F195" s="1271"/>
      <c r="G195" s="1870"/>
      <c r="H195" s="1501" t="str">
        <f t="shared" si="3"/>
        <v/>
      </c>
      <c r="I195" s="1035"/>
    </row>
    <row r="196" spans="1:9">
      <c r="A196" s="1763">
        <f>A4</f>
        <v>3</v>
      </c>
      <c r="B196" s="1712" t="s">
        <v>713</v>
      </c>
      <c r="C196" s="1880"/>
      <c r="D196" s="1564" t="s">
        <v>714</v>
      </c>
      <c r="E196" s="1550" t="s">
        <v>561</v>
      </c>
      <c r="F196" s="1271">
        <v>220</v>
      </c>
      <c r="G196" s="1519"/>
      <c r="H196" s="1501">
        <f t="shared" si="3"/>
        <v>0</v>
      </c>
      <c r="I196" s="483"/>
    </row>
    <row r="197" spans="1:9">
      <c r="A197" s="1763"/>
      <c r="B197" s="1712"/>
      <c r="C197" s="1880"/>
      <c r="D197" s="1564"/>
      <c r="E197" s="1550"/>
      <c r="F197" s="1271"/>
      <c r="G197" s="1870"/>
      <c r="H197" s="1501" t="str">
        <f t="shared" si="3"/>
        <v/>
      </c>
      <c r="I197" s="1035"/>
    </row>
    <row r="198" spans="1:9">
      <c r="A198" s="1763"/>
      <c r="B198" s="1712"/>
      <c r="C198" s="1880" t="s">
        <v>715</v>
      </c>
      <c r="D198" s="1879" t="s">
        <v>716</v>
      </c>
      <c r="E198" s="1550"/>
      <c r="F198" s="1271"/>
      <c r="G198" s="1870"/>
      <c r="H198" s="1501" t="str">
        <f t="shared" si="3"/>
        <v/>
      </c>
      <c r="I198" s="1035"/>
    </row>
    <row r="199" spans="1:9">
      <c r="A199" s="1763"/>
      <c r="B199" s="1712"/>
      <c r="C199" s="1880"/>
      <c r="D199" s="1564"/>
      <c r="E199" s="1550"/>
      <c r="F199" s="1271"/>
      <c r="G199" s="1870"/>
      <c r="H199" s="1501" t="str">
        <f t="shared" si="3"/>
        <v/>
      </c>
      <c r="I199" s="1035"/>
    </row>
    <row r="200" spans="1:9" ht="39.6">
      <c r="A200" s="1763"/>
      <c r="B200" s="1712"/>
      <c r="C200" s="1880"/>
      <c r="D200" s="1879" t="s">
        <v>717</v>
      </c>
      <c r="E200" s="1550"/>
      <c r="F200" s="1271"/>
      <c r="G200" s="1870"/>
      <c r="H200" s="1501" t="str">
        <f t="shared" si="3"/>
        <v/>
      </c>
      <c r="I200" s="1035"/>
    </row>
    <row r="201" spans="1:9">
      <c r="A201" s="1763"/>
      <c r="B201" s="1712"/>
      <c r="C201" s="1880"/>
      <c r="D201" s="1881"/>
      <c r="E201" s="1550"/>
      <c r="F201" s="1271"/>
      <c r="G201" s="1870"/>
      <c r="H201" s="1501" t="str">
        <f t="shared" si="3"/>
        <v/>
      </c>
      <c r="I201" s="1035"/>
    </row>
    <row r="202" spans="1:9">
      <c r="A202" s="1763">
        <f>A4</f>
        <v>3</v>
      </c>
      <c r="B202" s="1712" t="s">
        <v>718</v>
      </c>
      <c r="C202" s="1880"/>
      <c r="D202" s="1834" t="s">
        <v>719</v>
      </c>
      <c r="E202" s="1550" t="s">
        <v>561</v>
      </c>
      <c r="F202" s="1271">
        <v>220</v>
      </c>
      <c r="G202" s="1519"/>
      <c r="H202" s="1501">
        <f t="shared" si="3"/>
        <v>0</v>
      </c>
      <c r="I202" s="483"/>
    </row>
    <row r="203" spans="1:9">
      <c r="A203" s="1763"/>
      <c r="B203" s="1712"/>
      <c r="C203" s="1880"/>
      <c r="D203" s="1564"/>
      <c r="E203" s="1550"/>
      <c r="F203" s="1271"/>
      <c r="G203" s="1870"/>
      <c r="H203" s="1501" t="str">
        <f t="shared" si="3"/>
        <v/>
      </c>
      <c r="I203" s="1035"/>
    </row>
    <row r="204" spans="1:9">
      <c r="A204" s="1763"/>
      <c r="B204" s="1575"/>
      <c r="C204" s="1882"/>
      <c r="D204" s="1877" t="s">
        <v>720</v>
      </c>
      <c r="E204" s="1550"/>
      <c r="F204" s="1261"/>
      <c r="G204" s="1536"/>
      <c r="H204" s="1501" t="str">
        <f t="shared" si="3"/>
        <v/>
      </c>
      <c r="I204" s="383"/>
    </row>
    <row r="205" spans="1:9">
      <c r="A205" s="1763"/>
      <c r="B205" s="1575"/>
      <c r="C205" s="1876"/>
      <c r="D205" s="1878"/>
      <c r="E205" s="1550"/>
      <c r="F205" s="357"/>
      <c r="G205" s="1536"/>
      <c r="H205" s="1501" t="str">
        <f t="shared" si="3"/>
        <v/>
      </c>
      <c r="I205" s="383"/>
    </row>
    <row r="206" spans="1:9" ht="14.25" customHeight="1">
      <c r="A206" s="1763">
        <f>A4</f>
        <v>3</v>
      </c>
      <c r="B206" s="1575" t="s">
        <v>721</v>
      </c>
      <c r="C206" s="1876" t="s">
        <v>722</v>
      </c>
      <c r="D206" s="1778" t="s">
        <v>723</v>
      </c>
      <c r="E206" s="1550" t="s">
        <v>561</v>
      </c>
      <c r="F206" s="1261">
        <v>220</v>
      </c>
      <c r="G206" s="1513"/>
      <c r="H206" s="1501">
        <f t="shared" si="3"/>
        <v>0</v>
      </c>
      <c r="I206" s="480"/>
    </row>
    <row r="207" spans="1:9">
      <c r="A207" s="1763"/>
      <c r="B207" s="1575"/>
      <c r="C207" s="1876"/>
      <c r="D207" s="1778"/>
      <c r="E207" s="1550"/>
      <c r="F207" s="1261"/>
      <c r="G207" s="1883"/>
      <c r="H207" s="1501" t="str">
        <f t="shared" si="3"/>
        <v/>
      </c>
      <c r="I207" s="1249"/>
    </row>
    <row r="208" spans="1:9">
      <c r="A208" s="1763">
        <f>A4</f>
        <v>3</v>
      </c>
      <c r="B208" s="1575" t="s">
        <v>724</v>
      </c>
      <c r="C208" s="1876" t="s">
        <v>722</v>
      </c>
      <c r="D208" s="1778" t="s">
        <v>725</v>
      </c>
      <c r="E208" s="1550" t="s">
        <v>561</v>
      </c>
      <c r="F208" s="1261">
        <v>220</v>
      </c>
      <c r="G208" s="1884"/>
      <c r="H208" s="1501">
        <f t="shared" si="3"/>
        <v>0</v>
      </c>
      <c r="I208" s="480"/>
    </row>
    <row r="209" spans="1:9">
      <c r="A209" s="1763"/>
      <c r="B209" s="1575"/>
      <c r="C209" s="1876"/>
      <c r="D209" s="1778"/>
      <c r="E209" s="1550"/>
      <c r="F209" s="1261"/>
      <c r="G209" s="1885"/>
      <c r="H209" s="1501" t="str">
        <f t="shared" si="3"/>
        <v/>
      </c>
      <c r="I209" s="480"/>
    </row>
    <row r="210" spans="1:9" s="374" customFormat="1" ht="26.4">
      <c r="A210" s="1763">
        <f>A4</f>
        <v>3</v>
      </c>
      <c r="B210" s="1575" t="s">
        <v>726</v>
      </c>
      <c r="C210" s="1876" t="s">
        <v>727</v>
      </c>
      <c r="D210" s="1771" t="s">
        <v>728</v>
      </c>
      <c r="E210" s="1550" t="s">
        <v>561</v>
      </c>
      <c r="F210" s="1266">
        <v>150</v>
      </c>
      <c r="G210" s="1885"/>
      <c r="H210" s="1501">
        <f t="shared" si="3"/>
        <v>0</v>
      </c>
      <c r="I210" s="480"/>
    </row>
    <row r="211" spans="1:9" s="374" customFormat="1">
      <c r="A211" s="1886"/>
      <c r="B211" s="1575"/>
      <c r="C211" s="1876"/>
      <c r="D211" s="1771"/>
      <c r="E211" s="1550"/>
      <c r="F211" s="1266"/>
      <c r="G211" s="1885"/>
      <c r="H211" s="1501" t="str">
        <f t="shared" si="3"/>
        <v/>
      </c>
      <c r="I211" s="480"/>
    </row>
    <row r="212" spans="1:9" s="374" customFormat="1">
      <c r="A212" s="1886"/>
      <c r="B212" s="1575"/>
      <c r="C212" s="1876"/>
      <c r="D212" s="1771"/>
      <c r="E212" s="1550"/>
      <c r="F212" s="1266"/>
      <c r="G212" s="1885"/>
      <c r="H212" s="1854"/>
      <c r="I212" s="480"/>
    </row>
    <row r="213" spans="1:9" s="374" customFormat="1">
      <c r="A213" s="1886"/>
      <c r="B213" s="1575"/>
      <c r="C213" s="1876"/>
      <c r="D213" s="1771"/>
      <c r="E213" s="1550"/>
      <c r="F213" s="1266"/>
      <c r="G213" s="1885"/>
      <c r="H213" s="1854"/>
      <c r="I213" s="480"/>
    </row>
    <row r="214" spans="1:9" s="374" customFormat="1">
      <c r="A214" s="1886"/>
      <c r="B214" s="1575"/>
      <c r="C214" s="1876"/>
      <c r="D214" s="1771"/>
      <c r="E214" s="1550"/>
      <c r="F214" s="1266"/>
      <c r="G214" s="1885"/>
      <c r="H214" s="1854"/>
      <c r="I214" s="480"/>
    </row>
    <row r="215" spans="1:9" s="374" customFormat="1">
      <c r="A215" s="1886"/>
      <c r="B215" s="1575"/>
      <c r="C215" s="1876"/>
      <c r="D215" s="1771"/>
      <c r="E215" s="1550"/>
      <c r="F215" s="1266"/>
      <c r="G215" s="1885"/>
      <c r="H215" s="1854"/>
      <c r="I215" s="480"/>
    </row>
    <row r="216" spans="1:9" s="374" customFormat="1">
      <c r="A216" s="1886"/>
      <c r="B216" s="1575"/>
      <c r="C216" s="1876"/>
      <c r="D216" s="1771"/>
      <c r="E216" s="1550"/>
      <c r="F216" s="1266"/>
      <c r="G216" s="1885"/>
      <c r="H216" s="1854"/>
      <c r="I216" s="480"/>
    </row>
    <row r="217" spans="1:9" s="374" customFormat="1">
      <c r="A217" s="1886"/>
      <c r="B217" s="1575"/>
      <c r="C217" s="1876"/>
      <c r="D217" s="1771"/>
      <c r="E217" s="1550"/>
      <c r="F217" s="1266"/>
      <c r="G217" s="1885"/>
      <c r="H217" s="1854"/>
      <c r="I217" s="480"/>
    </row>
    <row r="218" spans="1:9" s="374" customFormat="1">
      <c r="A218" s="1886"/>
      <c r="B218" s="1575"/>
      <c r="C218" s="1876"/>
      <c r="D218" s="1771"/>
      <c r="E218" s="1550"/>
      <c r="F218" s="1266"/>
      <c r="G218" s="1885"/>
      <c r="H218" s="1854"/>
      <c r="I218" s="480"/>
    </row>
    <row r="219" spans="1:9" s="374" customFormat="1">
      <c r="A219" s="1886"/>
      <c r="B219" s="1765"/>
      <c r="C219" s="1766"/>
      <c r="D219" s="1887"/>
      <c r="E219" s="1888"/>
      <c r="F219" s="1866"/>
      <c r="G219" s="1889"/>
      <c r="H219" s="1890"/>
      <c r="I219" s="1253"/>
    </row>
    <row r="220" spans="1:9" s="374" customFormat="1">
      <c r="A220" s="1886"/>
      <c r="B220" s="1765"/>
      <c r="C220" s="1766"/>
      <c r="D220" s="1887"/>
      <c r="E220" s="1888"/>
      <c r="F220" s="1866"/>
      <c r="G220" s="1889"/>
      <c r="H220" s="1890"/>
      <c r="I220" s="1253"/>
    </row>
    <row r="221" spans="1:9" s="374" customFormat="1">
      <c r="A221" s="1886"/>
      <c r="B221" s="1765"/>
      <c r="C221" s="1766"/>
      <c r="D221" s="1887"/>
      <c r="E221" s="1888"/>
      <c r="F221" s="1866"/>
      <c r="G221" s="1889"/>
      <c r="H221" s="1890"/>
      <c r="I221" s="1253"/>
    </row>
    <row r="222" spans="1:9">
      <c r="A222" s="1763"/>
      <c r="B222" s="1765"/>
      <c r="C222" s="1766"/>
      <c r="D222" s="1887"/>
      <c r="E222" s="1888"/>
      <c r="F222" s="1866"/>
      <c r="G222" s="1891"/>
      <c r="H222" s="1890"/>
      <c r="I222" s="1253"/>
    </row>
    <row r="223" spans="1:9">
      <c r="A223" s="1763"/>
      <c r="B223" s="1765"/>
      <c r="C223" s="1766"/>
      <c r="D223" s="1887"/>
      <c r="E223" s="1888"/>
      <c r="F223" s="1866"/>
      <c r="G223" s="1891"/>
      <c r="H223" s="1890"/>
      <c r="I223" s="1253"/>
    </row>
    <row r="224" spans="1:9">
      <c r="A224" s="1763"/>
      <c r="B224" s="1765"/>
      <c r="C224" s="1766"/>
      <c r="D224" s="1887"/>
      <c r="E224" s="1888"/>
      <c r="F224" s="1866"/>
      <c r="G224" s="1891"/>
      <c r="H224" s="1890"/>
      <c r="I224" s="1253"/>
    </row>
    <row r="225" spans="1:9">
      <c r="A225" s="1892"/>
      <c r="B225" s="1167"/>
      <c r="C225" s="1167"/>
      <c r="D225" s="1168"/>
      <c r="E225" s="1167"/>
      <c r="F225" s="1167"/>
      <c r="G225" s="1178"/>
      <c r="H225" s="1893"/>
      <c r="I225" s="1254"/>
    </row>
    <row r="226" spans="1:9" s="374" customFormat="1">
      <c r="A226" s="1169"/>
      <c r="B226" s="1170"/>
      <c r="C226" s="1170"/>
      <c r="D226" s="1171" t="s">
        <v>289</v>
      </c>
      <c r="E226" s="1170"/>
      <c r="F226" s="1170"/>
      <c r="G226" s="1179"/>
      <c r="H226" s="1894">
        <f>SUM(H152:H224)</f>
        <v>0</v>
      </c>
      <c r="I226" s="1255"/>
    </row>
    <row r="227" spans="1:9">
      <c r="A227" s="1763"/>
      <c r="B227" s="1895"/>
      <c r="C227" s="1896"/>
      <c r="D227" s="1789" t="s">
        <v>290</v>
      </c>
      <c r="E227" s="1896"/>
      <c r="F227" s="1896"/>
      <c r="G227" s="1897"/>
      <c r="H227" s="1898">
        <f>H226</f>
        <v>0</v>
      </c>
      <c r="I227" s="1256"/>
    </row>
    <row r="228" spans="1:9">
      <c r="A228" s="1763"/>
      <c r="B228" s="1899"/>
      <c r="C228" s="1900"/>
      <c r="D228" s="1702"/>
      <c r="E228" s="1900"/>
      <c r="F228" s="1900"/>
      <c r="G228" s="1901"/>
      <c r="H228" s="1902"/>
      <c r="I228" s="1256"/>
    </row>
    <row r="229" spans="1:9" ht="26.4">
      <c r="A229" s="1763"/>
      <c r="B229" s="1765" t="s">
        <v>562</v>
      </c>
      <c r="C229" s="1766" t="s">
        <v>729</v>
      </c>
      <c r="D229" s="1887" t="s">
        <v>730</v>
      </c>
      <c r="E229" s="1888"/>
      <c r="F229" s="1866"/>
      <c r="G229" s="1891"/>
      <c r="H229" s="1890"/>
      <c r="I229" s="1253"/>
    </row>
    <row r="230" spans="1:9">
      <c r="A230" s="1763"/>
      <c r="B230" s="1551"/>
      <c r="C230" s="1783"/>
      <c r="D230" s="1887"/>
      <c r="E230" s="1271"/>
      <c r="F230" s="1261"/>
      <c r="G230" s="1883"/>
      <c r="H230" s="1903"/>
      <c r="I230" s="1249"/>
    </row>
    <row r="231" spans="1:9">
      <c r="A231" s="1763">
        <f>A4</f>
        <v>3</v>
      </c>
      <c r="B231" s="1550">
        <v>2.2999999999999998</v>
      </c>
      <c r="C231" s="1550"/>
      <c r="D231" s="1778" t="s">
        <v>731</v>
      </c>
      <c r="E231" s="1271" t="s">
        <v>561</v>
      </c>
      <c r="F231" s="1261">
        <v>180</v>
      </c>
      <c r="G231" s="1513"/>
      <c r="H231" s="1501">
        <f t="shared" ref="H231:H285" si="4">IF(E231="","",ROUND(F231*G231,2))</f>
        <v>0</v>
      </c>
      <c r="I231" s="480"/>
    </row>
    <row r="232" spans="1:9">
      <c r="A232" s="1763"/>
      <c r="B232" s="1551"/>
      <c r="C232" s="1783"/>
      <c r="D232" s="1887"/>
      <c r="E232" s="1271"/>
      <c r="F232" s="1261"/>
      <c r="G232" s="1883"/>
      <c r="H232" s="1501" t="str">
        <f t="shared" si="4"/>
        <v/>
      </c>
      <c r="I232" s="1249"/>
    </row>
    <row r="233" spans="1:9" ht="26.4">
      <c r="A233" s="1763">
        <f>A4</f>
        <v>3</v>
      </c>
      <c r="B233" s="1550">
        <v>2.31</v>
      </c>
      <c r="C233" s="1550" t="s">
        <v>732</v>
      </c>
      <c r="D233" s="1778" t="s">
        <v>733</v>
      </c>
      <c r="E233" s="1271" t="s">
        <v>561</v>
      </c>
      <c r="F233" s="1261">
        <v>180</v>
      </c>
      <c r="G233" s="1536"/>
      <c r="H233" s="1501">
        <f t="shared" si="4"/>
        <v>0</v>
      </c>
      <c r="I233" s="383"/>
    </row>
    <row r="234" spans="1:9">
      <c r="A234" s="1763"/>
      <c r="B234" s="1551"/>
      <c r="C234" s="1550"/>
      <c r="D234" s="1806"/>
      <c r="E234" s="1550"/>
      <c r="F234" s="1860"/>
      <c r="G234" s="1810"/>
      <c r="H234" s="1501" t="str">
        <f t="shared" si="4"/>
        <v/>
      </c>
      <c r="I234" s="1249"/>
    </row>
    <row r="235" spans="1:9" ht="13.5" customHeight="1">
      <c r="A235" s="1763"/>
      <c r="B235" s="1904"/>
      <c r="C235" s="1876"/>
      <c r="D235" s="1905" t="s">
        <v>734</v>
      </c>
      <c r="E235" s="1906"/>
      <c r="F235" s="1271"/>
      <c r="G235" s="1872"/>
      <c r="H235" s="1501" t="str">
        <f t="shared" si="4"/>
        <v/>
      </c>
      <c r="I235" s="510"/>
    </row>
    <row r="236" spans="1:9" s="1257" customFormat="1" ht="13.8">
      <c r="A236" s="1763"/>
      <c r="B236" s="1904"/>
      <c r="C236" s="1876"/>
      <c r="D236" s="1564"/>
      <c r="E236" s="1906"/>
      <c r="F236" s="1271"/>
      <c r="G236" s="1872"/>
      <c r="H236" s="1501" t="str">
        <f t="shared" si="4"/>
        <v/>
      </c>
      <c r="I236" s="510"/>
    </row>
    <row r="237" spans="1:9" ht="26.4">
      <c r="A237" s="1763">
        <f>A4</f>
        <v>3</v>
      </c>
      <c r="B237" s="1904">
        <v>2.3199999999999998</v>
      </c>
      <c r="C237" s="1876"/>
      <c r="D237" s="1564" t="s">
        <v>735</v>
      </c>
      <c r="E237" s="1906" t="s">
        <v>691</v>
      </c>
      <c r="F237" s="1271">
        <v>1</v>
      </c>
      <c r="G237" s="1872"/>
      <c r="H237" s="1501">
        <f t="shared" si="4"/>
        <v>0</v>
      </c>
      <c r="I237" s="510"/>
    </row>
    <row r="238" spans="1:9">
      <c r="A238" s="1763"/>
      <c r="B238" s="1904"/>
      <c r="C238" s="1575"/>
      <c r="D238" s="1771"/>
      <c r="E238" s="1550"/>
      <c r="F238" s="1266"/>
      <c r="G238" s="1907"/>
      <c r="H238" s="1501" t="str">
        <f t="shared" si="4"/>
        <v/>
      </c>
      <c r="I238" s="1235"/>
    </row>
    <row r="239" spans="1:9" ht="13.8">
      <c r="A239" s="1763">
        <f>A4</f>
        <v>3</v>
      </c>
      <c r="B239" s="1857">
        <v>3</v>
      </c>
      <c r="C239" s="1908"/>
      <c r="D239" s="1858" t="s">
        <v>736</v>
      </c>
      <c r="E239" s="1908"/>
      <c r="F239" s="1908"/>
      <c r="G239" s="1909"/>
      <c r="H239" s="1501" t="str">
        <f t="shared" si="4"/>
        <v/>
      </c>
      <c r="I239" s="1258"/>
    </row>
    <row r="240" spans="1:9">
      <c r="A240" s="1763"/>
      <c r="B240" s="1904"/>
      <c r="C240" s="1904"/>
      <c r="D240" s="1910"/>
      <c r="E240" s="1904"/>
      <c r="F240" s="1667"/>
      <c r="G240" s="1907"/>
      <c r="H240" s="1501" t="str">
        <f t="shared" si="4"/>
        <v/>
      </c>
      <c r="I240" s="1235"/>
    </row>
    <row r="241" spans="1:9">
      <c r="A241" s="1763"/>
      <c r="B241" s="1911" t="s">
        <v>543</v>
      </c>
      <c r="C241" s="1904"/>
      <c r="D241" s="1912" t="s">
        <v>672</v>
      </c>
      <c r="E241" s="1904"/>
      <c r="F241" s="1667"/>
      <c r="G241" s="1907"/>
      <c r="H241" s="1501" t="str">
        <f t="shared" si="4"/>
        <v/>
      </c>
      <c r="I241" s="1235"/>
    </row>
    <row r="242" spans="1:9">
      <c r="A242" s="1763"/>
      <c r="B242" s="1904"/>
      <c r="C242" s="1904"/>
      <c r="D242" s="1912"/>
      <c r="E242" s="1904"/>
      <c r="F242" s="1667"/>
      <c r="G242" s="1907"/>
      <c r="H242" s="1501" t="str">
        <f t="shared" si="4"/>
        <v/>
      </c>
      <c r="I242" s="1235"/>
    </row>
    <row r="243" spans="1:9" ht="26.4">
      <c r="A243" s="1763">
        <f>A4</f>
        <v>3</v>
      </c>
      <c r="B243" s="1904">
        <v>3.1</v>
      </c>
      <c r="C243" s="1904"/>
      <c r="D243" s="1910" t="s">
        <v>737</v>
      </c>
      <c r="E243" s="1550" t="s">
        <v>230</v>
      </c>
      <c r="F243" s="1550">
        <v>1</v>
      </c>
      <c r="G243" s="1536"/>
      <c r="H243" s="1501">
        <f t="shared" si="4"/>
        <v>0</v>
      </c>
      <c r="I243" s="383"/>
    </row>
    <row r="244" spans="1:9">
      <c r="A244" s="1763"/>
      <c r="B244" s="1904"/>
      <c r="C244" s="1904"/>
      <c r="D244" s="1910"/>
      <c r="E244" s="1550"/>
      <c r="F244" s="1550"/>
      <c r="G244" s="1913"/>
      <c r="H244" s="1501" t="str">
        <f t="shared" si="4"/>
        <v/>
      </c>
      <c r="I244" s="1259"/>
    </row>
    <row r="245" spans="1:9" ht="26.4">
      <c r="A245" s="1763">
        <f>A4</f>
        <v>3</v>
      </c>
      <c r="B245" s="1904">
        <v>3.2</v>
      </c>
      <c r="C245" s="1904"/>
      <c r="D245" s="1910" t="s">
        <v>738</v>
      </c>
      <c r="E245" s="1550" t="s">
        <v>230</v>
      </c>
      <c r="F245" s="1550">
        <v>1</v>
      </c>
      <c r="G245" s="1536"/>
      <c r="H245" s="1501">
        <f t="shared" si="4"/>
        <v>0</v>
      </c>
      <c r="I245" s="383"/>
    </row>
    <row r="246" spans="1:9">
      <c r="A246" s="1763"/>
      <c r="B246" s="1904"/>
      <c r="C246" s="1904"/>
      <c r="D246" s="1910"/>
      <c r="E246" s="1550"/>
      <c r="F246" s="1550"/>
      <c r="G246" s="1536"/>
      <c r="H246" s="1501" t="str">
        <f t="shared" si="4"/>
        <v/>
      </c>
      <c r="I246" s="383"/>
    </row>
    <row r="247" spans="1:9">
      <c r="A247" s="1763">
        <f>A4</f>
        <v>3</v>
      </c>
      <c r="B247" s="1904">
        <v>3.3</v>
      </c>
      <c r="C247" s="1904"/>
      <c r="D247" s="1910" t="s">
        <v>739</v>
      </c>
      <c r="E247" s="1550" t="s">
        <v>230</v>
      </c>
      <c r="F247" s="1550">
        <v>1</v>
      </c>
      <c r="G247" s="1536"/>
      <c r="H247" s="1501">
        <f t="shared" si="4"/>
        <v>0</v>
      </c>
      <c r="I247" s="383"/>
    </row>
    <row r="248" spans="1:9">
      <c r="A248" s="1763"/>
      <c r="B248" s="1667"/>
      <c r="C248" s="1667"/>
      <c r="D248" s="1668"/>
      <c r="E248" s="1669"/>
      <c r="F248" s="1670"/>
      <c r="G248" s="1812"/>
      <c r="H248" s="1501" t="str">
        <f t="shared" si="4"/>
        <v/>
      </c>
      <c r="I248" s="1234"/>
    </row>
    <row r="249" spans="1:9" ht="26.4">
      <c r="A249" s="1763"/>
      <c r="B249" s="1753" t="s">
        <v>549</v>
      </c>
      <c r="C249" s="1672" t="s">
        <v>626</v>
      </c>
      <c r="D249" s="1673" t="s">
        <v>627</v>
      </c>
      <c r="E249" s="1669"/>
      <c r="F249" s="1670"/>
      <c r="G249" s="1812"/>
      <c r="H249" s="1501" t="str">
        <f t="shared" si="4"/>
        <v/>
      </c>
      <c r="I249" s="1234"/>
    </row>
    <row r="250" spans="1:9">
      <c r="A250" s="1763"/>
      <c r="B250" s="1667"/>
      <c r="C250" s="1667"/>
      <c r="D250" s="1668"/>
      <c r="E250" s="1669"/>
      <c r="F250" s="1670"/>
      <c r="G250" s="1812"/>
      <c r="H250" s="1501" t="str">
        <f t="shared" si="4"/>
        <v/>
      </c>
      <c r="I250" s="1234"/>
    </row>
    <row r="251" spans="1:9">
      <c r="A251" s="1763"/>
      <c r="B251" s="1667"/>
      <c r="C251" s="1667"/>
      <c r="D251" s="1673" t="s">
        <v>628</v>
      </c>
      <c r="E251" s="1669"/>
      <c r="F251" s="1236"/>
      <c r="G251" s="1812"/>
      <c r="H251" s="1501" t="str">
        <f t="shared" si="4"/>
        <v/>
      </c>
      <c r="I251" s="1234"/>
    </row>
    <row r="252" spans="1:9">
      <c r="A252" s="1763"/>
      <c r="B252" s="1904"/>
      <c r="C252" s="1904"/>
      <c r="D252" s="1910"/>
      <c r="E252" s="1550"/>
      <c r="F252" s="1550"/>
      <c r="G252" s="1536"/>
      <c r="H252" s="1501" t="str">
        <f t="shared" si="4"/>
        <v/>
      </c>
      <c r="I252" s="383"/>
    </row>
    <row r="253" spans="1:9" ht="15.6">
      <c r="A253" s="1763">
        <f>A4</f>
        <v>3</v>
      </c>
      <c r="B253" s="1667">
        <v>3.4</v>
      </c>
      <c r="C253" s="1667" t="s">
        <v>629</v>
      </c>
      <c r="D253" s="1668" t="s">
        <v>740</v>
      </c>
      <c r="E253" s="1550" t="s">
        <v>631</v>
      </c>
      <c r="F253" s="9">
        <v>50</v>
      </c>
      <c r="G253" s="1861"/>
      <c r="H253" s="1501">
        <f t="shared" si="4"/>
        <v>0</v>
      </c>
      <c r="I253" s="241"/>
    </row>
    <row r="254" spans="1:9">
      <c r="A254" s="1763"/>
      <c r="B254" s="1667"/>
      <c r="C254" s="1667"/>
      <c r="D254" s="1668"/>
      <c r="E254" s="1669"/>
      <c r="F254" s="1670"/>
      <c r="G254" s="1812"/>
      <c r="H254" s="1501" t="str">
        <f t="shared" si="4"/>
        <v/>
      </c>
      <c r="I254" s="1234"/>
    </row>
    <row r="255" spans="1:9" ht="26.4">
      <c r="A255" s="1763"/>
      <c r="B255" s="1783"/>
      <c r="C255" s="1616" t="s">
        <v>632</v>
      </c>
      <c r="D255" s="1771" t="s">
        <v>741</v>
      </c>
      <c r="E255" s="1550"/>
      <c r="F255" s="1550"/>
      <c r="G255" s="1814"/>
      <c r="H255" s="1501" t="str">
        <f t="shared" si="4"/>
        <v/>
      </c>
      <c r="I255" s="243"/>
    </row>
    <row r="256" spans="1:9">
      <c r="A256" s="1763"/>
      <c r="B256" s="1550"/>
      <c r="C256" s="1551"/>
      <c r="D256" s="1809"/>
      <c r="E256" s="1550"/>
      <c r="F256" s="1550"/>
      <c r="G256" s="1814"/>
      <c r="H256" s="1501" t="str">
        <f t="shared" si="4"/>
        <v/>
      </c>
      <c r="I256" s="243"/>
    </row>
    <row r="257" spans="1:9" ht="15.6">
      <c r="A257" s="1763">
        <f>A4</f>
        <v>3</v>
      </c>
      <c r="B257" s="1550">
        <v>3.5</v>
      </c>
      <c r="C257" s="1551"/>
      <c r="D257" s="1809" t="s">
        <v>634</v>
      </c>
      <c r="E257" s="1550" t="s">
        <v>631</v>
      </c>
      <c r="F257" s="1550">
        <v>13</v>
      </c>
      <c r="G257" s="1515"/>
      <c r="H257" s="1501">
        <f t="shared" si="4"/>
        <v>0</v>
      </c>
      <c r="I257" s="241"/>
    </row>
    <row r="258" spans="1:9" s="1250" customFormat="1">
      <c r="A258" s="1886"/>
      <c r="B258" s="1550"/>
      <c r="C258" s="1551"/>
      <c r="D258" s="1809"/>
      <c r="E258" s="1550"/>
      <c r="F258" s="1550"/>
      <c r="G258" s="1515"/>
      <c r="H258" s="1501" t="str">
        <f t="shared" si="4"/>
        <v/>
      </c>
      <c r="I258" s="243"/>
    </row>
    <row r="259" spans="1:9" s="357" customFormat="1" ht="15.6">
      <c r="A259" s="1763">
        <f>A4</f>
        <v>3</v>
      </c>
      <c r="B259" s="1550">
        <v>3.6</v>
      </c>
      <c r="C259" s="1551"/>
      <c r="D259" s="1809" t="s">
        <v>635</v>
      </c>
      <c r="E259" s="1550" t="s">
        <v>631</v>
      </c>
      <c r="F259" s="1550">
        <v>3</v>
      </c>
      <c r="G259" s="1515"/>
      <c r="H259" s="1501">
        <f t="shared" si="4"/>
        <v>0</v>
      </c>
      <c r="I259" s="241"/>
    </row>
    <row r="260" spans="1:9">
      <c r="A260" s="1763"/>
      <c r="B260" s="1904"/>
      <c r="C260" s="1904"/>
      <c r="D260" s="1910"/>
      <c r="E260" s="1550"/>
      <c r="F260" s="1550"/>
      <c r="G260" s="1914"/>
      <c r="H260" s="1501" t="str">
        <f t="shared" si="4"/>
        <v/>
      </c>
      <c r="I260" s="1259"/>
    </row>
    <row r="261" spans="1:9" ht="26.4">
      <c r="A261" s="1763"/>
      <c r="B261" s="1864" t="s">
        <v>549</v>
      </c>
      <c r="C261" s="1865" t="s">
        <v>581</v>
      </c>
      <c r="D261" s="1827" t="s">
        <v>636</v>
      </c>
      <c r="E261" s="1866"/>
      <c r="F261" s="1866"/>
      <c r="G261" s="1867"/>
      <c r="H261" s="1501" t="str">
        <f t="shared" si="4"/>
        <v/>
      </c>
      <c r="I261" s="1033"/>
    </row>
    <row r="262" spans="1:9">
      <c r="A262" s="1763"/>
      <c r="B262" s="1915"/>
      <c r="C262" s="1818"/>
      <c r="D262" s="1827"/>
      <c r="E262" s="1261"/>
      <c r="F262" s="1261"/>
      <c r="G262" s="1819"/>
      <c r="H262" s="1501" t="str">
        <f t="shared" si="4"/>
        <v/>
      </c>
      <c r="I262" s="791"/>
    </row>
    <row r="263" spans="1:9">
      <c r="A263" s="1763"/>
      <c r="B263" s="1551"/>
      <c r="C263" s="1550"/>
      <c r="D263" s="1773" t="s">
        <v>742</v>
      </c>
      <c r="E263" s="1550"/>
      <c r="F263" s="1261"/>
      <c r="G263" s="1883"/>
      <c r="H263" s="1501" t="str">
        <f t="shared" si="4"/>
        <v/>
      </c>
      <c r="I263" s="1249"/>
    </row>
    <row r="264" spans="1:9">
      <c r="A264" s="1763"/>
      <c r="B264" s="1904"/>
      <c r="C264" s="1904"/>
      <c r="D264" s="1910"/>
      <c r="E264" s="1550"/>
      <c r="F264" s="1550"/>
      <c r="G264" s="1536"/>
      <c r="H264" s="1501" t="str">
        <f t="shared" si="4"/>
        <v/>
      </c>
      <c r="I264" s="383"/>
    </row>
    <row r="265" spans="1:9" ht="26.4">
      <c r="A265" s="1763">
        <f>A4</f>
        <v>3</v>
      </c>
      <c r="B265" s="1550">
        <v>3.7</v>
      </c>
      <c r="C265" s="1842"/>
      <c r="D265" s="10" t="s">
        <v>743</v>
      </c>
      <c r="E265" s="1550" t="s">
        <v>561</v>
      </c>
      <c r="F265" s="955">
        <v>20</v>
      </c>
      <c r="G265" s="1855"/>
      <c r="H265" s="1501">
        <f t="shared" si="4"/>
        <v>0</v>
      </c>
      <c r="I265" s="1034"/>
    </row>
    <row r="266" spans="1:9">
      <c r="A266" s="1763"/>
      <c r="B266" s="1916"/>
      <c r="C266" s="1842"/>
      <c r="D266" s="29"/>
      <c r="E266" s="1550"/>
      <c r="F266" s="955"/>
      <c r="G266" s="1855"/>
      <c r="H266" s="1501" t="str">
        <f t="shared" si="4"/>
        <v/>
      </c>
      <c r="I266" s="1034"/>
    </row>
    <row r="267" spans="1:9">
      <c r="A267" s="1763">
        <f>A4</f>
        <v>3</v>
      </c>
      <c r="B267" s="1550">
        <v>3.8</v>
      </c>
      <c r="C267" s="1842"/>
      <c r="D267" s="29" t="s">
        <v>686</v>
      </c>
      <c r="E267" s="1550" t="s">
        <v>561</v>
      </c>
      <c r="F267" s="955">
        <v>20</v>
      </c>
      <c r="G267" s="1855"/>
      <c r="H267" s="1501">
        <f t="shared" si="4"/>
        <v>0</v>
      </c>
      <c r="I267" s="1034"/>
    </row>
    <row r="268" spans="1:9" s="370" customFormat="1">
      <c r="A268" s="1763"/>
      <c r="B268" s="1916"/>
      <c r="C268" s="1550"/>
      <c r="D268" s="29"/>
      <c r="E268" s="1550"/>
      <c r="F268" s="955"/>
      <c r="G268" s="1855"/>
      <c r="H268" s="1501" t="str">
        <f t="shared" si="4"/>
        <v/>
      </c>
      <c r="I268" s="1034"/>
    </row>
    <row r="269" spans="1:9" s="370" customFormat="1" ht="52.8">
      <c r="A269" s="1763">
        <f>A4</f>
        <v>3</v>
      </c>
      <c r="B269" s="1917">
        <v>3.9</v>
      </c>
      <c r="C269" s="1550"/>
      <c r="D269" s="29" t="s">
        <v>688</v>
      </c>
      <c r="E269" s="1550" t="s">
        <v>561</v>
      </c>
      <c r="F269" s="955">
        <v>20</v>
      </c>
      <c r="G269" s="1855"/>
      <c r="H269" s="1501">
        <f t="shared" si="4"/>
        <v>0</v>
      </c>
      <c r="I269" s="1034"/>
    </row>
    <row r="270" spans="1:9" s="370" customFormat="1">
      <c r="A270" s="1763"/>
      <c r="B270" s="1916"/>
      <c r="C270" s="1550"/>
      <c r="D270" s="29"/>
      <c r="E270" s="1550"/>
      <c r="F270" s="955"/>
      <c r="G270" s="1855"/>
      <c r="H270" s="1501" t="str">
        <f t="shared" si="4"/>
        <v/>
      </c>
      <c r="I270" s="1034"/>
    </row>
    <row r="271" spans="1:9">
      <c r="A271" s="1763">
        <f>A4</f>
        <v>3</v>
      </c>
      <c r="B271" s="1918">
        <v>3.1</v>
      </c>
      <c r="C271" s="1701"/>
      <c r="D271" s="10" t="s">
        <v>690</v>
      </c>
      <c r="E271" s="1271" t="s">
        <v>691</v>
      </c>
      <c r="F271" s="1260">
        <v>250</v>
      </c>
      <c r="G271" s="1872"/>
      <c r="H271" s="1501">
        <f t="shared" si="4"/>
        <v>0</v>
      </c>
      <c r="I271" s="510"/>
    </row>
    <row r="272" spans="1:9">
      <c r="A272" s="1763"/>
      <c r="B272" s="1916"/>
      <c r="C272" s="1701"/>
      <c r="D272" s="10"/>
      <c r="E272" s="1271"/>
      <c r="F272" s="1260"/>
      <c r="G272" s="1873"/>
      <c r="H272" s="1501" t="str">
        <f t="shared" si="4"/>
        <v/>
      </c>
      <c r="I272" s="1252"/>
    </row>
    <row r="273" spans="1:9" ht="26.4">
      <c r="A273" s="1763">
        <f>A4</f>
        <v>3</v>
      </c>
      <c r="B273" s="1917">
        <v>3.11</v>
      </c>
      <c r="C273" s="1701"/>
      <c r="D273" s="10" t="s">
        <v>744</v>
      </c>
      <c r="E273" s="1271" t="s">
        <v>691</v>
      </c>
      <c r="F273" s="1260">
        <v>250</v>
      </c>
      <c r="G273" s="1872"/>
      <c r="H273" s="1501">
        <f t="shared" si="4"/>
        <v>0</v>
      </c>
      <c r="I273" s="510"/>
    </row>
    <row r="274" spans="1:9">
      <c r="A274" s="1763"/>
      <c r="B274" s="1551"/>
      <c r="C274" s="1550"/>
      <c r="D274" s="1840"/>
      <c r="E274" s="1874"/>
      <c r="F274" s="1860"/>
      <c r="G274" s="1875"/>
      <c r="H274" s="1501" t="str">
        <f t="shared" si="4"/>
        <v/>
      </c>
      <c r="I274" s="1031"/>
    </row>
    <row r="275" spans="1:9" ht="15.6">
      <c r="A275" s="1763">
        <f>A4</f>
        <v>3</v>
      </c>
      <c r="B275" s="1550">
        <v>3.12</v>
      </c>
      <c r="C275" s="1550">
        <v>8.1300000000000008</v>
      </c>
      <c r="D275" s="1771" t="s">
        <v>745</v>
      </c>
      <c r="E275" s="1261" t="s">
        <v>641</v>
      </c>
      <c r="F275" s="1261">
        <v>250</v>
      </c>
      <c r="G275" s="1536"/>
      <c r="H275" s="1501">
        <f t="shared" si="4"/>
        <v>0</v>
      </c>
      <c r="I275" s="383"/>
    </row>
    <row r="276" spans="1:9" s="357" customFormat="1">
      <c r="A276" s="1763"/>
      <c r="B276" s="1919"/>
      <c r="C276" s="1550"/>
      <c r="D276" s="1771"/>
      <c r="E276" s="1550"/>
      <c r="F276" s="1261"/>
      <c r="G276" s="1920"/>
      <c r="H276" s="1501" t="str">
        <f t="shared" si="4"/>
        <v/>
      </c>
      <c r="I276" s="383"/>
    </row>
    <row r="277" spans="1:9" s="357" customFormat="1">
      <c r="A277" s="1763"/>
      <c r="B277" s="1550"/>
      <c r="C277" s="1550" t="s">
        <v>337</v>
      </c>
      <c r="D277" s="1815" t="s">
        <v>653</v>
      </c>
      <c r="E277" s="1550"/>
      <c r="F277" s="1550"/>
      <c r="G277" s="1814"/>
      <c r="H277" s="1501" t="str">
        <f t="shared" si="4"/>
        <v/>
      </c>
      <c r="I277" s="244"/>
    </row>
    <row r="278" spans="1:9">
      <c r="A278" s="1763"/>
      <c r="B278" s="1550"/>
      <c r="C278" s="1550"/>
      <c r="D278" s="1806"/>
      <c r="E278" s="1550"/>
      <c r="F278" s="1550"/>
      <c r="G278" s="1814"/>
      <c r="H278" s="1501" t="str">
        <f t="shared" si="4"/>
        <v/>
      </c>
      <c r="I278" s="244"/>
    </row>
    <row r="279" spans="1:9" ht="15.6">
      <c r="A279" s="1763">
        <f>A4</f>
        <v>3</v>
      </c>
      <c r="B279" s="1261">
        <v>3.13</v>
      </c>
      <c r="C279" s="1261"/>
      <c r="D279" s="1780" t="s">
        <v>695</v>
      </c>
      <c r="E279" s="1261" t="s">
        <v>641</v>
      </c>
      <c r="F279" s="1261">
        <v>45</v>
      </c>
      <c r="G279" s="1855"/>
      <c r="H279" s="1501">
        <f t="shared" si="4"/>
        <v>0</v>
      </c>
      <c r="I279" s="1031"/>
    </row>
    <row r="280" spans="1:9" s="357" customFormat="1" ht="13.5" customHeight="1">
      <c r="A280" s="1763"/>
      <c r="B280" s="1261"/>
      <c r="C280" s="1261"/>
      <c r="D280" s="1780"/>
      <c r="E280" s="1261"/>
      <c r="F280" s="1261"/>
      <c r="G280" s="1855"/>
      <c r="H280" s="1501" t="str">
        <f t="shared" si="4"/>
        <v/>
      </c>
      <c r="I280" s="1031"/>
    </row>
    <row r="281" spans="1:9" s="357" customFormat="1" ht="13.5" customHeight="1">
      <c r="A281" s="1763"/>
      <c r="B281" s="1550"/>
      <c r="C281" s="1550" t="s">
        <v>375</v>
      </c>
      <c r="D281" s="1815" t="s">
        <v>655</v>
      </c>
      <c r="E281" s="1550"/>
      <c r="F281" s="1550"/>
      <c r="G281" s="1814"/>
      <c r="H281" s="1501" t="str">
        <f t="shared" si="4"/>
        <v/>
      </c>
      <c r="I281" s="244"/>
    </row>
    <row r="282" spans="1:9" s="357" customFormat="1" ht="11.25" customHeight="1">
      <c r="A282" s="1763"/>
      <c r="B282" s="1550"/>
      <c r="C282" s="1551"/>
      <c r="D282" s="1837"/>
      <c r="E282" s="1550"/>
      <c r="F282" s="1550"/>
      <c r="G282" s="1814"/>
      <c r="H282" s="1501" t="str">
        <f t="shared" si="4"/>
        <v/>
      </c>
      <c r="I282" s="244"/>
    </row>
    <row r="283" spans="1:9" s="357" customFormat="1" ht="11.25" customHeight="1">
      <c r="A283" s="1763">
        <f>A4</f>
        <v>3</v>
      </c>
      <c r="B283" s="1261">
        <v>3.14</v>
      </c>
      <c r="C283" s="1565"/>
      <c r="D283" s="1828" t="s">
        <v>697</v>
      </c>
      <c r="E283" s="1261" t="s">
        <v>657</v>
      </c>
      <c r="F283" s="1532">
        <v>10</v>
      </c>
      <c r="G283" s="1855"/>
      <c r="H283" s="1501">
        <f t="shared" si="4"/>
        <v>0</v>
      </c>
      <c r="I283" s="1031"/>
    </row>
    <row r="284" spans="1:9" s="357" customFormat="1">
      <c r="A284" s="1763"/>
      <c r="B284" s="1917"/>
      <c r="C284" s="1565"/>
      <c r="D284" s="1828"/>
      <c r="E284" s="1261"/>
      <c r="F284" s="1532"/>
      <c r="G284" s="1855"/>
      <c r="H284" s="1501" t="str">
        <f t="shared" si="4"/>
        <v/>
      </c>
      <c r="I284" s="1031"/>
    </row>
    <row r="285" spans="1:9" s="467" customFormat="1" ht="15.6">
      <c r="A285" s="1763">
        <f>A4</f>
        <v>3</v>
      </c>
      <c r="B285" s="1261">
        <v>3.15</v>
      </c>
      <c r="C285" s="1565"/>
      <c r="D285" s="1780" t="s">
        <v>699</v>
      </c>
      <c r="E285" s="1261" t="s">
        <v>657</v>
      </c>
      <c r="F285" s="1261">
        <v>15</v>
      </c>
      <c r="G285" s="1855"/>
      <c r="H285" s="1501">
        <f t="shared" si="4"/>
        <v>0</v>
      </c>
      <c r="I285" s="1031"/>
    </row>
    <row r="286" spans="1:9" s="467" customFormat="1">
      <c r="A286" s="1763"/>
      <c r="B286" s="1261"/>
      <c r="C286" s="1565"/>
      <c r="D286" s="1780"/>
      <c r="E286" s="1261"/>
      <c r="F286" s="1261"/>
      <c r="G286" s="1855"/>
      <c r="H286" s="1856"/>
      <c r="I286" s="1031"/>
    </row>
    <row r="287" spans="1:9" s="467" customFormat="1">
      <c r="A287" s="1763"/>
      <c r="B287" s="1261"/>
      <c r="C287" s="1261"/>
      <c r="D287" s="1780"/>
      <c r="E287" s="1261"/>
      <c r="F287" s="1261"/>
      <c r="G287" s="1855"/>
      <c r="H287" s="1856"/>
      <c r="I287" s="1031"/>
    </row>
    <row r="288" spans="1:9">
      <c r="A288" s="1892"/>
      <c r="B288" s="1167"/>
      <c r="C288" s="1167"/>
      <c r="D288" s="1168"/>
      <c r="E288" s="1167"/>
      <c r="F288" s="1167"/>
      <c r="G288" s="1178"/>
      <c r="H288" s="1893"/>
      <c r="I288" s="1254"/>
    </row>
    <row r="289" spans="1:9" s="357" customFormat="1">
      <c r="A289" s="1169"/>
      <c r="B289" s="1170"/>
      <c r="C289" s="1170"/>
      <c r="D289" s="1171" t="s">
        <v>289</v>
      </c>
      <c r="E289" s="1170"/>
      <c r="F289" s="1170"/>
      <c r="G289" s="1179"/>
      <c r="H289" s="1894">
        <f>SUM(H227:H287)</f>
        <v>0</v>
      </c>
      <c r="I289" s="1030"/>
    </row>
    <row r="290" spans="1:9">
      <c r="A290" s="1763"/>
      <c r="B290" s="1895"/>
      <c r="C290" s="1896"/>
      <c r="D290" s="1789" t="s">
        <v>290</v>
      </c>
      <c r="E290" s="1896"/>
      <c r="F290" s="1896"/>
      <c r="G290" s="1897"/>
      <c r="H290" s="1921">
        <f>H289</f>
        <v>0</v>
      </c>
      <c r="I290" s="1256"/>
    </row>
    <row r="291" spans="1:9" s="357" customFormat="1">
      <c r="A291" s="1763"/>
      <c r="B291" s="1550"/>
      <c r="C291" s="1550"/>
      <c r="D291" s="1806"/>
      <c r="E291" s="1550"/>
      <c r="F291" s="1550"/>
      <c r="G291" s="1814"/>
      <c r="H291" s="1922"/>
      <c r="I291" s="244"/>
    </row>
    <row r="292" spans="1:9">
      <c r="A292" s="1763"/>
      <c r="B292" s="1261"/>
      <c r="C292" s="1261" t="s">
        <v>659</v>
      </c>
      <c r="D292" s="1838" t="s">
        <v>660</v>
      </c>
      <c r="E292" s="1261"/>
      <c r="F292" s="1261"/>
      <c r="G292" s="1839"/>
      <c r="H292" s="1923"/>
      <c r="I292" s="1243"/>
    </row>
    <row r="293" spans="1:9" s="357" customFormat="1">
      <c r="A293" s="1763"/>
      <c r="B293" s="1550"/>
      <c r="C293" s="1551"/>
      <c r="D293" s="1840"/>
      <c r="E293" s="1550"/>
      <c r="F293" s="1550"/>
      <c r="G293" s="1814"/>
      <c r="H293" s="1922"/>
      <c r="I293" s="244"/>
    </row>
    <row r="294" spans="1:9" s="357" customFormat="1" ht="11.25" customHeight="1">
      <c r="A294" s="1763">
        <f>A4</f>
        <v>3</v>
      </c>
      <c r="B294" s="1261">
        <v>3.16</v>
      </c>
      <c r="C294" s="1565"/>
      <c r="D294" s="1780" t="s">
        <v>701</v>
      </c>
      <c r="E294" s="1261" t="s">
        <v>641</v>
      </c>
      <c r="F294" s="1261">
        <v>15</v>
      </c>
      <c r="G294" s="1855"/>
      <c r="H294" s="1501">
        <f t="shared" ref="H294:H351" si="5">IF(E294="","",ROUND(F294*G294,2))</f>
        <v>0</v>
      </c>
      <c r="I294" s="1031"/>
    </row>
    <row r="295" spans="1:9" s="357" customFormat="1">
      <c r="A295" s="1763"/>
      <c r="B295" s="1550"/>
      <c r="C295" s="1551"/>
      <c r="D295" s="1840"/>
      <c r="E295" s="1550"/>
      <c r="F295" s="1550"/>
      <c r="G295" s="1814"/>
      <c r="H295" s="1501" t="str">
        <f t="shared" si="5"/>
        <v/>
      </c>
      <c r="I295" s="244"/>
    </row>
    <row r="296" spans="1:9" ht="15.6">
      <c r="A296" s="1763">
        <f>A4</f>
        <v>3</v>
      </c>
      <c r="B296" s="1261">
        <v>3.17</v>
      </c>
      <c r="C296" s="1565"/>
      <c r="D296" s="1780" t="s">
        <v>703</v>
      </c>
      <c r="E296" s="1261" t="s">
        <v>641</v>
      </c>
      <c r="F296" s="1261">
        <v>15</v>
      </c>
      <c r="G296" s="1855"/>
      <c r="H296" s="1501">
        <f t="shared" si="5"/>
        <v>0</v>
      </c>
      <c r="I296" s="1031"/>
    </row>
    <row r="297" spans="1:9" s="357" customFormat="1">
      <c r="A297" s="1763"/>
      <c r="B297" s="1261"/>
      <c r="C297" s="1565"/>
      <c r="D297" s="1780"/>
      <c r="E297" s="1261"/>
      <c r="F297" s="1261"/>
      <c r="G297" s="1855"/>
      <c r="H297" s="1501" t="str">
        <f t="shared" si="5"/>
        <v/>
      </c>
      <c r="I297" s="1031"/>
    </row>
    <row r="298" spans="1:9" s="357" customFormat="1">
      <c r="A298" s="1763"/>
      <c r="B298" s="1261"/>
      <c r="C298" s="1261" t="s">
        <v>659</v>
      </c>
      <c r="D298" s="1838" t="s">
        <v>704</v>
      </c>
      <c r="E298" s="1261"/>
      <c r="F298" s="1261"/>
      <c r="G298" s="1839"/>
      <c r="H298" s="1501" t="str">
        <f t="shared" si="5"/>
        <v/>
      </c>
      <c r="I298" s="1243"/>
    </row>
    <row r="299" spans="1:9">
      <c r="A299" s="1763"/>
      <c r="B299" s="1550"/>
      <c r="C299" s="1551"/>
      <c r="D299" s="1840"/>
      <c r="E299" s="1550"/>
      <c r="F299" s="1550"/>
      <c r="G299" s="1814"/>
      <c r="H299" s="1501" t="str">
        <f t="shared" si="5"/>
        <v/>
      </c>
      <c r="I299" s="244"/>
    </row>
    <row r="300" spans="1:9" ht="15.6">
      <c r="A300" s="1763">
        <f>A4</f>
        <v>3</v>
      </c>
      <c r="B300" s="1261">
        <v>3.18</v>
      </c>
      <c r="C300" s="1565"/>
      <c r="D300" s="1780" t="s">
        <v>706</v>
      </c>
      <c r="E300" s="1261" t="s">
        <v>641</v>
      </c>
      <c r="F300" s="1261">
        <v>15</v>
      </c>
      <c r="G300" s="1855"/>
      <c r="H300" s="1501">
        <f t="shared" si="5"/>
        <v>0</v>
      </c>
      <c r="I300" s="1031"/>
    </row>
    <row r="301" spans="1:9">
      <c r="A301" s="1763"/>
      <c r="B301" s="1261"/>
      <c r="C301" s="1565"/>
      <c r="D301" s="1780"/>
      <c r="E301" s="1261"/>
      <c r="F301" s="1261"/>
      <c r="G301" s="1536"/>
      <c r="H301" s="1501" t="str">
        <f t="shared" si="5"/>
        <v/>
      </c>
      <c r="I301" s="480"/>
    </row>
    <row r="302" spans="1:9" s="357" customFormat="1" ht="11.25" customHeight="1">
      <c r="A302" s="1763"/>
      <c r="B302" s="1550"/>
      <c r="C302" s="1551" t="s">
        <v>663</v>
      </c>
      <c r="D302" s="1841" t="s">
        <v>664</v>
      </c>
      <c r="E302" s="1550"/>
      <c r="F302" s="1550"/>
      <c r="G302" s="1814"/>
      <c r="H302" s="1501" t="str">
        <f t="shared" si="5"/>
        <v/>
      </c>
      <c r="I302" s="244"/>
    </row>
    <row r="303" spans="1:9" s="357" customFormat="1">
      <c r="A303" s="1763"/>
      <c r="B303" s="1550"/>
      <c r="C303" s="1551"/>
      <c r="D303" s="1702"/>
      <c r="E303" s="1550"/>
      <c r="F303" s="1550"/>
      <c r="G303" s="1814"/>
      <c r="H303" s="1501" t="str">
        <f t="shared" si="5"/>
        <v/>
      </c>
      <c r="I303" s="244"/>
    </row>
    <row r="304" spans="1:9" s="357" customFormat="1" ht="26.4">
      <c r="A304" s="1763"/>
      <c r="B304" s="1550"/>
      <c r="C304" s="1845"/>
      <c r="D304" s="1815" t="s">
        <v>666</v>
      </c>
      <c r="E304" s="1550"/>
      <c r="F304" s="1550"/>
      <c r="G304" s="1814"/>
      <c r="H304" s="1501" t="str">
        <f t="shared" si="5"/>
        <v/>
      </c>
      <c r="I304" s="244"/>
    </row>
    <row r="305" spans="1:9" s="357" customFormat="1">
      <c r="A305" s="1763"/>
      <c r="B305" s="1261"/>
      <c r="C305" s="1565"/>
      <c r="D305" s="1780"/>
      <c r="E305" s="1261"/>
      <c r="F305" s="1261"/>
      <c r="G305" s="1536"/>
      <c r="H305" s="1501" t="str">
        <f t="shared" si="5"/>
        <v/>
      </c>
      <c r="I305" s="480"/>
    </row>
    <row r="306" spans="1:9" ht="15.6">
      <c r="A306" s="1763">
        <f>A4</f>
        <v>3</v>
      </c>
      <c r="B306" s="1261">
        <v>3.19</v>
      </c>
      <c r="C306" s="1565" t="s">
        <v>667</v>
      </c>
      <c r="D306" s="1780" t="s">
        <v>668</v>
      </c>
      <c r="E306" s="1261" t="s">
        <v>657</v>
      </c>
      <c r="F306" s="1836">
        <v>0.1</v>
      </c>
      <c r="G306" s="1536"/>
      <c r="H306" s="1501">
        <f t="shared" si="5"/>
        <v>0</v>
      </c>
      <c r="I306" s="480"/>
    </row>
    <row r="307" spans="1:9">
      <c r="A307" s="1763"/>
      <c r="B307" s="1261"/>
      <c r="C307" s="1565"/>
      <c r="D307" s="1847"/>
      <c r="E307" s="1261"/>
      <c r="F307" s="1261"/>
      <c r="G307" s="1839"/>
      <c r="H307" s="1501" t="str">
        <f t="shared" si="5"/>
        <v/>
      </c>
      <c r="I307" s="1243"/>
    </row>
    <row r="308" spans="1:9" ht="15.6">
      <c r="A308" s="1763">
        <f>A4</f>
        <v>3</v>
      </c>
      <c r="B308" s="1836">
        <v>3.2</v>
      </c>
      <c r="C308" s="1565" t="s">
        <v>669</v>
      </c>
      <c r="D308" s="1780" t="s">
        <v>670</v>
      </c>
      <c r="E308" s="1261" t="s">
        <v>657</v>
      </c>
      <c r="F308" s="1836">
        <v>0.1</v>
      </c>
      <c r="G308" s="1536"/>
      <c r="H308" s="1501">
        <f t="shared" si="5"/>
        <v>0</v>
      </c>
      <c r="I308" s="480"/>
    </row>
    <row r="309" spans="1:9">
      <c r="A309" s="1763"/>
      <c r="B309" s="1551"/>
      <c r="C309" s="1550"/>
      <c r="D309" s="1773"/>
      <c r="E309" s="1550"/>
      <c r="F309" s="1261"/>
      <c r="G309" s="1883"/>
      <c r="H309" s="1501" t="str">
        <f t="shared" si="5"/>
        <v/>
      </c>
      <c r="I309" s="1249"/>
    </row>
    <row r="310" spans="1:9">
      <c r="A310" s="1763"/>
      <c r="B310" s="1712"/>
      <c r="C310" s="1876" t="s">
        <v>709</v>
      </c>
      <c r="D310" s="1877" t="s">
        <v>139</v>
      </c>
      <c r="E310" s="1832"/>
      <c r="F310" s="1271"/>
      <c r="G310" s="1870"/>
      <c r="H310" s="1501" t="str">
        <f t="shared" si="5"/>
        <v/>
      </c>
      <c r="I310" s="1035"/>
    </row>
    <row r="311" spans="1:9">
      <c r="A311" s="1763"/>
      <c r="B311" s="1712"/>
      <c r="C311" s="1876"/>
      <c r="D311" s="1878"/>
      <c r="E311" s="1832"/>
      <c r="F311" s="1271"/>
      <c r="G311" s="1870"/>
      <c r="H311" s="1501" t="str">
        <f t="shared" si="5"/>
        <v/>
      </c>
      <c r="I311" s="1035"/>
    </row>
    <row r="312" spans="1:9">
      <c r="A312" s="1763"/>
      <c r="B312" s="1712"/>
      <c r="C312" s="1876"/>
      <c r="D312" s="1879" t="s">
        <v>711</v>
      </c>
      <c r="E312" s="1832"/>
      <c r="F312" s="1271"/>
      <c r="G312" s="1870"/>
      <c r="H312" s="1501" t="str">
        <f t="shared" si="5"/>
        <v/>
      </c>
      <c r="I312" s="1035"/>
    </row>
    <row r="313" spans="1:9">
      <c r="A313" s="1763"/>
      <c r="B313" s="1712"/>
      <c r="C313" s="1876"/>
      <c r="D313" s="1564"/>
      <c r="E313" s="1832"/>
      <c r="F313" s="1271"/>
      <c r="G313" s="1870"/>
      <c r="H313" s="1501" t="str">
        <f t="shared" si="5"/>
        <v/>
      </c>
      <c r="I313" s="1035"/>
    </row>
    <row r="314" spans="1:9" ht="39.6">
      <c r="A314" s="1763"/>
      <c r="B314" s="1712"/>
      <c r="C314" s="1876"/>
      <c r="D314" s="1877" t="s">
        <v>712</v>
      </c>
      <c r="E314" s="1832"/>
      <c r="F314" s="1271"/>
      <c r="G314" s="1870"/>
      <c r="H314" s="1501" t="str">
        <f t="shared" si="5"/>
        <v/>
      </c>
      <c r="I314" s="1035"/>
    </row>
    <row r="315" spans="1:9">
      <c r="A315" s="1763"/>
      <c r="B315" s="1712"/>
      <c r="C315" s="1880"/>
      <c r="D315" s="1881"/>
      <c r="E315" s="1832"/>
      <c r="F315" s="1271"/>
      <c r="G315" s="1870"/>
      <c r="H315" s="1501" t="str">
        <f t="shared" si="5"/>
        <v/>
      </c>
      <c r="I315" s="1035"/>
    </row>
    <row r="316" spans="1:9">
      <c r="A316" s="1763">
        <f>A4</f>
        <v>3</v>
      </c>
      <c r="B316" s="1271">
        <v>3.21</v>
      </c>
      <c r="C316" s="1880" t="s">
        <v>746</v>
      </c>
      <c r="D316" s="1564" t="s">
        <v>714</v>
      </c>
      <c r="E316" s="1550" t="s">
        <v>561</v>
      </c>
      <c r="F316" s="1271">
        <v>220</v>
      </c>
      <c r="G316" s="1924"/>
      <c r="H316" s="1501">
        <f t="shared" si="5"/>
        <v>0</v>
      </c>
      <c r="I316" s="1256"/>
    </row>
    <row r="317" spans="1:9">
      <c r="A317" s="1763"/>
      <c r="B317" s="1712"/>
      <c r="C317" s="1880"/>
      <c r="D317" s="1564"/>
      <c r="E317" s="1550"/>
      <c r="F317" s="1271"/>
      <c r="G317" s="1870"/>
      <c r="H317" s="1501" t="str">
        <f t="shared" si="5"/>
        <v/>
      </c>
      <c r="I317" s="1035"/>
    </row>
    <row r="318" spans="1:9">
      <c r="A318" s="1763"/>
      <c r="B318" s="1712"/>
      <c r="C318" s="1880"/>
      <c r="D318" s="1879" t="s">
        <v>716</v>
      </c>
      <c r="E318" s="1550"/>
      <c r="F318" s="1271"/>
      <c r="G318" s="1870"/>
      <c r="H318" s="1501" t="str">
        <f t="shared" si="5"/>
        <v/>
      </c>
      <c r="I318" s="1035"/>
    </row>
    <row r="319" spans="1:9">
      <c r="A319" s="1763"/>
      <c r="B319" s="1712"/>
      <c r="C319" s="1880"/>
      <c r="D319" s="1564"/>
      <c r="E319" s="1550"/>
      <c r="F319" s="1271"/>
      <c r="G319" s="1870"/>
      <c r="H319" s="1501" t="str">
        <f t="shared" si="5"/>
        <v/>
      </c>
      <c r="I319" s="1035"/>
    </row>
    <row r="320" spans="1:9" ht="39.6">
      <c r="A320" s="1763"/>
      <c r="B320" s="1712"/>
      <c r="C320" s="1880"/>
      <c r="D320" s="1879" t="s">
        <v>717</v>
      </c>
      <c r="E320" s="1550"/>
      <c r="F320" s="1271"/>
      <c r="G320" s="1870"/>
      <c r="H320" s="1501" t="str">
        <f t="shared" si="5"/>
        <v/>
      </c>
      <c r="I320" s="1035"/>
    </row>
    <row r="321" spans="1:9">
      <c r="A321" s="1763"/>
      <c r="B321" s="1712"/>
      <c r="C321" s="1880"/>
      <c r="D321" s="1881"/>
      <c r="E321" s="1550"/>
      <c r="F321" s="1271"/>
      <c r="G321" s="1870"/>
      <c r="H321" s="1501" t="str">
        <f t="shared" si="5"/>
        <v/>
      </c>
      <c r="I321" s="1035"/>
    </row>
    <row r="322" spans="1:9">
      <c r="A322" s="1763">
        <f>A4</f>
        <v>3</v>
      </c>
      <c r="B322" s="1271">
        <v>3.22</v>
      </c>
      <c r="C322" s="1880" t="s">
        <v>747</v>
      </c>
      <c r="D322" s="1834" t="s">
        <v>719</v>
      </c>
      <c r="E322" s="1550"/>
      <c r="F322" s="1271"/>
      <c r="G322" s="1870"/>
      <c r="H322" s="1501" t="str">
        <f t="shared" si="5"/>
        <v/>
      </c>
      <c r="I322" s="1035"/>
    </row>
    <row r="323" spans="1:9">
      <c r="A323" s="1763"/>
      <c r="B323" s="1712"/>
      <c r="C323" s="1880"/>
      <c r="D323" s="1564"/>
      <c r="E323" s="1550"/>
      <c r="F323" s="1271"/>
      <c r="G323" s="1925"/>
      <c r="H323" s="1501" t="str">
        <f t="shared" si="5"/>
        <v/>
      </c>
      <c r="I323" s="1035"/>
    </row>
    <row r="324" spans="1:9">
      <c r="A324" s="1763"/>
      <c r="B324" s="1575"/>
      <c r="C324" s="1882"/>
      <c r="D324" s="1877" t="s">
        <v>720</v>
      </c>
      <c r="E324" s="1550"/>
      <c r="F324" s="1261"/>
      <c r="G324" s="1926"/>
      <c r="H324" s="1501" t="str">
        <f t="shared" si="5"/>
        <v/>
      </c>
      <c r="I324" s="383"/>
    </row>
    <row r="325" spans="1:9">
      <c r="A325" s="1763"/>
      <c r="B325" s="1575"/>
      <c r="C325" s="1876"/>
      <c r="D325" s="1878"/>
      <c r="E325" s="1550"/>
      <c r="F325" s="1262"/>
      <c r="G325" s="1926"/>
      <c r="H325" s="1501" t="str">
        <f t="shared" si="5"/>
        <v/>
      </c>
      <c r="I325" s="383"/>
    </row>
    <row r="326" spans="1:9">
      <c r="A326" s="1763">
        <f>A4</f>
        <v>3</v>
      </c>
      <c r="B326" s="1575">
        <v>3.23</v>
      </c>
      <c r="C326" s="1927">
        <v>8.14</v>
      </c>
      <c r="D326" s="1778" t="s">
        <v>748</v>
      </c>
      <c r="E326" s="1550" t="s">
        <v>561</v>
      </c>
      <c r="F326" s="1261">
        <v>220</v>
      </c>
      <c r="G326" s="1885"/>
      <c r="H326" s="1501">
        <f t="shared" si="5"/>
        <v>0</v>
      </c>
      <c r="I326" s="480"/>
    </row>
    <row r="327" spans="1:9">
      <c r="A327" s="1763"/>
      <c r="B327" s="1575"/>
      <c r="C327" s="1876"/>
      <c r="D327" s="1778"/>
      <c r="E327" s="1550"/>
      <c r="F327" s="1261"/>
      <c r="G327" s="1884"/>
      <c r="H327" s="1501" t="str">
        <f t="shared" si="5"/>
        <v/>
      </c>
      <c r="I327" s="1249"/>
    </row>
    <row r="328" spans="1:9">
      <c r="A328" s="1763">
        <f>A4</f>
        <v>3</v>
      </c>
      <c r="B328" s="1575">
        <v>3.24</v>
      </c>
      <c r="C328" s="1927">
        <v>8.14</v>
      </c>
      <c r="D328" s="1778" t="s">
        <v>725</v>
      </c>
      <c r="E328" s="1550" t="s">
        <v>561</v>
      </c>
      <c r="F328" s="1261">
        <v>220</v>
      </c>
      <c r="G328" s="1885"/>
      <c r="H328" s="1501">
        <f t="shared" si="5"/>
        <v>0</v>
      </c>
      <c r="I328" s="480"/>
    </row>
    <row r="329" spans="1:9">
      <c r="A329" s="1763"/>
      <c r="B329" s="1575"/>
      <c r="C329" s="1876"/>
      <c r="D329" s="1778"/>
      <c r="E329" s="1550"/>
      <c r="F329" s="1261"/>
      <c r="G329" s="1885"/>
      <c r="H329" s="1501" t="str">
        <f t="shared" si="5"/>
        <v/>
      </c>
      <c r="I329" s="480"/>
    </row>
    <row r="330" spans="1:9" ht="26.4">
      <c r="A330" s="1763">
        <f>$A$4</f>
        <v>3</v>
      </c>
      <c r="B330" s="1575">
        <v>3.25</v>
      </c>
      <c r="C330" s="1927">
        <v>8.15</v>
      </c>
      <c r="D330" s="1771" t="s">
        <v>728</v>
      </c>
      <c r="E330" s="1550" t="s">
        <v>561</v>
      </c>
      <c r="F330" s="1266">
        <v>150</v>
      </c>
      <c r="G330" s="1885"/>
      <c r="H330" s="1501">
        <f t="shared" si="5"/>
        <v>0</v>
      </c>
      <c r="I330" s="480"/>
    </row>
    <row r="331" spans="1:9">
      <c r="A331" s="1763"/>
      <c r="B331" s="1575"/>
      <c r="C331" s="1876"/>
      <c r="D331" s="1778"/>
      <c r="E331" s="1550"/>
      <c r="F331" s="1261"/>
      <c r="G331" s="1885"/>
      <c r="H331" s="1501" t="str">
        <f t="shared" si="5"/>
        <v/>
      </c>
      <c r="I331" s="480"/>
    </row>
    <row r="332" spans="1:9" ht="26.4">
      <c r="A332" s="1763">
        <f t="shared" ref="A332:A350" si="6">$A$4</f>
        <v>3</v>
      </c>
      <c r="B332" s="1911" t="s">
        <v>558</v>
      </c>
      <c r="C332" s="1928" t="s">
        <v>729</v>
      </c>
      <c r="D332" s="1773" t="s">
        <v>749</v>
      </c>
      <c r="E332" s="1774"/>
      <c r="F332" s="1774"/>
      <c r="G332" s="1929"/>
      <c r="H332" s="1501" t="str">
        <f t="shared" si="5"/>
        <v/>
      </c>
      <c r="I332" s="1036"/>
    </row>
    <row r="333" spans="1:9">
      <c r="A333" s="1763"/>
      <c r="B333" s="1904"/>
      <c r="C333" s="1904"/>
      <c r="D333" s="1771"/>
      <c r="E333" s="1550"/>
      <c r="F333" s="1550"/>
      <c r="G333" s="1885"/>
      <c r="H333" s="1501" t="str">
        <f t="shared" si="5"/>
        <v/>
      </c>
      <c r="I333" s="480"/>
    </row>
    <row r="334" spans="1:9">
      <c r="A334" s="1763">
        <f t="shared" si="6"/>
        <v>3</v>
      </c>
      <c r="B334" s="1550">
        <v>3.26</v>
      </c>
      <c r="C334" s="1550"/>
      <c r="D334" s="1778" t="s">
        <v>750</v>
      </c>
      <c r="E334" s="1271" t="s">
        <v>561</v>
      </c>
      <c r="F334" s="1550">
        <v>90</v>
      </c>
      <c r="G334" s="1513"/>
      <c r="H334" s="1501">
        <f t="shared" si="5"/>
        <v>0</v>
      </c>
      <c r="I334" s="480"/>
    </row>
    <row r="335" spans="1:9" s="1263" customFormat="1" ht="13.8">
      <c r="A335" s="1763"/>
      <c r="B335" s="1551"/>
      <c r="C335" s="1550"/>
      <c r="D335" s="1778"/>
      <c r="E335" s="1271"/>
      <c r="F335" s="1550"/>
      <c r="G335" s="1513"/>
      <c r="H335" s="1501" t="str">
        <f t="shared" si="5"/>
        <v/>
      </c>
      <c r="I335" s="480"/>
    </row>
    <row r="336" spans="1:9" ht="26.4">
      <c r="A336" s="1763">
        <f t="shared" si="6"/>
        <v>3</v>
      </c>
      <c r="B336" s="1550">
        <v>3.27</v>
      </c>
      <c r="C336" s="1550"/>
      <c r="D336" s="1778" t="s">
        <v>751</v>
      </c>
      <c r="E336" s="1271" t="s">
        <v>561</v>
      </c>
      <c r="F336" s="1550">
        <v>90</v>
      </c>
      <c r="G336" s="1513"/>
      <c r="H336" s="1501">
        <f t="shared" si="5"/>
        <v>0</v>
      </c>
      <c r="I336" s="480"/>
    </row>
    <row r="337" spans="1:9">
      <c r="A337" s="1763"/>
      <c r="B337" s="1550"/>
      <c r="C337" s="1551"/>
      <c r="D337" s="1840"/>
      <c r="E337" s="1550"/>
      <c r="F337" s="1550"/>
      <c r="G337" s="1516"/>
      <c r="H337" s="1501" t="str">
        <f t="shared" si="5"/>
        <v/>
      </c>
      <c r="I337" s="483"/>
    </row>
    <row r="338" spans="1:9" ht="13.8">
      <c r="A338" s="1886">
        <f t="shared" si="6"/>
        <v>3</v>
      </c>
      <c r="B338" s="1857">
        <v>4</v>
      </c>
      <c r="C338" s="1908"/>
      <c r="D338" s="1858" t="s">
        <v>752</v>
      </c>
      <c r="E338" s="1908"/>
      <c r="F338" s="1908"/>
      <c r="G338" s="1909"/>
      <c r="H338" s="1501" t="str">
        <f t="shared" si="5"/>
        <v/>
      </c>
      <c r="I338" s="1258"/>
    </row>
    <row r="339" spans="1:9">
      <c r="A339" s="1763"/>
      <c r="B339" s="1904"/>
      <c r="C339" s="1550"/>
      <c r="D339" s="1809"/>
      <c r="E339" s="1550"/>
      <c r="F339" s="1266"/>
      <c r="G339" s="1519"/>
      <c r="H339" s="1501" t="str">
        <f t="shared" si="5"/>
        <v/>
      </c>
      <c r="I339" s="483"/>
    </row>
    <row r="340" spans="1:9">
      <c r="A340" s="1763">
        <f t="shared" si="6"/>
        <v>3</v>
      </c>
      <c r="B340" s="1765" t="s">
        <v>543</v>
      </c>
      <c r="C340" s="1766"/>
      <c r="D340" s="1806" t="s">
        <v>672</v>
      </c>
      <c r="E340" s="1550"/>
      <c r="F340" s="1550"/>
      <c r="G340" s="1519"/>
      <c r="H340" s="1501" t="str">
        <f t="shared" si="5"/>
        <v/>
      </c>
      <c r="I340" s="483"/>
    </row>
    <row r="341" spans="1:9">
      <c r="A341" s="1763"/>
      <c r="B341" s="1551"/>
      <c r="C341" s="1766"/>
      <c r="D341" s="1806"/>
      <c r="E341" s="1550"/>
      <c r="F341" s="1550"/>
      <c r="G341" s="1519"/>
      <c r="H341" s="1501" t="str">
        <f t="shared" si="5"/>
        <v/>
      </c>
      <c r="I341" s="483"/>
    </row>
    <row r="342" spans="1:9" ht="26.4">
      <c r="A342" s="1763">
        <f t="shared" si="6"/>
        <v>3</v>
      </c>
      <c r="B342" s="1550">
        <v>4.0999999999999996</v>
      </c>
      <c r="C342" s="1550"/>
      <c r="D342" s="1811" t="s">
        <v>753</v>
      </c>
      <c r="E342" s="1550" t="s">
        <v>561</v>
      </c>
      <c r="F342" s="1261">
        <v>230</v>
      </c>
      <c r="G342" s="1536"/>
      <c r="H342" s="1501">
        <f t="shared" si="5"/>
        <v>0</v>
      </c>
      <c r="I342" s="383"/>
    </row>
    <row r="343" spans="1:9">
      <c r="A343" s="1763"/>
      <c r="B343" s="1551"/>
      <c r="C343" s="1550"/>
      <c r="D343" s="1811"/>
      <c r="E343" s="1550"/>
      <c r="F343" s="1261"/>
      <c r="G343" s="1536"/>
      <c r="H343" s="1501" t="str">
        <f t="shared" si="5"/>
        <v/>
      </c>
      <c r="I343" s="383"/>
    </row>
    <row r="344" spans="1:9" ht="26.4">
      <c r="A344" s="1763">
        <f t="shared" si="6"/>
        <v>3</v>
      </c>
      <c r="B344" s="1550">
        <v>4.2</v>
      </c>
      <c r="C344" s="1550"/>
      <c r="D344" s="1811" t="s">
        <v>754</v>
      </c>
      <c r="E344" s="1550" t="s">
        <v>230</v>
      </c>
      <c r="F344" s="1550">
        <v>1</v>
      </c>
      <c r="G344" s="1519"/>
      <c r="H344" s="1501">
        <f t="shared" si="5"/>
        <v>0</v>
      </c>
      <c r="I344" s="483"/>
    </row>
    <row r="345" spans="1:9">
      <c r="A345" s="1763"/>
      <c r="B345" s="1551"/>
      <c r="C345" s="1550"/>
      <c r="D345" s="1811"/>
      <c r="E345" s="1550"/>
      <c r="F345" s="1550"/>
      <c r="G345" s="1519"/>
      <c r="H345" s="1501" t="str">
        <f t="shared" si="5"/>
        <v/>
      </c>
      <c r="I345" s="483"/>
    </row>
    <row r="346" spans="1:9" ht="26.4">
      <c r="A346" s="1763">
        <f t="shared" si="6"/>
        <v>3</v>
      </c>
      <c r="B346" s="1550">
        <v>4.3</v>
      </c>
      <c r="C346" s="1550"/>
      <c r="D346" s="1771" t="s">
        <v>755</v>
      </c>
      <c r="E346" s="1550" t="s">
        <v>230</v>
      </c>
      <c r="F346" s="1860">
        <v>1</v>
      </c>
      <c r="G346" s="1519"/>
      <c r="H346" s="1501">
        <f t="shared" si="5"/>
        <v>0</v>
      </c>
      <c r="I346" s="480"/>
    </row>
    <row r="347" spans="1:9">
      <c r="A347" s="1763"/>
      <c r="B347" s="1551"/>
      <c r="C347" s="1550"/>
      <c r="D347" s="1811"/>
      <c r="E347" s="1550"/>
      <c r="F347" s="1261"/>
      <c r="G347" s="1536"/>
      <c r="H347" s="1501" t="str">
        <f t="shared" si="5"/>
        <v/>
      </c>
      <c r="I347" s="383"/>
    </row>
    <row r="348" spans="1:9" ht="26.4">
      <c r="A348" s="1763">
        <f t="shared" si="6"/>
        <v>3</v>
      </c>
      <c r="B348" s="1550">
        <v>4.4000000000000004</v>
      </c>
      <c r="C348" s="1550"/>
      <c r="D348" s="1811" t="s">
        <v>756</v>
      </c>
      <c r="E348" s="1550" t="s">
        <v>565</v>
      </c>
      <c r="F348" s="1261">
        <v>46</v>
      </c>
      <c r="G348" s="1855"/>
      <c r="H348" s="1501">
        <f t="shared" si="5"/>
        <v>0</v>
      </c>
      <c r="I348" s="1031"/>
    </row>
    <row r="349" spans="1:9">
      <c r="A349" s="1763"/>
      <c r="B349" s="1551"/>
      <c r="C349" s="1550"/>
      <c r="D349" s="1811"/>
      <c r="E349" s="1550"/>
      <c r="F349" s="1261"/>
      <c r="G349" s="1855"/>
      <c r="H349" s="1501" t="str">
        <f t="shared" si="5"/>
        <v/>
      </c>
      <c r="I349" s="1031"/>
    </row>
    <row r="350" spans="1:9" s="374" customFormat="1" ht="15.6">
      <c r="A350" s="1763">
        <f t="shared" si="6"/>
        <v>3</v>
      </c>
      <c r="B350" s="1550">
        <v>4.5</v>
      </c>
      <c r="C350" s="1550"/>
      <c r="D350" s="1811" t="s">
        <v>757</v>
      </c>
      <c r="E350" s="1550" t="s">
        <v>565</v>
      </c>
      <c r="F350" s="1261">
        <v>117</v>
      </c>
      <c r="G350" s="1855"/>
      <c r="H350" s="1501">
        <f t="shared" si="5"/>
        <v>0</v>
      </c>
      <c r="I350" s="1031"/>
    </row>
    <row r="351" spans="1:9" s="374" customFormat="1">
      <c r="A351" s="1886"/>
      <c r="B351" s="1551"/>
      <c r="C351" s="1550"/>
      <c r="D351" s="1811"/>
      <c r="E351" s="1550"/>
      <c r="F351" s="1261"/>
      <c r="G351" s="1855"/>
      <c r="H351" s="1501" t="str">
        <f t="shared" si="5"/>
        <v/>
      </c>
      <c r="I351" s="1031"/>
    </row>
    <row r="352" spans="1:9">
      <c r="A352" s="1763"/>
      <c r="B352" s="1551"/>
      <c r="C352" s="1550"/>
      <c r="D352" s="1811"/>
      <c r="E352" s="1550"/>
      <c r="F352" s="1261"/>
      <c r="G352" s="1855"/>
      <c r="H352" s="1856"/>
      <c r="I352" s="1031"/>
    </row>
    <row r="353" spans="1:9">
      <c r="A353" s="1763"/>
      <c r="B353" s="1930"/>
      <c r="C353" s="1931"/>
      <c r="D353" s="1932"/>
      <c r="E353" s="1931"/>
      <c r="F353" s="1933"/>
      <c r="G353" s="1934"/>
      <c r="H353" s="1935"/>
      <c r="I353" s="1031"/>
    </row>
    <row r="354" spans="1:9">
      <c r="A354" s="1936"/>
      <c r="B354" s="1172"/>
      <c r="C354" s="1172"/>
      <c r="D354" s="1173"/>
      <c r="E354" s="1172"/>
      <c r="F354" s="1172"/>
      <c r="G354" s="1937"/>
      <c r="H354" s="1938"/>
      <c r="I354" s="1037"/>
    </row>
    <row r="355" spans="1:9" s="1248" customFormat="1">
      <c r="A355" s="1174"/>
      <c r="B355" s="1171"/>
      <c r="C355" s="1171"/>
      <c r="D355" s="527" t="s">
        <v>289</v>
      </c>
      <c r="E355" s="1171"/>
      <c r="F355" s="1171"/>
      <c r="G355" s="1180"/>
      <c r="H355" s="459">
        <f>SUM(H290:H350)</f>
        <v>0</v>
      </c>
      <c r="I355" s="1038"/>
    </row>
    <row r="356" spans="1:9">
      <c r="A356" s="1763"/>
      <c r="B356" s="1788"/>
      <c r="C356" s="1788"/>
      <c r="D356" s="1789" t="s">
        <v>290</v>
      </c>
      <c r="E356" s="1788"/>
      <c r="F356" s="1939"/>
      <c r="G356" s="1940"/>
      <c r="H356" s="1852">
        <f>H355</f>
        <v>0</v>
      </c>
      <c r="I356" s="483"/>
    </row>
    <row r="357" spans="1:9">
      <c r="A357" s="1763"/>
      <c r="B357" s="1551"/>
      <c r="C357" s="1550"/>
      <c r="D357" s="1778"/>
      <c r="E357" s="1271"/>
      <c r="F357" s="1550"/>
      <c r="G357" s="1513"/>
      <c r="H357" s="1854"/>
      <c r="I357" s="480"/>
    </row>
    <row r="358" spans="1:9" ht="26.4">
      <c r="A358" s="1763"/>
      <c r="B358" s="1765" t="s">
        <v>549</v>
      </c>
      <c r="C358" s="1766" t="s">
        <v>581</v>
      </c>
      <c r="D358" s="1773" t="s">
        <v>678</v>
      </c>
      <c r="E358" s="1774"/>
      <c r="F358" s="1941"/>
      <c r="G358" s="1942"/>
      <c r="H358" s="1943"/>
      <c r="I358" s="1039"/>
    </row>
    <row r="359" spans="1:9">
      <c r="A359" s="1763"/>
      <c r="B359" s="1551"/>
      <c r="C359" s="1550"/>
      <c r="D359" s="1809"/>
      <c r="E359" s="1550"/>
      <c r="F359" s="1860"/>
      <c r="G359" s="1519"/>
      <c r="H359" s="1854"/>
      <c r="I359" s="480"/>
    </row>
    <row r="360" spans="1:9">
      <c r="A360" s="1763"/>
      <c r="B360" s="1551"/>
      <c r="C360" s="1550">
        <v>8.1999999999999993</v>
      </c>
      <c r="D360" s="1806" t="s">
        <v>637</v>
      </c>
      <c r="E360" s="1550"/>
      <c r="F360" s="1550"/>
      <c r="G360" s="1516"/>
      <c r="H360" s="1944"/>
      <c r="I360" s="211"/>
    </row>
    <row r="361" spans="1:9">
      <c r="A361" s="1763"/>
      <c r="B361" s="1551"/>
      <c r="C361" s="1550"/>
      <c r="D361" s="1815"/>
      <c r="E361" s="1550"/>
      <c r="F361" s="1550"/>
      <c r="G361" s="1516"/>
      <c r="H361" s="1945"/>
      <c r="I361" s="241"/>
    </row>
    <row r="362" spans="1:9">
      <c r="A362" s="1763"/>
      <c r="B362" s="1551"/>
      <c r="C362" s="1550" t="s">
        <v>590</v>
      </c>
      <c r="D362" s="1815" t="s">
        <v>638</v>
      </c>
      <c r="E362" s="1550"/>
      <c r="F362" s="1550"/>
      <c r="G362" s="1516"/>
      <c r="H362" s="1945"/>
      <c r="I362" s="241"/>
    </row>
    <row r="363" spans="1:9">
      <c r="A363" s="1763"/>
      <c r="B363" s="1551"/>
      <c r="C363" s="1550"/>
      <c r="D363" s="1771"/>
      <c r="E363" s="1550"/>
      <c r="F363" s="1550"/>
      <c r="G363" s="1516"/>
      <c r="H363" s="1945"/>
      <c r="I363" s="241"/>
    </row>
    <row r="364" spans="1:9">
      <c r="A364" s="1763"/>
      <c r="B364" s="1616"/>
      <c r="C364" s="1550"/>
      <c r="D364" s="1773" t="s">
        <v>639</v>
      </c>
      <c r="E364" s="1550"/>
      <c r="F364" s="1550"/>
      <c r="G364" s="1516"/>
      <c r="H364" s="1945"/>
      <c r="I364" s="241"/>
    </row>
    <row r="365" spans="1:9" s="374" customFormat="1">
      <c r="A365" s="1886"/>
      <c r="B365" s="1667"/>
      <c r="C365" s="1667"/>
      <c r="D365" s="1668"/>
      <c r="E365" s="1667"/>
      <c r="F365" s="1816"/>
      <c r="G365" s="1519"/>
      <c r="H365" s="1945"/>
      <c r="I365" s="241"/>
    </row>
    <row r="366" spans="1:9" ht="15.6">
      <c r="A366" s="1763">
        <f t="shared" ref="A366" si="7">$A$4</f>
        <v>3</v>
      </c>
      <c r="B366" s="1818">
        <v>4.5999999999999996</v>
      </c>
      <c r="C366" s="1818"/>
      <c r="D366" s="1780" t="s">
        <v>758</v>
      </c>
      <c r="E366" s="1818" t="s">
        <v>641</v>
      </c>
      <c r="F366" s="1818">
        <v>150</v>
      </c>
      <c r="G366" s="1819"/>
      <c r="H366" s="1501">
        <f t="shared" ref="H366:H420" si="8">IF(E366="","",ROUND(F366*G366,2))</f>
        <v>0</v>
      </c>
      <c r="I366" s="1029"/>
    </row>
    <row r="367" spans="1:9" ht="12" customHeight="1">
      <c r="A367" s="1763"/>
      <c r="B367" s="1821"/>
      <c r="C367" s="1821"/>
      <c r="D367" s="1822"/>
      <c r="E367" s="1821"/>
      <c r="F367" s="1823"/>
      <c r="G367" s="1819"/>
      <c r="H367" s="1501" t="str">
        <f t="shared" si="8"/>
        <v/>
      </c>
      <c r="I367" s="1040"/>
    </row>
    <row r="368" spans="1:9">
      <c r="A368" s="1763"/>
      <c r="B368" s="1616"/>
      <c r="C368" s="1550" t="s">
        <v>624</v>
      </c>
      <c r="D368" s="1773" t="s">
        <v>642</v>
      </c>
      <c r="E368" s="1550"/>
      <c r="F368" s="1550"/>
      <c r="G368" s="1819"/>
      <c r="H368" s="1501" t="str">
        <f t="shared" si="8"/>
        <v/>
      </c>
      <c r="I368" s="483"/>
    </row>
    <row r="369" spans="1:9">
      <c r="A369" s="1763"/>
      <c r="B369" s="1616"/>
      <c r="C369" s="1550"/>
      <c r="D369" s="1773"/>
      <c r="E369" s="1550"/>
      <c r="F369" s="1550"/>
      <c r="G369" s="1819"/>
      <c r="H369" s="1501" t="str">
        <f t="shared" si="8"/>
        <v/>
      </c>
      <c r="I369" s="483"/>
    </row>
    <row r="370" spans="1:9">
      <c r="A370" s="1763">
        <f t="shared" ref="A370" si="9">$A$4</f>
        <v>3</v>
      </c>
      <c r="B370" s="1818">
        <v>4.7</v>
      </c>
      <c r="C370" s="1261"/>
      <c r="D370" s="1825" t="s">
        <v>643</v>
      </c>
      <c r="E370" s="1821" t="s">
        <v>644</v>
      </c>
      <c r="F370" s="1823">
        <v>30</v>
      </c>
      <c r="G370" s="1819"/>
      <c r="H370" s="1501">
        <f t="shared" si="8"/>
        <v>0</v>
      </c>
      <c r="I370" s="480"/>
    </row>
    <row r="371" spans="1:9">
      <c r="A371" s="1763"/>
      <c r="B371" s="1826"/>
      <c r="C371" s="1261"/>
      <c r="D371" s="1825"/>
      <c r="E371" s="1821"/>
      <c r="F371" s="1823"/>
      <c r="G371" s="1819"/>
      <c r="H371" s="1501" t="str">
        <f t="shared" si="8"/>
        <v/>
      </c>
      <c r="I371" s="480"/>
    </row>
    <row r="372" spans="1:9">
      <c r="A372" s="1763"/>
      <c r="B372" s="1826"/>
      <c r="C372" s="1261">
        <v>8.3000000000000007</v>
      </c>
      <c r="D372" s="1827" t="s">
        <v>645</v>
      </c>
      <c r="E372" s="1261"/>
      <c r="F372" s="1261"/>
      <c r="G372" s="1819"/>
      <c r="H372" s="1501" t="str">
        <f t="shared" si="8"/>
        <v/>
      </c>
      <c r="I372" s="791"/>
    </row>
    <row r="373" spans="1:9" s="357" customFormat="1">
      <c r="A373" s="1763"/>
      <c r="B373" s="1261"/>
      <c r="C373" s="1261"/>
      <c r="D373" s="1828"/>
      <c r="E373" s="1261"/>
      <c r="F373" s="1532"/>
      <c r="G373" s="1819"/>
      <c r="H373" s="1501" t="str">
        <f t="shared" si="8"/>
        <v/>
      </c>
      <c r="I373" s="383"/>
    </row>
    <row r="374" spans="1:9" s="357" customFormat="1">
      <c r="A374" s="1763"/>
      <c r="B374" s="1261"/>
      <c r="C374" s="1261" t="s">
        <v>226</v>
      </c>
      <c r="D374" s="1827" t="s">
        <v>646</v>
      </c>
      <c r="E374" s="1261"/>
      <c r="F374" s="1532"/>
      <c r="G374" s="1819"/>
      <c r="H374" s="1501" t="str">
        <f t="shared" si="8"/>
        <v/>
      </c>
      <c r="I374" s="383"/>
    </row>
    <row r="375" spans="1:9" s="357" customFormat="1">
      <c r="A375" s="1763"/>
      <c r="B375" s="1261"/>
      <c r="C375" s="1261"/>
      <c r="D375" s="1828"/>
      <c r="E375" s="1261"/>
      <c r="F375" s="1532"/>
      <c r="G375" s="1819"/>
      <c r="H375" s="1501" t="str">
        <f t="shared" si="8"/>
        <v/>
      </c>
      <c r="I375" s="383"/>
    </row>
    <row r="376" spans="1:9" s="357" customFormat="1">
      <c r="A376" s="1763">
        <f t="shared" ref="A376" si="10">$A$4</f>
        <v>3</v>
      </c>
      <c r="B376" s="1261">
        <v>4.8</v>
      </c>
      <c r="C376" s="1261" t="s">
        <v>647</v>
      </c>
      <c r="D376" s="1828" t="s">
        <v>648</v>
      </c>
      <c r="E376" s="1261" t="s">
        <v>649</v>
      </c>
      <c r="F376" s="1270">
        <v>0.24</v>
      </c>
      <c r="G376" s="1819"/>
      <c r="H376" s="1501">
        <f t="shared" si="8"/>
        <v>0</v>
      </c>
      <c r="I376" s="383"/>
    </row>
    <row r="377" spans="1:9" s="1238" customFormat="1" ht="15" customHeight="1">
      <c r="A377" s="1574"/>
      <c r="B377" s="1261"/>
      <c r="C377" s="1261"/>
      <c r="D377" s="1828"/>
      <c r="E377" s="1261"/>
      <c r="F377" s="1532"/>
      <c r="G377" s="1524"/>
      <c r="H377" s="1501" t="str">
        <f t="shared" si="8"/>
        <v/>
      </c>
      <c r="I377" s="383"/>
    </row>
    <row r="378" spans="1:9" s="357" customFormat="1">
      <c r="A378" s="1763"/>
      <c r="B378" s="1261"/>
      <c r="C378" s="1830" t="s">
        <v>226</v>
      </c>
      <c r="D378" s="1831" t="s">
        <v>650</v>
      </c>
      <c r="E378" s="1832"/>
      <c r="F378" s="1270"/>
      <c r="G378" s="1533"/>
      <c r="H378" s="1501" t="str">
        <f t="shared" si="8"/>
        <v/>
      </c>
      <c r="I378" s="1241"/>
    </row>
    <row r="379" spans="1:9">
      <c r="A379" s="1763"/>
      <c r="B379" s="1261"/>
      <c r="C379" s="1830"/>
      <c r="D379" s="1833"/>
      <c r="E379" s="1832"/>
      <c r="F379" s="1270"/>
      <c r="G379" s="1533"/>
      <c r="H379" s="1501" t="str">
        <f t="shared" si="8"/>
        <v/>
      </c>
      <c r="I379" s="1241"/>
    </row>
    <row r="380" spans="1:9" s="357" customFormat="1">
      <c r="A380" s="1763">
        <f t="shared" ref="A380" si="11">$A$4</f>
        <v>3</v>
      </c>
      <c r="B380" s="1261">
        <v>4.9000000000000004</v>
      </c>
      <c r="C380" s="1830" t="s">
        <v>647</v>
      </c>
      <c r="D380" s="1834" t="s">
        <v>682</v>
      </c>
      <c r="E380" s="1261" t="s">
        <v>649</v>
      </c>
      <c r="F380" s="1270">
        <v>0.5</v>
      </c>
      <c r="G380" s="1533"/>
      <c r="H380" s="1501">
        <f t="shared" si="8"/>
        <v>0</v>
      </c>
      <c r="I380" s="1241"/>
    </row>
    <row r="381" spans="1:9">
      <c r="A381" s="1763"/>
      <c r="B381" s="1261"/>
      <c r="C381" s="1261"/>
      <c r="D381" s="1828"/>
      <c r="E381" s="1261"/>
      <c r="F381" s="1270"/>
      <c r="G381" s="1533"/>
      <c r="H381" s="1501" t="str">
        <f t="shared" si="8"/>
        <v/>
      </c>
      <c r="I381" s="1241"/>
    </row>
    <row r="382" spans="1:9">
      <c r="A382" s="1763"/>
      <c r="B382" s="1550"/>
      <c r="C382" s="1550">
        <v>8.4</v>
      </c>
      <c r="D382" s="1773" t="s">
        <v>652</v>
      </c>
      <c r="E382" s="1550"/>
      <c r="F382" s="1550"/>
      <c r="G382" s="1516"/>
      <c r="H382" s="1501" t="str">
        <f t="shared" si="8"/>
        <v/>
      </c>
      <c r="I382" s="483"/>
    </row>
    <row r="383" spans="1:9">
      <c r="A383" s="1763"/>
      <c r="B383" s="1550"/>
      <c r="C383" s="1550"/>
      <c r="D383" s="1806"/>
      <c r="E383" s="1550"/>
      <c r="F383" s="1550"/>
      <c r="G383" s="1516"/>
      <c r="H383" s="1501" t="str">
        <f t="shared" si="8"/>
        <v/>
      </c>
      <c r="I383" s="483"/>
    </row>
    <row r="384" spans="1:9" ht="15.6">
      <c r="A384" s="1763">
        <f t="shared" ref="A384" si="12">$A$4</f>
        <v>3</v>
      </c>
      <c r="B384" s="1782">
        <v>4.0999999999999996</v>
      </c>
      <c r="C384" s="1550" t="s">
        <v>759</v>
      </c>
      <c r="D384" s="1771" t="s">
        <v>760</v>
      </c>
      <c r="E384" s="1550" t="s">
        <v>565</v>
      </c>
      <c r="F384" s="1550">
        <v>288</v>
      </c>
      <c r="G384" s="1536"/>
      <c r="H384" s="1501">
        <f t="shared" si="8"/>
        <v>0</v>
      </c>
      <c r="I384" s="383"/>
    </row>
    <row r="385" spans="1:9" s="1265" customFormat="1">
      <c r="A385" s="1763"/>
      <c r="B385" s="1946"/>
      <c r="C385" s="1947"/>
      <c r="D385" s="460"/>
      <c r="E385" s="1948"/>
      <c r="F385" s="1023"/>
      <c r="G385" s="1949"/>
      <c r="H385" s="1501" t="str">
        <f t="shared" si="8"/>
        <v/>
      </c>
      <c r="I385" s="1264"/>
    </row>
    <row r="386" spans="1:9" s="1265" customFormat="1" ht="26.4">
      <c r="A386" s="1763">
        <f t="shared" ref="A386" si="13">$A$4</f>
        <v>3</v>
      </c>
      <c r="B386" s="1763">
        <v>4.1100000000000003</v>
      </c>
      <c r="C386" s="1701"/>
      <c r="D386" s="10" t="s">
        <v>761</v>
      </c>
      <c r="E386" s="1271" t="s">
        <v>691</v>
      </c>
      <c r="F386" s="25">
        <v>60</v>
      </c>
      <c r="G386" s="1872"/>
      <c r="H386" s="1501">
        <f t="shared" si="8"/>
        <v>0</v>
      </c>
      <c r="I386" s="510"/>
    </row>
    <row r="387" spans="1:9" s="1265" customFormat="1">
      <c r="A387" s="1763"/>
      <c r="B387" s="1550"/>
      <c r="C387" s="1550"/>
      <c r="D387" s="1806"/>
      <c r="E387" s="1550"/>
      <c r="F387" s="1550"/>
      <c r="G387" s="1516"/>
      <c r="H387" s="1501" t="str">
        <f t="shared" si="8"/>
        <v/>
      </c>
      <c r="I387" s="483"/>
    </row>
    <row r="388" spans="1:9" s="1247" customFormat="1">
      <c r="A388" s="1763"/>
      <c r="B388" s="1550"/>
      <c r="C388" s="1550" t="s">
        <v>375</v>
      </c>
      <c r="D388" s="1815" t="s">
        <v>655</v>
      </c>
      <c r="E388" s="1550"/>
      <c r="F388" s="1550"/>
      <c r="G388" s="1516"/>
      <c r="H388" s="1501" t="str">
        <f t="shared" si="8"/>
        <v/>
      </c>
      <c r="I388" s="483"/>
    </row>
    <row r="389" spans="1:9" s="357" customFormat="1" ht="13.5" customHeight="1">
      <c r="A389" s="1763"/>
      <c r="B389" s="1550"/>
      <c r="C389" s="1551"/>
      <c r="D389" s="1837"/>
      <c r="E389" s="1550"/>
      <c r="F389" s="1550"/>
      <c r="G389" s="1516"/>
      <c r="H389" s="1501" t="str">
        <f t="shared" si="8"/>
        <v/>
      </c>
      <c r="I389" s="483"/>
    </row>
    <row r="390" spans="1:9" s="357" customFormat="1" ht="11.25" customHeight="1">
      <c r="A390" s="1763">
        <f t="shared" ref="A390" si="14">$A$4</f>
        <v>3</v>
      </c>
      <c r="B390" s="1261">
        <v>4.12</v>
      </c>
      <c r="C390" s="1565"/>
      <c r="D390" s="1828" t="s">
        <v>762</v>
      </c>
      <c r="E390" s="1261" t="s">
        <v>657</v>
      </c>
      <c r="F390" s="1532">
        <v>1</v>
      </c>
      <c r="G390" s="1536"/>
      <c r="H390" s="1501">
        <f t="shared" si="8"/>
        <v>0</v>
      </c>
      <c r="I390" s="480"/>
    </row>
    <row r="391" spans="1:9">
      <c r="A391" s="1763"/>
      <c r="B391" s="1550"/>
      <c r="C391" s="1565"/>
      <c r="D391" s="1828"/>
      <c r="E391" s="1261"/>
      <c r="F391" s="1532"/>
      <c r="G391" s="1536"/>
      <c r="H391" s="1501" t="str">
        <f t="shared" si="8"/>
        <v/>
      </c>
      <c r="I391" s="480"/>
    </row>
    <row r="392" spans="1:9" ht="15.6">
      <c r="A392" s="1763">
        <f t="shared" ref="A392" si="15">$A$4</f>
        <v>3</v>
      </c>
      <c r="B392" s="1261">
        <v>4.13</v>
      </c>
      <c r="C392" s="1565"/>
      <c r="D392" s="1780" t="s">
        <v>763</v>
      </c>
      <c r="E392" s="1261" t="s">
        <v>657</v>
      </c>
      <c r="F392" s="1261">
        <v>1</v>
      </c>
      <c r="G392" s="1536"/>
      <c r="H392" s="1501">
        <f t="shared" si="8"/>
        <v>0</v>
      </c>
      <c r="I392" s="480"/>
    </row>
    <row r="393" spans="1:9">
      <c r="A393" s="1763"/>
      <c r="B393" s="1550"/>
      <c r="C393" s="1550"/>
      <c r="D393" s="1806"/>
      <c r="E393" s="1550"/>
      <c r="F393" s="1550"/>
      <c r="G393" s="1516"/>
      <c r="H393" s="1501" t="str">
        <f t="shared" si="8"/>
        <v/>
      </c>
      <c r="I393" s="483"/>
    </row>
    <row r="394" spans="1:9">
      <c r="A394" s="1763"/>
      <c r="B394" s="1261"/>
      <c r="C394" s="1261" t="s">
        <v>659</v>
      </c>
      <c r="D394" s="1838" t="s">
        <v>660</v>
      </c>
      <c r="E394" s="1261"/>
      <c r="F394" s="1261"/>
      <c r="G394" s="1536"/>
      <c r="H394" s="1501" t="str">
        <f t="shared" si="8"/>
        <v/>
      </c>
      <c r="I394" s="480"/>
    </row>
    <row r="395" spans="1:9">
      <c r="A395" s="1763"/>
      <c r="B395" s="1550"/>
      <c r="C395" s="1551"/>
      <c r="D395" s="1840"/>
      <c r="E395" s="1550"/>
      <c r="F395" s="1550"/>
      <c r="G395" s="1516"/>
      <c r="H395" s="1501" t="str">
        <f t="shared" si="8"/>
        <v/>
      </c>
      <c r="I395" s="483"/>
    </row>
    <row r="396" spans="1:9" s="357" customFormat="1" ht="12.75" customHeight="1">
      <c r="A396" s="1763">
        <f t="shared" ref="A396" si="16">$A$4</f>
        <v>3</v>
      </c>
      <c r="B396" s="1261">
        <v>4.1399999999999997</v>
      </c>
      <c r="C396" s="1551"/>
      <c r="D396" s="1780" t="s">
        <v>764</v>
      </c>
      <c r="E396" s="1261" t="s">
        <v>641</v>
      </c>
      <c r="F396" s="1261">
        <v>5</v>
      </c>
      <c r="G396" s="1536"/>
      <c r="H396" s="1501">
        <f t="shared" si="8"/>
        <v>0</v>
      </c>
      <c r="I396" s="480"/>
    </row>
    <row r="397" spans="1:9" s="357" customFormat="1">
      <c r="A397" s="1763"/>
      <c r="B397" s="1261"/>
      <c r="C397" s="1551"/>
      <c r="D397" s="1828"/>
      <c r="E397" s="1261"/>
      <c r="F397" s="1532"/>
      <c r="G397" s="1536"/>
      <c r="H397" s="1501" t="str">
        <f t="shared" si="8"/>
        <v/>
      </c>
      <c r="I397" s="480"/>
    </row>
    <row r="398" spans="1:9" ht="15.6">
      <c r="A398" s="1763">
        <f t="shared" ref="A398" si="17">$A$4</f>
        <v>3</v>
      </c>
      <c r="B398" s="1261">
        <v>4.1500000000000004</v>
      </c>
      <c r="C398" s="1551"/>
      <c r="D398" s="1780" t="s">
        <v>765</v>
      </c>
      <c r="E398" s="1261" t="s">
        <v>657</v>
      </c>
      <c r="F398" s="1261">
        <v>5</v>
      </c>
      <c r="G398" s="1536"/>
      <c r="H398" s="1501">
        <f t="shared" si="8"/>
        <v>0</v>
      </c>
      <c r="I398" s="480"/>
    </row>
    <row r="399" spans="1:9" s="357" customFormat="1">
      <c r="A399" s="1763"/>
      <c r="B399" s="1261"/>
      <c r="C399" s="1551"/>
      <c r="D399" s="1828"/>
      <c r="E399" s="1261"/>
      <c r="F399" s="1532"/>
      <c r="G399" s="1536"/>
      <c r="H399" s="1501" t="str">
        <f t="shared" si="8"/>
        <v/>
      </c>
      <c r="I399" s="480"/>
    </row>
    <row r="400" spans="1:9" s="357" customFormat="1" ht="12.75" customHeight="1">
      <c r="A400" s="1763"/>
      <c r="B400" s="1550"/>
      <c r="C400" s="1551" t="s">
        <v>663</v>
      </c>
      <c r="D400" s="1841" t="s">
        <v>664</v>
      </c>
      <c r="E400" s="1550"/>
      <c r="F400" s="1550"/>
      <c r="G400" s="1516"/>
      <c r="H400" s="1501" t="str">
        <f t="shared" si="8"/>
        <v/>
      </c>
      <c r="I400" s="483"/>
    </row>
    <row r="401" spans="1:9" s="357" customFormat="1" ht="11.25" customHeight="1">
      <c r="A401" s="1763"/>
      <c r="B401" s="1261"/>
      <c r="C401" s="1551"/>
      <c r="D401" s="1847"/>
      <c r="E401" s="1261"/>
      <c r="F401" s="1261"/>
      <c r="G401" s="1536"/>
      <c r="H401" s="1501" t="str">
        <f t="shared" si="8"/>
        <v/>
      </c>
      <c r="I401" s="480"/>
    </row>
    <row r="402" spans="1:9" ht="26.4">
      <c r="A402" s="1763"/>
      <c r="B402" s="1261"/>
      <c r="C402" s="1845" t="s">
        <v>665</v>
      </c>
      <c r="D402" s="1846" t="s">
        <v>666</v>
      </c>
      <c r="E402" s="1261"/>
      <c r="F402" s="1261"/>
      <c r="G402" s="1536"/>
      <c r="H402" s="1501" t="str">
        <f t="shared" si="8"/>
        <v/>
      </c>
      <c r="I402" s="480"/>
    </row>
    <row r="403" spans="1:9" s="357" customFormat="1">
      <c r="A403" s="1763"/>
      <c r="B403" s="1261"/>
      <c r="C403" s="1551"/>
      <c r="D403" s="1847"/>
      <c r="E403" s="1261"/>
      <c r="F403" s="1261"/>
      <c r="G403" s="1536"/>
      <c r="H403" s="1501" t="str">
        <f t="shared" si="8"/>
        <v/>
      </c>
      <c r="I403" s="480"/>
    </row>
    <row r="404" spans="1:9" ht="15.6">
      <c r="A404" s="1763">
        <f t="shared" ref="A404" si="18">$A$4</f>
        <v>3</v>
      </c>
      <c r="B404" s="1261">
        <v>4.16</v>
      </c>
      <c r="C404" s="1551" t="s">
        <v>667</v>
      </c>
      <c r="D404" s="1780" t="s">
        <v>668</v>
      </c>
      <c r="E404" s="1261" t="s">
        <v>657</v>
      </c>
      <c r="F404" s="1836">
        <v>0.1</v>
      </c>
      <c r="G404" s="1536"/>
      <c r="H404" s="1501">
        <f t="shared" si="8"/>
        <v>0</v>
      </c>
      <c r="I404" s="480"/>
    </row>
    <row r="405" spans="1:9" s="357" customFormat="1">
      <c r="A405" s="1763"/>
      <c r="B405" s="1261"/>
      <c r="C405" s="1551"/>
      <c r="D405" s="1847"/>
      <c r="E405" s="1261"/>
      <c r="F405" s="1261"/>
      <c r="G405" s="1536"/>
      <c r="H405" s="1501" t="str">
        <f t="shared" si="8"/>
        <v/>
      </c>
      <c r="I405" s="480"/>
    </row>
    <row r="406" spans="1:9" s="357" customFormat="1" ht="15.6">
      <c r="A406" s="1763">
        <f t="shared" ref="A406" si="19">$A$4</f>
        <v>3</v>
      </c>
      <c r="B406" s="1261">
        <v>4.17</v>
      </c>
      <c r="C406" s="1551" t="s">
        <v>669</v>
      </c>
      <c r="D406" s="1780" t="s">
        <v>670</v>
      </c>
      <c r="E406" s="1261" t="s">
        <v>657</v>
      </c>
      <c r="F406" s="1836">
        <v>0.1</v>
      </c>
      <c r="G406" s="1536"/>
      <c r="H406" s="1501">
        <f t="shared" si="8"/>
        <v>0</v>
      </c>
      <c r="I406" s="480"/>
    </row>
    <row r="407" spans="1:9" ht="19.5" customHeight="1">
      <c r="A407" s="1763"/>
      <c r="B407" s="1261"/>
      <c r="C407" s="1565"/>
      <c r="D407" s="1780"/>
      <c r="E407" s="1261"/>
      <c r="F407" s="1261"/>
      <c r="G407" s="1536"/>
      <c r="H407" s="1501" t="str">
        <f t="shared" si="8"/>
        <v/>
      </c>
      <c r="I407" s="480"/>
    </row>
    <row r="408" spans="1:9">
      <c r="A408" s="1763"/>
      <c r="B408" s="1551"/>
      <c r="C408" s="1774" t="s">
        <v>766</v>
      </c>
      <c r="D408" s="1950" t="s">
        <v>161</v>
      </c>
      <c r="E408" s="1550"/>
      <c r="F408" s="1261"/>
      <c r="G408" s="1536"/>
      <c r="H408" s="1501" t="str">
        <f t="shared" si="8"/>
        <v/>
      </c>
      <c r="I408" s="383"/>
    </row>
    <row r="409" spans="1:9" s="357" customFormat="1">
      <c r="A409" s="1763"/>
      <c r="B409" s="1551"/>
      <c r="C409" s="1550"/>
      <c r="D409" s="1950"/>
      <c r="E409" s="1550"/>
      <c r="G409" s="1536"/>
      <c r="H409" s="1501" t="str">
        <f t="shared" si="8"/>
        <v/>
      </c>
      <c r="I409" s="383"/>
    </row>
    <row r="410" spans="1:9" s="357" customFormat="1">
      <c r="A410" s="1763">
        <f t="shared" ref="A410" si="20">$A$4</f>
        <v>3</v>
      </c>
      <c r="B410" s="1575">
        <v>4.18</v>
      </c>
      <c r="C410" s="1927">
        <v>8.14</v>
      </c>
      <c r="D410" s="1778" t="s">
        <v>748</v>
      </c>
      <c r="E410" s="1550" t="s">
        <v>561</v>
      </c>
      <c r="F410" s="1261">
        <v>220</v>
      </c>
      <c r="G410" s="1513"/>
      <c r="H410" s="1501">
        <f t="shared" si="8"/>
        <v>0</v>
      </c>
      <c r="I410" s="480"/>
    </row>
    <row r="411" spans="1:9">
      <c r="A411" s="1763"/>
      <c r="B411" s="1551"/>
      <c r="C411" s="1876"/>
      <c r="D411" s="1778"/>
      <c r="E411" s="1550"/>
      <c r="F411" s="1261"/>
      <c r="G411" s="1884"/>
      <c r="H411" s="1501" t="str">
        <f t="shared" si="8"/>
        <v/>
      </c>
      <c r="I411" s="1249"/>
    </row>
    <row r="412" spans="1:9" s="357" customFormat="1" ht="13.5" customHeight="1">
      <c r="A412" s="1763">
        <f t="shared" ref="A412" si="21">$A$4</f>
        <v>3</v>
      </c>
      <c r="B412" s="1575">
        <v>4.1900000000000004</v>
      </c>
      <c r="C412" s="1927">
        <v>8.14</v>
      </c>
      <c r="D412" s="1778" t="s">
        <v>725</v>
      </c>
      <c r="E412" s="1550" t="s">
        <v>561</v>
      </c>
      <c r="F412" s="1261">
        <v>220</v>
      </c>
      <c r="G412" s="1885"/>
      <c r="H412" s="1501">
        <f t="shared" si="8"/>
        <v>0</v>
      </c>
      <c r="I412" s="480"/>
    </row>
    <row r="413" spans="1:9">
      <c r="A413" s="1763"/>
      <c r="B413" s="1551"/>
      <c r="C413" s="1550"/>
      <c r="D413" s="1950"/>
      <c r="E413" s="1550"/>
      <c r="F413" s="1262"/>
      <c r="G413" s="1926"/>
      <c r="H413" s="1501" t="str">
        <f t="shared" si="8"/>
        <v/>
      </c>
      <c r="I413" s="383"/>
    </row>
    <row r="414" spans="1:9" s="357" customFormat="1" ht="26.4">
      <c r="A414" s="1763">
        <f t="shared" ref="A414" si="22">$A$4</f>
        <v>3</v>
      </c>
      <c r="B414" s="1951">
        <v>4.2</v>
      </c>
      <c r="C414" s="1550"/>
      <c r="D414" s="1771" t="s">
        <v>728</v>
      </c>
      <c r="E414" s="1550" t="s">
        <v>561</v>
      </c>
      <c r="F414" s="1266">
        <v>150</v>
      </c>
      <c r="G414" s="1885"/>
      <c r="H414" s="1501">
        <f t="shared" si="8"/>
        <v>0</v>
      </c>
      <c r="I414" s="480"/>
    </row>
    <row r="415" spans="1:9">
      <c r="A415" s="1763"/>
      <c r="B415" s="1551"/>
      <c r="C415" s="1550"/>
      <c r="D415" s="1771"/>
      <c r="E415" s="1550"/>
      <c r="F415" s="1550"/>
      <c r="G415" s="1926"/>
      <c r="H415" s="1501" t="str">
        <f t="shared" si="8"/>
        <v/>
      </c>
      <c r="I415" s="383"/>
    </row>
    <row r="416" spans="1:9" ht="26.4">
      <c r="A416" s="1763"/>
      <c r="B416" s="1911" t="s">
        <v>558</v>
      </c>
      <c r="C416" s="1766" t="s">
        <v>729</v>
      </c>
      <c r="D416" s="1887" t="s">
        <v>749</v>
      </c>
      <c r="E416" s="1888"/>
      <c r="F416" s="1952"/>
      <c r="G416" s="1953"/>
      <c r="H416" s="1501" t="str">
        <f t="shared" si="8"/>
        <v/>
      </c>
      <c r="I416" s="1039"/>
    </row>
    <row r="417" spans="1:9">
      <c r="A417" s="1763"/>
      <c r="B417" s="1667"/>
      <c r="C417" s="1667"/>
      <c r="D417" s="1668"/>
      <c r="E417" s="1669"/>
      <c r="F417" s="1670"/>
      <c r="G417" s="1954"/>
      <c r="H417" s="1501" t="str">
        <f t="shared" si="8"/>
        <v/>
      </c>
      <c r="I417" s="211"/>
    </row>
    <row r="418" spans="1:9" s="357" customFormat="1">
      <c r="A418" s="1763">
        <f t="shared" ref="A418" si="23">$A$4</f>
        <v>3</v>
      </c>
      <c r="B418" s="1550">
        <v>4.21</v>
      </c>
      <c r="C418" s="1550"/>
      <c r="D418" s="1778" t="s">
        <v>750</v>
      </c>
      <c r="E418" s="1271" t="s">
        <v>561</v>
      </c>
      <c r="F418" s="1550">
        <v>90</v>
      </c>
      <c r="G418" s="1955"/>
      <c r="H418" s="1501">
        <f t="shared" si="8"/>
        <v>0</v>
      </c>
      <c r="I418" s="483"/>
    </row>
    <row r="419" spans="1:9">
      <c r="A419" s="1763"/>
      <c r="B419" s="1667"/>
      <c r="C419" s="1667"/>
      <c r="D419" s="1668"/>
      <c r="E419" s="1669"/>
      <c r="F419" s="1670"/>
      <c r="G419" s="1954"/>
      <c r="H419" s="1501" t="str">
        <f t="shared" si="8"/>
        <v/>
      </c>
      <c r="I419" s="211"/>
    </row>
    <row r="420" spans="1:9" ht="26.4">
      <c r="A420" s="1763">
        <f t="shared" ref="A420" si="24">$A$4</f>
        <v>3</v>
      </c>
      <c r="B420" s="1550">
        <v>4.22</v>
      </c>
      <c r="C420" s="1550"/>
      <c r="D420" s="1778" t="s">
        <v>751</v>
      </c>
      <c r="E420" s="1271" t="s">
        <v>561</v>
      </c>
      <c r="F420" s="1550">
        <v>90</v>
      </c>
      <c r="G420" s="1955"/>
      <c r="H420" s="1501">
        <f t="shared" si="8"/>
        <v>0</v>
      </c>
      <c r="I420" s="483"/>
    </row>
    <row r="421" spans="1:9">
      <c r="A421" s="1763"/>
      <c r="B421" s="1551"/>
      <c r="C421" s="1550"/>
      <c r="D421" s="1778"/>
      <c r="E421" s="1271"/>
      <c r="F421" s="1550"/>
      <c r="G421" s="1955"/>
      <c r="H421" s="1871"/>
      <c r="I421" s="483"/>
    </row>
    <row r="422" spans="1:9">
      <c r="A422" s="1763"/>
      <c r="B422" s="1551"/>
      <c r="C422" s="1550"/>
      <c r="D422" s="1778"/>
      <c r="E422" s="1271"/>
      <c r="F422" s="1550"/>
      <c r="G422" s="1955"/>
      <c r="H422" s="1871"/>
      <c r="I422" s="483"/>
    </row>
    <row r="423" spans="1:9">
      <c r="A423" s="1763"/>
      <c r="B423" s="1551"/>
      <c r="C423" s="1550"/>
      <c r="D423" s="1778"/>
      <c r="E423" s="1271"/>
      <c r="F423" s="1550"/>
      <c r="G423" s="1955"/>
      <c r="H423" s="1871"/>
      <c r="I423" s="483"/>
    </row>
    <row r="424" spans="1:9">
      <c r="A424" s="1763"/>
      <c r="B424" s="1551"/>
      <c r="C424" s="1550"/>
      <c r="D424" s="1778"/>
      <c r="E424" s="1271"/>
      <c r="F424" s="1550"/>
      <c r="G424" s="1955"/>
      <c r="H424" s="1871"/>
      <c r="I424" s="483"/>
    </row>
    <row r="425" spans="1:9">
      <c r="A425" s="1763"/>
      <c r="B425" s="1551"/>
      <c r="C425" s="1550"/>
      <c r="D425" s="1771"/>
      <c r="E425" s="1550"/>
      <c r="F425" s="1550"/>
      <c r="G425" s="1926"/>
      <c r="H425" s="1869"/>
      <c r="I425" s="383"/>
    </row>
    <row r="426" spans="1:9">
      <c r="A426" s="1786"/>
      <c r="B426" s="787"/>
      <c r="C426" s="800"/>
      <c r="D426" s="801"/>
      <c r="E426" s="800"/>
      <c r="F426" s="800"/>
      <c r="G426" s="1181"/>
      <c r="H426" s="1956"/>
      <c r="I426" s="1041"/>
    </row>
    <row r="427" spans="1:9">
      <c r="A427" s="802"/>
      <c r="B427" s="566"/>
      <c r="C427" s="425"/>
      <c r="D427" s="457" t="s">
        <v>289</v>
      </c>
      <c r="E427" s="425"/>
      <c r="F427" s="425"/>
      <c r="G427" s="1182"/>
      <c r="H427" s="1850">
        <f>SUM(H356:H420)</f>
        <v>0</v>
      </c>
      <c r="I427" s="1030"/>
    </row>
    <row r="428" spans="1:9">
      <c r="A428" s="1763"/>
      <c r="B428" s="1787"/>
      <c r="C428" s="1788"/>
      <c r="D428" s="1789" t="s">
        <v>290</v>
      </c>
      <c r="E428" s="1788"/>
      <c r="F428" s="1788"/>
      <c r="G428" s="1940"/>
      <c r="H428" s="1852">
        <f>H427</f>
        <v>0</v>
      </c>
      <c r="I428" s="483"/>
    </row>
    <row r="429" spans="1:9">
      <c r="A429" s="1763"/>
      <c r="B429" s="1712"/>
      <c r="C429" s="1271"/>
      <c r="D429" s="1702"/>
      <c r="E429" s="1271"/>
      <c r="F429" s="1271"/>
      <c r="G429" s="1519"/>
      <c r="H429" s="1871"/>
      <c r="I429" s="483"/>
    </row>
    <row r="430" spans="1:9">
      <c r="A430" s="1763"/>
      <c r="B430" s="1551"/>
      <c r="C430" s="1550"/>
      <c r="D430" s="1887" t="s">
        <v>767</v>
      </c>
      <c r="E430" s="1271"/>
      <c r="F430" s="1550"/>
      <c r="G430" s="1519"/>
      <c r="H430" s="1871"/>
      <c r="I430" s="483"/>
    </row>
    <row r="431" spans="1:9">
      <c r="A431" s="1763"/>
      <c r="B431" s="1551"/>
      <c r="C431" s="1550"/>
      <c r="D431" s="1778"/>
      <c r="E431" s="1271"/>
      <c r="F431" s="1550"/>
      <c r="G431" s="1519"/>
      <c r="H431" s="1871"/>
      <c r="I431" s="483"/>
    </row>
    <row r="432" spans="1:9">
      <c r="A432" s="1763">
        <f t="shared" ref="A432" si="25">$A$4</f>
        <v>3</v>
      </c>
      <c r="B432" s="1550">
        <v>4.2300000000000004</v>
      </c>
      <c r="C432" s="1550"/>
      <c r="D432" s="1778" t="s">
        <v>768</v>
      </c>
      <c r="E432" s="1271" t="s">
        <v>273</v>
      </c>
      <c r="F432" s="1550">
        <v>1</v>
      </c>
      <c r="G432" s="1872"/>
      <c r="H432" s="1501">
        <f t="shared" ref="H432:H489" si="26">IF(E432="","",ROUND(F432*G432,2))</f>
        <v>0</v>
      </c>
      <c r="I432" s="510"/>
    </row>
    <row r="433" spans="1:9">
      <c r="A433" s="1763"/>
      <c r="B433" s="1551"/>
      <c r="C433" s="1550"/>
      <c r="D433" s="1778"/>
      <c r="E433" s="1271"/>
      <c r="F433" s="1550"/>
      <c r="G433" s="1872"/>
      <c r="H433" s="1501" t="str">
        <f t="shared" si="26"/>
        <v/>
      </c>
      <c r="I433" s="510"/>
    </row>
    <row r="434" spans="1:9" s="1263" customFormat="1" ht="13.8">
      <c r="A434" s="1763">
        <f t="shared" ref="A434" si="27">$A$4</f>
        <v>3</v>
      </c>
      <c r="B434" s="1550">
        <v>4.24</v>
      </c>
      <c r="C434" s="1550"/>
      <c r="D434" s="1778" t="s">
        <v>769</v>
      </c>
      <c r="E434" s="1271" t="s">
        <v>273</v>
      </c>
      <c r="F434" s="1550">
        <v>1</v>
      </c>
      <c r="G434" s="1872"/>
      <c r="H434" s="1501">
        <f t="shared" si="26"/>
        <v>0</v>
      </c>
      <c r="I434" s="510"/>
    </row>
    <row r="435" spans="1:9" ht="13.8">
      <c r="A435" s="1957"/>
      <c r="B435" s="1551"/>
      <c r="C435" s="1550"/>
      <c r="D435" s="1778"/>
      <c r="E435" s="1271"/>
      <c r="F435" s="1550"/>
      <c r="G435" s="1872"/>
      <c r="H435" s="1501" t="str">
        <f t="shared" si="26"/>
        <v/>
      </c>
      <c r="I435" s="510"/>
    </row>
    <row r="436" spans="1:9" s="1248" customFormat="1">
      <c r="A436" s="1763">
        <f t="shared" ref="A436" si="28">$A$4</f>
        <v>3</v>
      </c>
      <c r="B436" s="1550">
        <v>4.25</v>
      </c>
      <c r="C436" s="1550"/>
      <c r="D436" s="1778" t="s">
        <v>770</v>
      </c>
      <c r="E436" s="1271" t="s">
        <v>230</v>
      </c>
      <c r="F436" s="1550">
        <v>1</v>
      </c>
      <c r="G436" s="1872"/>
      <c r="H436" s="1501">
        <f t="shared" si="26"/>
        <v>0</v>
      </c>
      <c r="I436" s="510"/>
    </row>
    <row r="437" spans="1:9" s="1248" customFormat="1" ht="13.8">
      <c r="A437" s="1957"/>
      <c r="B437" s="1551"/>
      <c r="C437" s="1550"/>
      <c r="D437" s="1778"/>
      <c r="E437" s="1271"/>
      <c r="F437" s="1550"/>
      <c r="G437" s="1872"/>
      <c r="H437" s="1501" t="str">
        <f t="shared" si="26"/>
        <v/>
      </c>
      <c r="I437" s="510"/>
    </row>
    <row r="438" spans="1:9" s="1248" customFormat="1">
      <c r="A438" s="1763">
        <f t="shared" ref="A438" si="29">$A$4</f>
        <v>3</v>
      </c>
      <c r="B438" s="1550">
        <v>4.26</v>
      </c>
      <c r="C438" s="1550"/>
      <c r="D438" s="1778" t="s">
        <v>771</v>
      </c>
      <c r="E438" s="1271" t="s">
        <v>230</v>
      </c>
      <c r="F438" s="1550">
        <v>1</v>
      </c>
      <c r="G438" s="1872"/>
      <c r="H438" s="1501">
        <f t="shared" si="26"/>
        <v>0</v>
      </c>
      <c r="I438" s="510"/>
    </row>
    <row r="439" spans="1:9" s="1248" customFormat="1" ht="13.8">
      <c r="A439" s="1957"/>
      <c r="B439" s="1551"/>
      <c r="C439" s="1550"/>
      <c r="D439" s="1778"/>
      <c r="E439" s="1271"/>
      <c r="F439" s="1550"/>
      <c r="G439" s="1872"/>
      <c r="H439" s="1501" t="str">
        <f t="shared" si="26"/>
        <v/>
      </c>
      <c r="I439" s="510"/>
    </row>
    <row r="440" spans="1:9">
      <c r="A440" s="1763">
        <f t="shared" ref="A440" si="30">$A$4</f>
        <v>3</v>
      </c>
      <c r="B440" s="1550">
        <v>4.2699999999999996</v>
      </c>
      <c r="C440" s="1550"/>
      <c r="D440" s="1778" t="s">
        <v>772</v>
      </c>
      <c r="E440" s="1271" t="s">
        <v>230</v>
      </c>
      <c r="F440" s="1550">
        <v>1</v>
      </c>
      <c r="G440" s="1872"/>
      <c r="H440" s="1501">
        <f t="shared" si="26"/>
        <v>0</v>
      </c>
      <c r="I440" s="510"/>
    </row>
    <row r="441" spans="1:9">
      <c r="A441" s="1763"/>
      <c r="B441" s="1551"/>
      <c r="C441" s="1550"/>
      <c r="D441" s="1778"/>
      <c r="E441" s="1271"/>
      <c r="F441" s="1550"/>
      <c r="G441" s="1519"/>
      <c r="H441" s="1501" t="str">
        <f t="shared" si="26"/>
        <v/>
      </c>
      <c r="I441" s="483"/>
    </row>
    <row r="442" spans="1:9" ht="13.8">
      <c r="A442" s="1763">
        <f t="shared" ref="A442" si="31">$A$4</f>
        <v>3</v>
      </c>
      <c r="B442" s="1857">
        <v>5</v>
      </c>
      <c r="C442" s="1908"/>
      <c r="D442" s="1858" t="s">
        <v>773</v>
      </c>
      <c r="E442" s="1908"/>
      <c r="F442" s="1908"/>
      <c r="G442" s="1909"/>
      <c r="H442" s="1501" t="str">
        <f t="shared" si="26"/>
        <v/>
      </c>
      <c r="I442" s="1258"/>
    </row>
    <row r="443" spans="1:9">
      <c r="A443" s="1763"/>
      <c r="B443" s="1904"/>
      <c r="C443" s="1701"/>
      <c r="E443" s="1904"/>
      <c r="F443" s="1550"/>
      <c r="G443" s="1519"/>
      <c r="H443" s="1501" t="str">
        <f t="shared" si="26"/>
        <v/>
      </c>
      <c r="I443" s="483"/>
    </row>
    <row r="444" spans="1:9" ht="26.4">
      <c r="A444" s="1763"/>
      <c r="B444" s="1911" t="s">
        <v>543</v>
      </c>
      <c r="C444" s="1766" t="s">
        <v>544</v>
      </c>
      <c r="D444" s="1806" t="s">
        <v>133</v>
      </c>
      <c r="E444" s="1911"/>
      <c r="F444" s="1774"/>
      <c r="G444" s="1942"/>
      <c r="H444" s="1501" t="str">
        <f t="shared" si="26"/>
        <v/>
      </c>
      <c r="I444" s="1036"/>
    </row>
    <row r="445" spans="1:9">
      <c r="A445" s="1763"/>
      <c r="B445" s="1911"/>
      <c r="C445" s="1766"/>
      <c r="D445" s="1806"/>
      <c r="E445" s="1911"/>
      <c r="F445" s="1774"/>
      <c r="G445" s="1942"/>
      <c r="H445" s="1501" t="str">
        <f t="shared" si="26"/>
        <v/>
      </c>
      <c r="I445" s="1036"/>
    </row>
    <row r="446" spans="1:9" s="374" customFormat="1" ht="15.6">
      <c r="A446" s="1763">
        <f t="shared" ref="A446" si="32">$A$4</f>
        <v>3</v>
      </c>
      <c r="B446" s="1904">
        <v>5.0999999999999996</v>
      </c>
      <c r="C446" s="1550" t="s">
        <v>546</v>
      </c>
      <c r="D446" s="1809" t="s">
        <v>774</v>
      </c>
      <c r="E446" s="1550" t="s">
        <v>565</v>
      </c>
      <c r="F446" s="1550">
        <v>1171</v>
      </c>
      <c r="G446" s="1519"/>
      <c r="H446" s="1501">
        <f t="shared" si="26"/>
        <v>0</v>
      </c>
      <c r="I446" s="483"/>
    </row>
    <row r="447" spans="1:9">
      <c r="A447" s="1763"/>
      <c r="B447" s="1904"/>
      <c r="C447" s="1550"/>
      <c r="D447" s="1809"/>
      <c r="E447" s="1842"/>
      <c r="F447" s="1958"/>
      <c r="G447" s="1959"/>
      <c r="H447" s="1501" t="str">
        <f t="shared" si="26"/>
        <v/>
      </c>
      <c r="I447" s="1042"/>
    </row>
    <row r="448" spans="1:9" ht="26.4">
      <c r="A448" s="1763"/>
      <c r="B448" s="1911" t="s">
        <v>549</v>
      </c>
      <c r="C448" s="1766" t="s">
        <v>626</v>
      </c>
      <c r="D448" s="1806" t="s">
        <v>627</v>
      </c>
      <c r="E448" s="1774"/>
      <c r="F448" s="1888"/>
      <c r="G448" s="1960"/>
      <c r="H448" s="1501" t="str">
        <f t="shared" si="26"/>
        <v/>
      </c>
      <c r="I448" s="1043"/>
    </row>
    <row r="449" spans="1:9">
      <c r="A449" s="1763"/>
      <c r="B449" s="1904"/>
      <c r="C449" s="1550"/>
      <c r="D449" s="1809"/>
      <c r="E449" s="1550"/>
      <c r="F449" s="1271"/>
      <c r="G449" s="1872"/>
      <c r="H449" s="1501" t="str">
        <f t="shared" si="26"/>
        <v/>
      </c>
      <c r="I449" s="510"/>
    </row>
    <row r="450" spans="1:9" s="374" customFormat="1">
      <c r="A450" s="1886"/>
      <c r="B450" s="1271"/>
      <c r="C450" s="1550"/>
      <c r="D450" s="1773" t="s">
        <v>205</v>
      </c>
      <c r="E450" s="1271"/>
      <c r="F450" s="1271"/>
      <c r="G450" s="1870"/>
      <c r="H450" s="1501" t="str">
        <f t="shared" si="26"/>
        <v/>
      </c>
      <c r="I450" s="1235"/>
    </row>
    <row r="451" spans="1:9">
      <c r="A451" s="1763"/>
      <c r="B451" s="1271"/>
      <c r="C451" s="1550"/>
      <c r="D451" s="1771"/>
      <c r="E451" s="1271"/>
      <c r="F451" s="1271"/>
      <c r="G451" s="1870"/>
      <c r="H451" s="1501" t="str">
        <f t="shared" si="26"/>
        <v/>
      </c>
      <c r="I451" s="1235"/>
    </row>
    <row r="452" spans="1:9" ht="26.4">
      <c r="A452" s="1763"/>
      <c r="B452" s="1271"/>
      <c r="C452" s="1550" t="s">
        <v>775</v>
      </c>
      <c r="D452" s="1771" t="s">
        <v>776</v>
      </c>
      <c r="E452" s="1550"/>
      <c r="F452" s="1271"/>
      <c r="G452" s="1870"/>
      <c r="H452" s="1501" t="str">
        <f t="shared" si="26"/>
        <v/>
      </c>
      <c r="I452" s="1235"/>
    </row>
    <row r="453" spans="1:9">
      <c r="A453" s="1763"/>
      <c r="B453" s="1271"/>
      <c r="C453" s="1550"/>
      <c r="D453" s="1771"/>
      <c r="E453" s="1271"/>
      <c r="F453" s="1271"/>
      <c r="G453" s="1872"/>
      <c r="H453" s="1501" t="str">
        <f t="shared" si="26"/>
        <v/>
      </c>
      <c r="I453" s="510"/>
    </row>
    <row r="454" spans="1:9">
      <c r="A454" s="1763">
        <f t="shared" ref="A454" si="33">$A$4</f>
        <v>3</v>
      </c>
      <c r="B454" s="1271">
        <v>5.2</v>
      </c>
      <c r="C454" s="1550"/>
      <c r="D454" s="1771" t="s">
        <v>777</v>
      </c>
      <c r="E454" s="1550" t="s">
        <v>508</v>
      </c>
      <c r="F454" s="1961">
        <v>125</v>
      </c>
      <c r="G454" s="1872"/>
      <c r="H454" s="1501">
        <f t="shared" si="26"/>
        <v>0</v>
      </c>
      <c r="I454" s="510"/>
    </row>
    <row r="455" spans="1:9">
      <c r="A455" s="1763"/>
      <c r="B455" s="1271"/>
      <c r="C455" s="1550"/>
      <c r="D455" s="1771"/>
      <c r="E455" s="1271"/>
      <c r="F455" s="1271"/>
      <c r="G455" s="1872"/>
      <c r="H455" s="1501" t="str">
        <f t="shared" si="26"/>
        <v/>
      </c>
      <c r="I455" s="510"/>
    </row>
    <row r="456" spans="1:9">
      <c r="A456" s="1763">
        <f t="shared" ref="A456" si="34">$A$4</f>
        <v>3</v>
      </c>
      <c r="B456" s="1271">
        <v>5.3</v>
      </c>
      <c r="C456" s="1550"/>
      <c r="D456" s="1771" t="s">
        <v>778</v>
      </c>
      <c r="E456" s="1550" t="s">
        <v>508</v>
      </c>
      <c r="F456" s="1961">
        <v>50</v>
      </c>
      <c r="G456" s="1872"/>
      <c r="H456" s="1501">
        <f t="shared" si="26"/>
        <v>0</v>
      </c>
      <c r="I456" s="510"/>
    </row>
    <row r="457" spans="1:9">
      <c r="A457" s="1763"/>
      <c r="B457" s="1904"/>
      <c r="C457" s="1876"/>
      <c r="D457" s="1564"/>
      <c r="E457" s="1906"/>
      <c r="F457" s="1271"/>
      <c r="G457" s="1872"/>
      <c r="H457" s="1501" t="str">
        <f t="shared" si="26"/>
        <v/>
      </c>
      <c r="I457" s="510"/>
    </row>
    <row r="458" spans="1:9">
      <c r="A458" s="1763"/>
      <c r="B458" s="1271"/>
      <c r="C458" s="1550" t="s">
        <v>779</v>
      </c>
      <c r="D458" s="1773" t="s">
        <v>780</v>
      </c>
      <c r="E458" s="1776"/>
      <c r="F458" s="1271"/>
      <c r="G458" s="1872"/>
      <c r="H458" s="1501" t="str">
        <f t="shared" si="26"/>
        <v/>
      </c>
      <c r="I458" s="510"/>
    </row>
    <row r="459" spans="1:9">
      <c r="A459" s="1763"/>
      <c r="B459" s="1271"/>
      <c r="C459" s="1550"/>
      <c r="D459" s="1771"/>
      <c r="E459" s="1776"/>
      <c r="F459" s="1961"/>
      <c r="G459" s="1875"/>
      <c r="H459" s="1501" t="str">
        <f t="shared" si="26"/>
        <v/>
      </c>
      <c r="I459" s="1031"/>
    </row>
    <row r="460" spans="1:9">
      <c r="A460" s="1763">
        <f t="shared" ref="A460" si="35">$A$4</f>
        <v>3</v>
      </c>
      <c r="B460" s="1271">
        <v>5.4</v>
      </c>
      <c r="C460" s="1962" t="s">
        <v>781</v>
      </c>
      <c r="D460" s="1771" t="s">
        <v>634</v>
      </c>
      <c r="E460" s="1550" t="s">
        <v>508</v>
      </c>
      <c r="F460" s="1961">
        <v>35</v>
      </c>
      <c r="G460" s="1875"/>
      <c r="H460" s="1501">
        <f t="shared" si="26"/>
        <v>0</v>
      </c>
      <c r="I460" s="1031"/>
    </row>
    <row r="461" spans="1:9">
      <c r="A461" s="1763"/>
      <c r="B461" s="1271"/>
      <c r="C461" s="1550"/>
      <c r="D461" s="1771"/>
      <c r="E461" s="1550"/>
      <c r="F461" s="1961"/>
      <c r="G461" s="1875"/>
      <c r="H461" s="1501" t="str">
        <f t="shared" si="26"/>
        <v/>
      </c>
      <c r="I461" s="1031"/>
    </row>
    <row r="462" spans="1:9">
      <c r="A462" s="1763">
        <f t="shared" ref="A462" si="36">$A$4</f>
        <v>3</v>
      </c>
      <c r="B462" s="1271">
        <v>5.5</v>
      </c>
      <c r="C462" s="1962" t="s">
        <v>782</v>
      </c>
      <c r="D462" s="1771" t="s">
        <v>635</v>
      </c>
      <c r="E462" s="1550" t="s">
        <v>508</v>
      </c>
      <c r="F462" s="1961">
        <v>20</v>
      </c>
      <c r="G462" s="1875"/>
      <c r="H462" s="1501">
        <f t="shared" si="26"/>
        <v>0</v>
      </c>
      <c r="I462" s="1031"/>
    </row>
    <row r="463" spans="1:9">
      <c r="A463" s="1763"/>
      <c r="B463" s="1904"/>
      <c r="C463" s="1904"/>
      <c r="D463" s="1773"/>
      <c r="E463" s="1550"/>
      <c r="F463" s="1550"/>
      <c r="G463" s="1519"/>
      <c r="H463" s="1501" t="str">
        <f t="shared" si="26"/>
        <v/>
      </c>
      <c r="I463" s="483"/>
    </row>
    <row r="464" spans="1:9" s="374" customFormat="1" ht="26.4">
      <c r="A464" s="1886"/>
      <c r="B464" s="1765" t="s">
        <v>549</v>
      </c>
      <c r="C464" s="1766" t="s">
        <v>783</v>
      </c>
      <c r="D464" s="1963" t="s">
        <v>784</v>
      </c>
      <c r="E464" s="1963"/>
      <c r="F464" s="1964"/>
      <c r="G464" s="1960"/>
      <c r="H464" s="1501" t="str">
        <f t="shared" si="26"/>
        <v/>
      </c>
      <c r="I464" s="1036"/>
    </row>
    <row r="465" spans="1:9">
      <c r="A465" s="1763"/>
      <c r="B465" s="1551"/>
      <c r="C465" s="1550"/>
      <c r="D465" s="1771"/>
      <c r="E465" s="1550"/>
      <c r="F465" s="1965"/>
      <c r="G465" s="1872"/>
      <c r="H465" s="1501" t="str">
        <f t="shared" si="26"/>
        <v/>
      </c>
      <c r="I465" s="483"/>
    </row>
    <row r="466" spans="1:9">
      <c r="A466" s="1763"/>
      <c r="B466" s="1551"/>
      <c r="C466" s="1550"/>
      <c r="D466" s="1773" t="s">
        <v>785</v>
      </c>
      <c r="E466" s="1550"/>
      <c r="F466" s="1966"/>
      <c r="G466" s="1872"/>
      <c r="H466" s="1501" t="str">
        <f t="shared" si="26"/>
        <v/>
      </c>
      <c r="I466" s="483"/>
    </row>
    <row r="467" spans="1:9">
      <c r="A467" s="1763"/>
      <c r="B467" s="1551"/>
      <c r="C467" s="1550"/>
      <c r="D467" s="1771"/>
      <c r="E467" s="1550"/>
      <c r="F467" s="1966"/>
      <c r="G467" s="1872"/>
      <c r="H467" s="1501" t="str">
        <f t="shared" si="26"/>
        <v/>
      </c>
      <c r="I467" s="483"/>
    </row>
    <row r="468" spans="1:9">
      <c r="A468" s="1763"/>
      <c r="B468" s="1271"/>
      <c r="C468" s="1271" t="s">
        <v>302</v>
      </c>
      <c r="D468" s="1773" t="s">
        <v>786</v>
      </c>
      <c r="E468" s="1271"/>
      <c r="F468" s="1966"/>
      <c r="G468" s="1872"/>
      <c r="H468" s="1501" t="str">
        <f t="shared" si="26"/>
        <v/>
      </c>
      <c r="I468" s="483"/>
    </row>
    <row r="469" spans="1:9">
      <c r="A469" s="1763"/>
      <c r="B469" s="1271"/>
      <c r="C469" s="1271"/>
      <c r="D469" s="1701"/>
      <c r="E469" s="1271"/>
      <c r="F469" s="1966"/>
      <c r="G469" s="1872"/>
      <c r="H469" s="1501" t="str">
        <f t="shared" si="26"/>
        <v/>
      </c>
      <c r="I469" s="483"/>
    </row>
    <row r="470" spans="1:9">
      <c r="A470" s="1763"/>
      <c r="B470" s="1271"/>
      <c r="C470" s="1271" t="s">
        <v>775</v>
      </c>
      <c r="D470" s="1963" t="s">
        <v>787</v>
      </c>
      <c r="E470" s="1271"/>
      <c r="F470" s="1966"/>
      <c r="G470" s="1872"/>
      <c r="H470" s="1501" t="str">
        <f t="shared" si="26"/>
        <v/>
      </c>
      <c r="I470" s="483"/>
    </row>
    <row r="471" spans="1:9">
      <c r="A471" s="1763"/>
      <c r="B471" s="1271"/>
      <c r="C471" s="1271"/>
      <c r="D471" s="1701"/>
      <c r="E471" s="1271"/>
      <c r="F471" s="1966"/>
      <c r="G471" s="1872"/>
      <c r="H471" s="1501" t="str">
        <f t="shared" si="26"/>
        <v/>
      </c>
      <c r="I471" s="483"/>
    </row>
    <row r="472" spans="1:9" ht="26.4">
      <c r="A472" s="1763">
        <f t="shared" ref="A472" si="37">$A$4</f>
        <v>3</v>
      </c>
      <c r="B472" s="1550">
        <v>5.6</v>
      </c>
      <c r="C472" s="1271" t="s">
        <v>788</v>
      </c>
      <c r="D472" s="1771" t="s">
        <v>789</v>
      </c>
      <c r="E472" s="1550" t="s">
        <v>508</v>
      </c>
      <c r="F472" s="1967">
        <v>151</v>
      </c>
      <c r="G472" s="1861"/>
      <c r="H472" s="1501">
        <f t="shared" si="26"/>
        <v>0</v>
      </c>
      <c r="I472" s="483"/>
    </row>
    <row r="473" spans="1:9">
      <c r="A473" s="1763"/>
      <c r="B473" s="1551"/>
      <c r="C473" s="1550"/>
      <c r="D473" s="1773"/>
      <c r="E473" s="1550"/>
      <c r="F473" s="1967"/>
      <c r="G473" s="1872"/>
      <c r="H473" s="1501" t="str">
        <f t="shared" si="26"/>
        <v/>
      </c>
      <c r="I473" s="483"/>
    </row>
    <row r="474" spans="1:9" s="374" customFormat="1" ht="26.4">
      <c r="A474" s="1886"/>
      <c r="B474" s="1888" t="s">
        <v>558</v>
      </c>
      <c r="C474" s="1766" t="s">
        <v>790</v>
      </c>
      <c r="D474" s="1773" t="s">
        <v>791</v>
      </c>
      <c r="E474" s="1888"/>
      <c r="F474" s="1911"/>
      <c r="G474" s="1960"/>
      <c r="H474" s="1501" t="str">
        <f t="shared" si="26"/>
        <v/>
      </c>
      <c r="I474" s="1036"/>
    </row>
    <row r="475" spans="1:9">
      <c r="A475" s="1763"/>
      <c r="B475" s="1271"/>
      <c r="C475" s="1550"/>
      <c r="D475" s="1773"/>
      <c r="E475" s="1271"/>
      <c r="F475" s="1904"/>
      <c r="G475" s="1872"/>
      <c r="H475" s="1501" t="str">
        <f t="shared" si="26"/>
        <v/>
      </c>
      <c r="I475" s="483"/>
    </row>
    <row r="476" spans="1:9" ht="26.4">
      <c r="A476" s="1763"/>
      <c r="B476" s="1271"/>
      <c r="C476" s="1550" t="s">
        <v>302</v>
      </c>
      <c r="D476" s="1673" t="s">
        <v>792</v>
      </c>
      <c r="E476" s="1271"/>
      <c r="F476" s="1904"/>
      <c r="G476" s="1872"/>
      <c r="H476" s="1501" t="str">
        <f t="shared" si="26"/>
        <v/>
      </c>
      <c r="I476" s="483"/>
    </row>
    <row r="477" spans="1:9">
      <c r="A477" s="1763"/>
      <c r="B477" s="1271"/>
      <c r="C477" s="1271"/>
      <c r="D477" s="1701"/>
      <c r="E477" s="1271"/>
      <c r="F477" s="1904"/>
      <c r="G477" s="1872"/>
      <c r="H477" s="1501" t="str">
        <f t="shared" si="26"/>
        <v/>
      </c>
      <c r="I477" s="483"/>
    </row>
    <row r="478" spans="1:9" ht="26.4">
      <c r="A478" s="1763">
        <f t="shared" ref="A478" si="38">$A$4</f>
        <v>3</v>
      </c>
      <c r="B478" s="1271">
        <v>5.7</v>
      </c>
      <c r="C478" s="1271"/>
      <c r="D478" s="1968" t="s">
        <v>793</v>
      </c>
      <c r="E478" s="1550" t="s">
        <v>508</v>
      </c>
      <c r="F478" s="1904">
        <v>151</v>
      </c>
      <c r="G478" s="1515"/>
      <c r="H478" s="1501">
        <f t="shared" si="26"/>
        <v>0</v>
      </c>
      <c r="I478" s="421"/>
    </row>
    <row r="479" spans="1:9">
      <c r="A479" s="1763"/>
      <c r="B479" s="1271"/>
      <c r="C479" s="1271"/>
      <c r="D479" s="1968"/>
      <c r="E479" s="1550"/>
      <c r="F479" s="1904"/>
      <c r="G479" s="1515"/>
      <c r="H479" s="1501" t="str">
        <f t="shared" si="26"/>
        <v/>
      </c>
      <c r="I479" s="421"/>
    </row>
    <row r="480" spans="1:9" s="374" customFormat="1" ht="26.4">
      <c r="A480" s="1886"/>
      <c r="B480" s="1888" t="s">
        <v>562</v>
      </c>
      <c r="C480" s="1766" t="s">
        <v>794</v>
      </c>
      <c r="D480" s="1963" t="s">
        <v>795</v>
      </c>
      <c r="E480" s="1888"/>
      <c r="F480" s="1911"/>
      <c r="G480" s="1960"/>
      <c r="H480" s="1501" t="str">
        <f t="shared" si="26"/>
        <v/>
      </c>
      <c r="I480" s="1036"/>
    </row>
    <row r="481" spans="1:9" s="374" customFormat="1">
      <c r="A481" s="1886"/>
      <c r="B481" s="1271"/>
      <c r="C481" s="1550"/>
      <c r="D481" s="1701"/>
      <c r="E481" s="1271"/>
      <c r="F481" s="1904"/>
      <c r="G481" s="1872"/>
      <c r="H481" s="1501" t="str">
        <f t="shared" si="26"/>
        <v/>
      </c>
      <c r="I481" s="483"/>
    </row>
    <row r="482" spans="1:9" ht="26.4">
      <c r="A482" s="1763"/>
      <c r="B482" s="1271"/>
      <c r="C482" s="1783"/>
      <c r="D482" s="1773" t="s">
        <v>796</v>
      </c>
      <c r="E482" s="1271"/>
      <c r="F482" s="1904"/>
      <c r="G482" s="1872"/>
      <c r="H482" s="1501" t="str">
        <f t="shared" si="26"/>
        <v/>
      </c>
      <c r="I482" s="483"/>
    </row>
    <row r="483" spans="1:9">
      <c r="A483" s="1763"/>
      <c r="B483" s="1271"/>
      <c r="C483" s="1271"/>
      <c r="D483" s="1702"/>
      <c r="E483" s="1271"/>
      <c r="F483" s="1969"/>
      <c r="G483" s="1519"/>
      <c r="H483" s="1501" t="str">
        <f t="shared" si="26"/>
        <v/>
      </c>
      <c r="I483" s="483"/>
    </row>
    <row r="484" spans="1:9" ht="26.4">
      <c r="A484" s="1763">
        <f t="shared" ref="A484" si="39">$A$4</f>
        <v>3</v>
      </c>
      <c r="B484" s="1271">
        <v>5.8</v>
      </c>
      <c r="C484" s="1783" t="s">
        <v>775</v>
      </c>
      <c r="D484" s="1771" t="s">
        <v>797</v>
      </c>
      <c r="E484" s="1550" t="s">
        <v>508</v>
      </c>
      <c r="F484" s="1904">
        <v>151</v>
      </c>
      <c r="G484" s="1872"/>
      <c r="H484" s="1501">
        <f t="shared" si="26"/>
        <v>0</v>
      </c>
      <c r="I484" s="483"/>
    </row>
    <row r="485" spans="1:9">
      <c r="A485" s="1763"/>
      <c r="B485" s="1271"/>
      <c r="C485" s="1271"/>
      <c r="D485" s="1702"/>
      <c r="E485" s="1271"/>
      <c r="F485" s="1969"/>
      <c r="G485" s="1519"/>
      <c r="H485" s="1501" t="str">
        <f t="shared" si="26"/>
        <v/>
      </c>
      <c r="I485" s="483"/>
    </row>
    <row r="486" spans="1:9" ht="26.4">
      <c r="A486" s="1763"/>
      <c r="B486" s="1271"/>
      <c r="C486" s="1783" t="s">
        <v>798</v>
      </c>
      <c r="D486" s="1773" t="s">
        <v>799</v>
      </c>
      <c r="E486" s="1271"/>
      <c r="F486" s="1904"/>
      <c r="G486" s="1872"/>
      <c r="H486" s="1501" t="str">
        <f t="shared" si="26"/>
        <v/>
      </c>
      <c r="I486" s="483"/>
    </row>
    <row r="487" spans="1:9">
      <c r="A487" s="1763"/>
      <c r="B487" s="1970"/>
      <c r="C487" s="1971"/>
      <c r="D487" s="1972"/>
      <c r="E487" s="1970"/>
      <c r="F487" s="1970"/>
      <c r="G487" s="1973"/>
      <c r="H487" s="1501" t="str">
        <f t="shared" si="26"/>
        <v/>
      </c>
      <c r="I487" s="483"/>
    </row>
    <row r="488" spans="1:9">
      <c r="A488" s="1763">
        <f t="shared" ref="A488" si="40">$A$4</f>
        <v>3</v>
      </c>
      <c r="B488" s="1974">
        <v>5.9</v>
      </c>
      <c r="C488" s="1818" t="s">
        <v>800</v>
      </c>
      <c r="D488" s="1828" t="s">
        <v>801</v>
      </c>
      <c r="E488" s="1261" t="s">
        <v>508</v>
      </c>
      <c r="F488" s="1974">
        <v>151</v>
      </c>
      <c r="G488" s="1875"/>
      <c r="H488" s="1501">
        <f t="shared" si="26"/>
        <v>0</v>
      </c>
      <c r="I488" s="480"/>
    </row>
    <row r="489" spans="1:9">
      <c r="A489" s="1763"/>
      <c r="B489" s="1974"/>
      <c r="C489" s="1818"/>
      <c r="D489" s="1828"/>
      <c r="E489" s="1261"/>
      <c r="F489" s="1974"/>
      <c r="G489" s="1875"/>
      <c r="H489" s="1501" t="str">
        <f t="shared" si="26"/>
        <v/>
      </c>
      <c r="I489" s="480"/>
    </row>
    <row r="490" spans="1:9">
      <c r="A490" s="1763"/>
      <c r="B490" s="1974"/>
      <c r="C490" s="1818"/>
      <c r="D490" s="1828"/>
      <c r="E490" s="1261"/>
      <c r="F490" s="1974"/>
      <c r="G490" s="1875"/>
      <c r="H490" s="1854"/>
      <c r="I490" s="480"/>
    </row>
    <row r="491" spans="1:9">
      <c r="A491" s="1763"/>
      <c r="B491" s="1974"/>
      <c r="C491" s="1818"/>
      <c r="D491" s="1828"/>
      <c r="E491" s="1261"/>
      <c r="F491" s="1974"/>
      <c r="G491" s="1875"/>
      <c r="H491" s="1854"/>
      <c r="I491" s="480"/>
    </row>
    <row r="492" spans="1:9" s="1247" customFormat="1">
      <c r="A492" s="1763"/>
      <c r="B492" s="1271"/>
      <c r="C492" s="1271"/>
      <c r="D492" s="1968"/>
      <c r="E492" s="1550"/>
      <c r="F492" s="1904"/>
      <c r="G492" s="1515"/>
      <c r="H492" s="1614"/>
      <c r="I492" s="421"/>
    </row>
    <row r="493" spans="1:9" s="357" customFormat="1">
      <c r="A493" s="1975"/>
      <c r="B493" s="788"/>
      <c r="C493" s="788"/>
      <c r="D493" s="1267"/>
      <c r="E493" s="788"/>
      <c r="F493" s="1268"/>
      <c r="G493" s="1937"/>
      <c r="H493" s="1938"/>
      <c r="I493" s="1037"/>
    </row>
    <row r="494" spans="1:9" s="357" customFormat="1">
      <c r="A494" s="798"/>
      <c r="B494" s="316"/>
      <c r="C494" s="316"/>
      <c r="D494" s="458" t="s">
        <v>289</v>
      </c>
      <c r="E494" s="316"/>
      <c r="F494" s="317"/>
      <c r="G494" s="1180"/>
      <c r="H494" s="459">
        <f>SUM(H428:H492)</f>
        <v>0</v>
      </c>
      <c r="I494" s="1038"/>
    </row>
    <row r="495" spans="1:9" s="357" customFormat="1">
      <c r="A495" s="1763"/>
      <c r="B495" s="1788"/>
      <c r="C495" s="1788"/>
      <c r="D495" s="1789" t="s">
        <v>290</v>
      </c>
      <c r="E495" s="1788"/>
      <c r="F495" s="1939"/>
      <c r="G495" s="1940"/>
      <c r="H495" s="1852">
        <f>H494</f>
        <v>0</v>
      </c>
      <c r="I495" s="483"/>
    </row>
    <row r="496" spans="1:9" s="357" customFormat="1">
      <c r="A496" s="1763"/>
      <c r="B496" s="1271"/>
      <c r="C496" s="1271"/>
      <c r="D496" s="1702"/>
      <c r="E496" s="1271"/>
      <c r="F496" s="1969"/>
      <c r="G496" s="1519"/>
      <c r="H496" s="1871"/>
      <c r="I496" s="483"/>
    </row>
    <row r="497" spans="1:9" s="357" customFormat="1">
      <c r="A497" s="1763"/>
      <c r="B497" s="1974"/>
      <c r="C497" s="1818" t="s">
        <v>802</v>
      </c>
      <c r="D497" s="1827" t="s">
        <v>803</v>
      </c>
      <c r="E497" s="1261"/>
      <c r="F497" s="1961"/>
      <c r="G497" s="1513"/>
      <c r="H497" s="1854"/>
      <c r="I497" s="480"/>
    </row>
    <row r="498" spans="1:9" s="1247" customFormat="1">
      <c r="A498" s="1763"/>
      <c r="B498" s="1974"/>
      <c r="C498" s="1818"/>
      <c r="D498" s="1828"/>
      <c r="E498" s="1261"/>
      <c r="F498" s="1961"/>
      <c r="G498" s="1513"/>
      <c r="H498" s="1854"/>
      <c r="I498" s="480"/>
    </row>
    <row r="499" spans="1:9" s="374" customFormat="1">
      <c r="A499" s="1763">
        <f t="shared" ref="A499" si="41">$A$4</f>
        <v>3</v>
      </c>
      <c r="B499" s="1974">
        <v>5.0999999999999996</v>
      </c>
      <c r="C499" s="1818" t="s">
        <v>804</v>
      </c>
      <c r="D499" s="1828" t="s">
        <v>805</v>
      </c>
      <c r="E499" s="1261" t="s">
        <v>649</v>
      </c>
      <c r="F499" s="1961">
        <v>5</v>
      </c>
      <c r="G499" s="1513"/>
      <c r="H499" s="1501">
        <f t="shared" ref="H499:H562" si="42">IF(E499="","",ROUND(F499*G499,2))</f>
        <v>0</v>
      </c>
      <c r="I499" s="480"/>
    </row>
    <row r="500" spans="1:9">
      <c r="A500" s="1763"/>
      <c r="B500" s="1970"/>
      <c r="C500" s="1971"/>
      <c r="D500" s="1976"/>
      <c r="E500" s="1842"/>
      <c r="F500" s="1247"/>
      <c r="G500" s="1959"/>
      <c r="H500" s="1501" t="str">
        <f t="shared" si="42"/>
        <v/>
      </c>
      <c r="I500" s="483"/>
    </row>
    <row r="501" spans="1:9" ht="26.4">
      <c r="A501" s="1763"/>
      <c r="B501" s="1911" t="s">
        <v>580</v>
      </c>
      <c r="C501" s="1792" t="s">
        <v>581</v>
      </c>
      <c r="D501" s="1963" t="s">
        <v>636</v>
      </c>
      <c r="E501" s="1977"/>
      <c r="F501" s="1888"/>
      <c r="G501" s="1929"/>
      <c r="H501" s="1501" t="str">
        <f t="shared" si="42"/>
        <v/>
      </c>
      <c r="I501" s="1036"/>
    </row>
    <row r="502" spans="1:9">
      <c r="A502" s="1763"/>
      <c r="B502" s="1904"/>
      <c r="C502" s="1271"/>
      <c r="D502" s="1701"/>
      <c r="E502" s="1550"/>
      <c r="F502" s="1271"/>
      <c r="G502" s="1955"/>
      <c r="H502" s="1501" t="str">
        <f t="shared" si="42"/>
        <v/>
      </c>
      <c r="I502" s="483"/>
    </row>
    <row r="503" spans="1:9">
      <c r="A503" s="1763"/>
      <c r="B503" s="1904"/>
      <c r="C503" s="1271">
        <v>8.1999999999999993</v>
      </c>
      <c r="D503" s="1963" t="s">
        <v>637</v>
      </c>
      <c r="E503" s="1550"/>
      <c r="F503" s="1271"/>
      <c r="G503" s="1955"/>
      <c r="H503" s="1501" t="str">
        <f t="shared" si="42"/>
        <v/>
      </c>
      <c r="I503" s="483"/>
    </row>
    <row r="504" spans="1:9">
      <c r="A504" s="1763"/>
      <c r="B504" s="1904"/>
      <c r="C504" s="1271"/>
      <c r="D504" s="1701"/>
      <c r="E504" s="1550"/>
      <c r="F504" s="1271"/>
      <c r="G504" s="1955"/>
      <c r="H504" s="1501" t="str">
        <f t="shared" si="42"/>
        <v/>
      </c>
      <c r="I504" s="483"/>
    </row>
    <row r="505" spans="1:9">
      <c r="A505" s="1763"/>
      <c r="B505" s="1904"/>
      <c r="C505" s="1271" t="s">
        <v>546</v>
      </c>
      <c r="D505" s="1963" t="s">
        <v>806</v>
      </c>
      <c r="E505" s="1550"/>
      <c r="F505" s="1271"/>
      <c r="G505" s="1955"/>
      <c r="H505" s="1501" t="str">
        <f t="shared" si="42"/>
        <v/>
      </c>
      <c r="I505" s="483"/>
    </row>
    <row r="506" spans="1:9">
      <c r="A506" s="1763"/>
      <c r="B506" s="1904"/>
      <c r="C506" s="1271"/>
      <c r="D506" s="1701"/>
      <c r="E506" s="1550"/>
      <c r="F506" s="1271"/>
      <c r="G506" s="1955"/>
      <c r="H506" s="1501" t="str">
        <f t="shared" si="42"/>
        <v/>
      </c>
      <c r="I506" s="483"/>
    </row>
    <row r="507" spans="1:9">
      <c r="A507" s="1763"/>
      <c r="B507" s="1904"/>
      <c r="C507" s="1271"/>
      <c r="D507" s="1963" t="s">
        <v>639</v>
      </c>
      <c r="E507" s="1550"/>
      <c r="F507" s="1271"/>
      <c r="G507" s="1955"/>
      <c r="H507" s="1501" t="str">
        <f t="shared" si="42"/>
        <v/>
      </c>
      <c r="I507" s="483"/>
    </row>
    <row r="508" spans="1:9">
      <c r="A508" s="1763"/>
      <c r="B508" s="1904"/>
      <c r="C508" s="1550"/>
      <c r="D508" s="1806"/>
      <c r="E508" s="1550"/>
      <c r="F508" s="1271"/>
      <c r="G508" s="1955"/>
      <c r="H508" s="1501" t="str">
        <f t="shared" si="42"/>
        <v/>
      </c>
      <c r="I508" s="483"/>
    </row>
    <row r="509" spans="1:9" ht="15.6">
      <c r="A509" s="1763">
        <f t="shared" ref="A509" si="43">$A$4</f>
        <v>3</v>
      </c>
      <c r="B509" s="1904">
        <v>5.1100000000000003</v>
      </c>
      <c r="C509" s="1550"/>
      <c r="D509" s="1809" t="s">
        <v>807</v>
      </c>
      <c r="E509" s="1550" t="s">
        <v>565</v>
      </c>
      <c r="F509" s="1271">
        <v>115</v>
      </c>
      <c r="G509" s="1955"/>
      <c r="H509" s="1501">
        <f t="shared" si="42"/>
        <v>0</v>
      </c>
      <c r="I509" s="483"/>
    </row>
    <row r="510" spans="1:9">
      <c r="A510" s="1763"/>
      <c r="B510" s="1904"/>
      <c r="C510" s="1550"/>
      <c r="D510" s="1809"/>
      <c r="E510" s="1550"/>
      <c r="F510" s="1271"/>
      <c r="G510" s="1955"/>
      <c r="H510" s="1501" t="str">
        <f t="shared" si="42"/>
        <v/>
      </c>
      <c r="I510" s="483"/>
    </row>
    <row r="511" spans="1:9">
      <c r="A511" s="1763"/>
      <c r="B511" s="1904"/>
      <c r="C511" s="1550" t="s">
        <v>590</v>
      </c>
      <c r="D511" s="1806" t="s">
        <v>638</v>
      </c>
      <c r="E511" s="1550"/>
      <c r="F511" s="1271"/>
      <c r="G511" s="1955"/>
      <c r="H511" s="1501" t="str">
        <f t="shared" si="42"/>
        <v/>
      </c>
      <c r="I511" s="483"/>
    </row>
    <row r="512" spans="1:9">
      <c r="A512" s="1763"/>
      <c r="B512" s="1904"/>
      <c r="C512" s="1550"/>
      <c r="D512" s="1809"/>
      <c r="E512" s="1550"/>
      <c r="F512" s="1271"/>
      <c r="G512" s="1955"/>
      <c r="H512" s="1501" t="str">
        <f t="shared" si="42"/>
        <v/>
      </c>
      <c r="I512" s="483"/>
    </row>
    <row r="513" spans="1:9">
      <c r="A513" s="1763"/>
      <c r="B513" s="1904"/>
      <c r="C513" s="1550"/>
      <c r="D513" s="1806" t="s">
        <v>639</v>
      </c>
      <c r="E513" s="1550"/>
      <c r="F513" s="1271"/>
      <c r="G513" s="1955"/>
      <c r="H513" s="1501" t="str">
        <f t="shared" si="42"/>
        <v/>
      </c>
      <c r="I513" s="483"/>
    </row>
    <row r="514" spans="1:9">
      <c r="A514" s="1763"/>
      <c r="B514" s="1904"/>
      <c r="C514" s="1550"/>
      <c r="D514" s="1806"/>
      <c r="E514" s="1550"/>
      <c r="F514" s="1271"/>
      <c r="G514" s="1955"/>
      <c r="H514" s="1501" t="str">
        <f t="shared" si="42"/>
        <v/>
      </c>
      <c r="I514" s="483"/>
    </row>
    <row r="515" spans="1:9" ht="15.6">
      <c r="A515" s="1763">
        <f t="shared" ref="A515" si="44">$A$4</f>
        <v>3</v>
      </c>
      <c r="B515" s="1904">
        <v>5.12</v>
      </c>
      <c r="C515" s="1550"/>
      <c r="D515" s="1809" t="s">
        <v>808</v>
      </c>
      <c r="E515" s="1550" t="s">
        <v>565</v>
      </c>
      <c r="F515" s="1271">
        <v>4</v>
      </c>
      <c r="G515" s="1955"/>
      <c r="H515" s="1501">
        <f t="shared" si="42"/>
        <v>0</v>
      </c>
      <c r="I515" s="483"/>
    </row>
    <row r="516" spans="1:9">
      <c r="A516" s="1763"/>
      <c r="B516" s="1904"/>
      <c r="C516" s="1550"/>
      <c r="D516" s="1806"/>
      <c r="E516" s="1550"/>
      <c r="F516" s="1271"/>
      <c r="G516" s="1955"/>
      <c r="H516" s="1501" t="str">
        <f t="shared" si="42"/>
        <v/>
      </c>
      <c r="I516" s="483"/>
    </row>
    <row r="517" spans="1:9" ht="15.6">
      <c r="A517" s="1763">
        <f t="shared" ref="A517" si="45">$A$4</f>
        <v>3</v>
      </c>
      <c r="B517" s="1904">
        <v>5.13</v>
      </c>
      <c r="C517" s="1550"/>
      <c r="D517" s="1809" t="s">
        <v>809</v>
      </c>
      <c r="E517" s="1550" t="s">
        <v>565</v>
      </c>
      <c r="F517" s="1271">
        <v>4</v>
      </c>
      <c r="G517" s="1955"/>
      <c r="H517" s="1501">
        <f t="shared" si="42"/>
        <v>0</v>
      </c>
      <c r="I517" s="483"/>
    </row>
    <row r="518" spans="1:9">
      <c r="A518" s="1763"/>
      <c r="B518" s="1904"/>
      <c r="C518" s="1550"/>
      <c r="D518" s="1809"/>
      <c r="E518" s="1550"/>
      <c r="F518" s="1271"/>
      <c r="G518" s="1955"/>
      <c r="H518" s="1501" t="str">
        <f t="shared" si="42"/>
        <v/>
      </c>
      <c r="I518" s="483"/>
    </row>
    <row r="519" spans="1:9" ht="15.6">
      <c r="A519" s="1763">
        <f t="shared" ref="A519" si="46">$A$4</f>
        <v>3</v>
      </c>
      <c r="B519" s="1904">
        <v>5.14</v>
      </c>
      <c r="C519" s="1550"/>
      <c r="D519" s="1978" t="s">
        <v>810</v>
      </c>
      <c r="E519" s="1550" t="s">
        <v>565</v>
      </c>
      <c r="F519" s="1271">
        <v>3</v>
      </c>
      <c r="G519" s="1955"/>
      <c r="H519" s="1501">
        <f t="shared" si="42"/>
        <v>0</v>
      </c>
      <c r="I519" s="483"/>
    </row>
    <row r="520" spans="1:9">
      <c r="A520" s="1763"/>
      <c r="B520" s="1904"/>
      <c r="C520" s="1550"/>
      <c r="D520" s="1978"/>
      <c r="E520" s="1550"/>
      <c r="F520" s="1271"/>
      <c r="G520" s="1955"/>
      <c r="H520" s="1501" t="str">
        <f t="shared" si="42"/>
        <v/>
      </c>
      <c r="I520" s="483"/>
    </row>
    <row r="521" spans="1:9" ht="15.6">
      <c r="A521" s="1763">
        <f t="shared" ref="A521" si="47">$A$4</f>
        <v>3</v>
      </c>
      <c r="B521" s="1904">
        <v>5.15</v>
      </c>
      <c r="C521" s="1550"/>
      <c r="D521" s="1978" t="s">
        <v>811</v>
      </c>
      <c r="E521" s="1550" t="s">
        <v>565</v>
      </c>
      <c r="F521" s="1271">
        <v>2</v>
      </c>
      <c r="G521" s="1519"/>
      <c r="H521" s="1501">
        <f t="shared" si="42"/>
        <v>0</v>
      </c>
      <c r="I521" s="483"/>
    </row>
    <row r="522" spans="1:9">
      <c r="A522" s="1763"/>
      <c r="B522" s="1904"/>
      <c r="C522" s="1550"/>
      <c r="D522" s="1809"/>
      <c r="E522" s="1550"/>
      <c r="F522" s="1271"/>
      <c r="G522" s="1519"/>
      <c r="H522" s="1501" t="str">
        <f t="shared" si="42"/>
        <v/>
      </c>
      <c r="I522" s="483"/>
    </row>
    <row r="523" spans="1:9" s="1269" customFormat="1">
      <c r="A523" s="1763"/>
      <c r="B523" s="1904"/>
      <c r="C523" s="1550"/>
      <c r="D523" s="1773" t="s">
        <v>812</v>
      </c>
      <c r="E523" s="1550"/>
      <c r="F523" s="1271"/>
      <c r="G523" s="1955"/>
      <c r="H523" s="1501" t="str">
        <f t="shared" si="42"/>
        <v/>
      </c>
      <c r="I523" s="483"/>
    </row>
    <row r="524" spans="1:9" s="1269" customFormat="1">
      <c r="A524" s="1763"/>
      <c r="B524" s="1904"/>
      <c r="C524" s="1550"/>
      <c r="D524" s="1771"/>
      <c r="E524" s="1550"/>
      <c r="F524" s="1271"/>
      <c r="G524" s="1955"/>
      <c r="H524" s="1501" t="str">
        <f t="shared" si="42"/>
        <v/>
      </c>
      <c r="I524" s="483"/>
    </row>
    <row r="525" spans="1:9" s="1269" customFormat="1" ht="15.6">
      <c r="A525" s="1763"/>
      <c r="B525" s="1904">
        <v>5.16</v>
      </c>
      <c r="C525" s="1550"/>
      <c r="D525" s="1771" t="s">
        <v>813</v>
      </c>
      <c r="E525" s="1550" t="s">
        <v>565</v>
      </c>
      <c r="F525" s="1271">
        <v>4</v>
      </c>
      <c r="G525" s="1955"/>
      <c r="H525" s="1501">
        <f t="shared" si="42"/>
        <v>0</v>
      </c>
      <c r="I525" s="483"/>
    </row>
    <row r="526" spans="1:9" s="1269" customFormat="1">
      <c r="A526" s="1763"/>
      <c r="B526" s="1904"/>
      <c r="C526" s="1550"/>
      <c r="D526" s="1809"/>
      <c r="E526" s="1550"/>
      <c r="F526" s="1271"/>
      <c r="G526" s="1955"/>
      <c r="H526" s="1501" t="str">
        <f t="shared" si="42"/>
        <v/>
      </c>
      <c r="I526" s="483"/>
    </row>
    <row r="527" spans="1:9">
      <c r="A527" s="1763"/>
      <c r="B527" s="1904"/>
      <c r="C527" s="1550"/>
      <c r="D527" s="1773" t="s">
        <v>814</v>
      </c>
      <c r="E527" s="1550"/>
      <c r="F527" s="1271"/>
      <c r="G527" s="1955"/>
      <c r="H527" s="1501" t="str">
        <f t="shared" si="42"/>
        <v/>
      </c>
      <c r="I527" s="483"/>
    </row>
    <row r="528" spans="1:9">
      <c r="A528" s="1763"/>
      <c r="B528" s="1904"/>
      <c r="C528" s="1550"/>
      <c r="D528" s="1771"/>
      <c r="E528" s="1550"/>
      <c r="F528" s="1271"/>
      <c r="G528" s="1955"/>
      <c r="H528" s="1501" t="str">
        <f t="shared" si="42"/>
        <v/>
      </c>
      <c r="I528" s="483"/>
    </row>
    <row r="529" spans="1:9" ht="15.6">
      <c r="A529" s="1763">
        <f t="shared" ref="A529" si="48">$A$4</f>
        <v>3</v>
      </c>
      <c r="B529" s="1904">
        <v>5.17</v>
      </c>
      <c r="C529" s="1550"/>
      <c r="D529" s="1771" t="s">
        <v>815</v>
      </c>
      <c r="E529" s="1550" t="s">
        <v>565</v>
      </c>
      <c r="F529" s="1271">
        <v>4</v>
      </c>
      <c r="G529" s="1955"/>
      <c r="H529" s="1501">
        <f t="shared" si="42"/>
        <v>0</v>
      </c>
      <c r="I529" s="483"/>
    </row>
    <row r="530" spans="1:9">
      <c r="A530" s="1763"/>
      <c r="B530" s="1904"/>
      <c r="C530" s="1550"/>
      <c r="D530" s="1809"/>
      <c r="E530" s="1550"/>
      <c r="F530" s="1271"/>
      <c r="G530" s="1955"/>
      <c r="H530" s="1501" t="str">
        <f t="shared" si="42"/>
        <v/>
      </c>
      <c r="I530" s="483"/>
    </row>
    <row r="531" spans="1:9">
      <c r="A531" s="1763"/>
      <c r="B531" s="1904"/>
      <c r="C531" s="1550">
        <v>8.3000000000000007</v>
      </c>
      <c r="D531" s="1806" t="s">
        <v>645</v>
      </c>
      <c r="E531" s="1550"/>
      <c r="F531" s="1271"/>
      <c r="G531" s="1955"/>
      <c r="H531" s="1501" t="str">
        <f t="shared" si="42"/>
        <v/>
      </c>
      <c r="I531" s="483"/>
    </row>
    <row r="532" spans="1:9">
      <c r="A532" s="1763"/>
      <c r="B532" s="1904"/>
      <c r="C532" s="1550"/>
      <c r="D532" s="1806"/>
      <c r="E532" s="1550"/>
      <c r="F532" s="1271"/>
      <c r="G532" s="1955"/>
      <c r="H532" s="1501" t="str">
        <f t="shared" si="42"/>
        <v/>
      </c>
      <c r="I532" s="483"/>
    </row>
    <row r="533" spans="1:9">
      <c r="A533" s="1763"/>
      <c r="B533" s="1904"/>
      <c r="C533" s="1550" t="s">
        <v>226</v>
      </c>
      <c r="D533" s="1773" t="s">
        <v>646</v>
      </c>
      <c r="E533" s="1550"/>
      <c r="F533" s="1271"/>
      <c r="G533" s="1955"/>
      <c r="H533" s="1501" t="str">
        <f t="shared" si="42"/>
        <v/>
      </c>
      <c r="I533" s="483"/>
    </row>
    <row r="534" spans="1:9">
      <c r="A534" s="1763"/>
      <c r="B534" s="1904"/>
      <c r="C534" s="1550"/>
      <c r="D534" s="1771"/>
      <c r="E534" s="1550"/>
      <c r="F534" s="1271"/>
      <c r="G534" s="1955"/>
      <c r="H534" s="1501" t="str">
        <f t="shared" si="42"/>
        <v/>
      </c>
      <c r="I534" s="483"/>
    </row>
    <row r="535" spans="1:9">
      <c r="A535" s="1763">
        <f t="shared" ref="A535" si="49">$A$4</f>
        <v>3</v>
      </c>
      <c r="B535" s="1904">
        <v>5.18</v>
      </c>
      <c r="C535" s="1550" t="s">
        <v>647</v>
      </c>
      <c r="D535" s="1771" t="s">
        <v>816</v>
      </c>
      <c r="E535" s="1550" t="s">
        <v>649</v>
      </c>
      <c r="F535" s="1271">
        <v>4.4000000000000004</v>
      </c>
      <c r="G535" s="1955"/>
      <c r="H535" s="1501">
        <f t="shared" si="42"/>
        <v>0</v>
      </c>
      <c r="I535" s="483"/>
    </row>
    <row r="536" spans="1:9">
      <c r="A536" s="1763"/>
      <c r="B536" s="1904"/>
      <c r="C536" s="1550"/>
      <c r="D536" s="1771"/>
      <c r="E536" s="1550"/>
      <c r="F536" s="1271"/>
      <c r="G536" s="1955"/>
      <c r="H536" s="1501" t="str">
        <f t="shared" si="42"/>
        <v/>
      </c>
      <c r="I536" s="483"/>
    </row>
    <row r="537" spans="1:9">
      <c r="A537" s="1763"/>
      <c r="B537" s="1261"/>
      <c r="C537" s="1830" t="s">
        <v>226</v>
      </c>
      <c r="D537" s="1831" t="s">
        <v>650</v>
      </c>
      <c r="E537" s="1832"/>
      <c r="F537" s="1270"/>
      <c r="G537" s="1979"/>
      <c r="H537" s="1501" t="str">
        <f t="shared" si="42"/>
        <v/>
      </c>
      <c r="I537" s="1241"/>
    </row>
    <row r="538" spans="1:9">
      <c r="A538" s="1763"/>
      <c r="B538" s="1261"/>
      <c r="C538" s="1830"/>
      <c r="D538" s="1833"/>
      <c r="E538" s="1832"/>
      <c r="F538" s="1270"/>
      <c r="G538" s="1979"/>
      <c r="H538" s="1501" t="str">
        <f t="shared" si="42"/>
        <v/>
      </c>
      <c r="I538" s="1241"/>
    </row>
    <row r="539" spans="1:9">
      <c r="A539" s="1763">
        <f t="shared" ref="A539" si="50">$A$4</f>
        <v>3</v>
      </c>
      <c r="B539" s="1261">
        <v>5.19</v>
      </c>
      <c r="C539" s="1830" t="s">
        <v>647</v>
      </c>
      <c r="D539" s="1834" t="s">
        <v>682</v>
      </c>
      <c r="E539" s="1261" t="s">
        <v>649</v>
      </c>
      <c r="F539" s="1270">
        <v>0.5</v>
      </c>
      <c r="G539" s="1533"/>
      <c r="H539" s="1501">
        <f t="shared" si="42"/>
        <v>0</v>
      </c>
      <c r="I539" s="1241"/>
    </row>
    <row r="540" spans="1:9">
      <c r="A540" s="1763"/>
      <c r="B540" s="1261"/>
      <c r="C540" s="1261"/>
      <c r="D540" s="1828"/>
      <c r="E540" s="1261"/>
      <c r="F540" s="1270"/>
      <c r="G540" s="1533"/>
      <c r="H540" s="1501" t="str">
        <f t="shared" si="42"/>
        <v/>
      </c>
      <c r="I540" s="1241"/>
    </row>
    <row r="541" spans="1:9">
      <c r="A541" s="1763"/>
      <c r="B541" s="1904"/>
      <c r="C541" s="1550" t="s">
        <v>732</v>
      </c>
      <c r="D541" s="1980" t="s">
        <v>817</v>
      </c>
      <c r="E541" s="1550"/>
      <c r="F541" s="1271"/>
      <c r="G541" s="1519"/>
      <c r="H541" s="1501" t="str">
        <f t="shared" si="42"/>
        <v/>
      </c>
      <c r="I541" s="483"/>
    </row>
    <row r="542" spans="1:9">
      <c r="A542" s="1763"/>
      <c r="B542" s="1904"/>
      <c r="C542" s="1550"/>
      <c r="D542" s="1834"/>
      <c r="E542" s="1550"/>
      <c r="F542" s="1271"/>
      <c r="G542" s="1519"/>
      <c r="H542" s="1501" t="str">
        <f t="shared" si="42"/>
        <v/>
      </c>
      <c r="I542" s="483"/>
    </row>
    <row r="543" spans="1:9" ht="15.6">
      <c r="A543" s="1763">
        <f t="shared" ref="A543" si="51">$A$4</f>
        <v>3</v>
      </c>
      <c r="B543" s="1904">
        <v>5.2</v>
      </c>
      <c r="C543" s="1550"/>
      <c r="D543" s="1834" t="s">
        <v>818</v>
      </c>
      <c r="E543" s="1550" t="s">
        <v>565</v>
      </c>
      <c r="F543" s="1271">
        <v>5</v>
      </c>
      <c r="G543" s="1519"/>
      <c r="H543" s="1501">
        <f t="shared" si="42"/>
        <v>0</v>
      </c>
      <c r="I543" s="483"/>
    </row>
    <row r="544" spans="1:9">
      <c r="A544" s="1763"/>
      <c r="B544" s="1904"/>
      <c r="C544" s="1550"/>
      <c r="D544" s="1834"/>
      <c r="E544" s="1550"/>
      <c r="F544" s="1271"/>
      <c r="G544" s="1519"/>
      <c r="H544" s="1501" t="str">
        <f t="shared" si="42"/>
        <v/>
      </c>
      <c r="I544" s="483"/>
    </row>
    <row r="545" spans="1:9">
      <c r="A545" s="1763"/>
      <c r="B545" s="1904"/>
      <c r="C545" s="1981">
        <v>8.4</v>
      </c>
      <c r="D545" s="1982" t="s">
        <v>652</v>
      </c>
      <c r="E545" s="1550"/>
      <c r="F545" s="1271"/>
      <c r="G545" s="1955"/>
      <c r="H545" s="1501" t="str">
        <f t="shared" si="42"/>
        <v/>
      </c>
      <c r="I545" s="483"/>
    </row>
    <row r="546" spans="1:9">
      <c r="A546" s="1763"/>
      <c r="B546" s="1904"/>
      <c r="C546" s="1981"/>
      <c r="D546" s="1983"/>
      <c r="E546" s="1550"/>
      <c r="F546" s="1271"/>
      <c r="G546" s="1955"/>
      <c r="H546" s="1501" t="str">
        <f t="shared" si="42"/>
        <v/>
      </c>
      <c r="I546" s="483"/>
    </row>
    <row r="547" spans="1:9">
      <c r="A547" s="1763"/>
      <c r="B547" s="1904"/>
      <c r="C547" s="1550" t="s">
        <v>375</v>
      </c>
      <c r="D547" s="1815" t="s">
        <v>655</v>
      </c>
      <c r="E547" s="1550"/>
      <c r="F547" s="1271"/>
      <c r="G547" s="1984"/>
      <c r="H547" s="1501" t="str">
        <f t="shared" si="42"/>
        <v/>
      </c>
      <c r="I547" s="510"/>
    </row>
    <row r="548" spans="1:9">
      <c r="A548" s="1763"/>
      <c r="B548" s="1904"/>
      <c r="C548" s="1550"/>
      <c r="D548" s="1815"/>
      <c r="E548" s="1550"/>
      <c r="F548" s="1271"/>
      <c r="G548" s="1984"/>
      <c r="H548" s="1501" t="str">
        <f t="shared" si="42"/>
        <v/>
      </c>
      <c r="I548" s="510"/>
    </row>
    <row r="549" spans="1:9">
      <c r="A549" s="1763">
        <f t="shared" ref="A549" si="52">$A$4</f>
        <v>3</v>
      </c>
      <c r="B549" s="1904">
        <v>5.21</v>
      </c>
      <c r="C549" s="1550"/>
      <c r="D549" s="1840" t="s">
        <v>819</v>
      </c>
      <c r="E549" s="1550" t="s">
        <v>508</v>
      </c>
      <c r="F549" s="1271">
        <v>5</v>
      </c>
      <c r="G549" s="1984"/>
      <c r="H549" s="1501">
        <f t="shared" si="42"/>
        <v>0</v>
      </c>
      <c r="I549" s="510"/>
    </row>
    <row r="550" spans="1:9">
      <c r="A550" s="1763"/>
      <c r="B550" s="1904"/>
      <c r="C550" s="1550"/>
      <c r="D550" s="1771"/>
      <c r="E550" s="1550"/>
      <c r="F550" s="1271"/>
      <c r="G550" s="1984"/>
      <c r="H550" s="1501" t="str">
        <f t="shared" si="42"/>
        <v/>
      </c>
      <c r="I550" s="510"/>
    </row>
    <row r="551" spans="1:9">
      <c r="A551" s="1763">
        <f t="shared" ref="A551" si="53">$A$4</f>
        <v>3</v>
      </c>
      <c r="B551" s="1904">
        <v>5.22</v>
      </c>
      <c r="C551" s="1550"/>
      <c r="D551" s="1840" t="s">
        <v>820</v>
      </c>
      <c r="E551" s="1550" t="s">
        <v>508</v>
      </c>
      <c r="F551" s="1271">
        <v>2</v>
      </c>
      <c r="G551" s="1984"/>
      <c r="H551" s="1501">
        <f t="shared" si="42"/>
        <v>0</v>
      </c>
      <c r="I551" s="510"/>
    </row>
    <row r="552" spans="1:9">
      <c r="A552" s="1763"/>
      <c r="B552" s="1904"/>
      <c r="C552" s="1550"/>
      <c r="D552" s="1840"/>
      <c r="E552" s="1550"/>
      <c r="F552" s="1271"/>
      <c r="G552" s="1984"/>
      <c r="H552" s="1501" t="str">
        <f t="shared" si="42"/>
        <v/>
      </c>
      <c r="I552" s="510"/>
    </row>
    <row r="553" spans="1:9">
      <c r="A553" s="1763">
        <f t="shared" ref="A553" si="54">$A$4</f>
        <v>3</v>
      </c>
      <c r="B553" s="1904">
        <v>5.23</v>
      </c>
      <c r="C553" s="1550"/>
      <c r="D553" s="1840" t="s">
        <v>821</v>
      </c>
      <c r="E553" s="1550" t="s">
        <v>508</v>
      </c>
      <c r="F553" s="1271">
        <v>4</v>
      </c>
      <c r="G553" s="1984"/>
      <c r="H553" s="1501">
        <f t="shared" si="42"/>
        <v>0</v>
      </c>
      <c r="I553" s="510"/>
    </row>
    <row r="554" spans="1:9">
      <c r="A554" s="1763"/>
      <c r="B554" s="1904"/>
      <c r="C554" s="1550"/>
      <c r="D554" s="1771"/>
      <c r="E554" s="1550"/>
      <c r="F554" s="1271"/>
      <c r="G554" s="1984"/>
      <c r="H554" s="1501" t="str">
        <f t="shared" si="42"/>
        <v/>
      </c>
      <c r="I554" s="510"/>
    </row>
    <row r="555" spans="1:9">
      <c r="A555" s="1763"/>
      <c r="B555" s="1904"/>
      <c r="C555" s="1271" t="s">
        <v>384</v>
      </c>
      <c r="D555" s="1963" t="s">
        <v>822</v>
      </c>
      <c r="E555" s="1550"/>
      <c r="F555" s="1271"/>
      <c r="G555" s="1984"/>
      <c r="H555" s="1501" t="str">
        <f t="shared" si="42"/>
        <v/>
      </c>
      <c r="I555" s="510"/>
    </row>
    <row r="556" spans="1:9">
      <c r="A556" s="1763"/>
      <c r="B556" s="1904"/>
      <c r="C556" s="1271"/>
      <c r="D556" s="1701"/>
      <c r="E556" s="1550"/>
      <c r="F556" s="1271"/>
      <c r="G556" s="1984"/>
      <c r="H556" s="1501" t="str">
        <f t="shared" si="42"/>
        <v/>
      </c>
      <c r="I556" s="510"/>
    </row>
    <row r="557" spans="1:9">
      <c r="A557" s="1763"/>
      <c r="B557" s="1904"/>
      <c r="C557" s="1271" t="s">
        <v>659</v>
      </c>
      <c r="D557" s="1963" t="s">
        <v>823</v>
      </c>
      <c r="E557" s="1550"/>
      <c r="F557" s="1271"/>
      <c r="G557" s="1955"/>
      <c r="H557" s="1501" t="str">
        <f t="shared" si="42"/>
        <v/>
      </c>
      <c r="I557" s="483"/>
    </row>
    <row r="558" spans="1:9">
      <c r="A558" s="1763"/>
      <c r="B558" s="1970"/>
      <c r="C558" s="1958"/>
      <c r="D558" s="1985"/>
      <c r="E558" s="1842"/>
      <c r="F558" s="1958"/>
      <c r="G558" s="1986"/>
      <c r="H558" s="1501" t="str">
        <f t="shared" si="42"/>
        <v/>
      </c>
      <c r="I558" s="483"/>
    </row>
    <row r="559" spans="1:9" ht="15.6">
      <c r="A559" s="1763">
        <f t="shared" ref="A559" si="55">$A$4</f>
        <v>3</v>
      </c>
      <c r="B559" s="1904">
        <v>5.24</v>
      </c>
      <c r="C559" s="1271"/>
      <c r="D559" s="1701" t="s">
        <v>824</v>
      </c>
      <c r="E559" s="1550" t="s">
        <v>565</v>
      </c>
      <c r="F559" s="1969">
        <v>1171</v>
      </c>
      <c r="G559" s="1984"/>
      <c r="H559" s="1501">
        <f t="shared" si="42"/>
        <v>0</v>
      </c>
      <c r="I559" s="483"/>
    </row>
    <row r="560" spans="1:9">
      <c r="A560" s="1763"/>
      <c r="B560" s="1904"/>
      <c r="C560" s="1271"/>
      <c r="D560" s="1701"/>
      <c r="E560" s="1550"/>
      <c r="F560" s="1271"/>
      <c r="G560" s="1955"/>
      <c r="H560" s="1501" t="str">
        <f t="shared" si="42"/>
        <v/>
      </c>
      <c r="I560" s="483"/>
    </row>
    <row r="561" spans="1:9">
      <c r="A561" s="1763"/>
      <c r="B561" s="1904"/>
      <c r="C561" s="1271"/>
      <c r="D561" s="1701"/>
      <c r="E561" s="1701"/>
      <c r="F561" s="12"/>
      <c r="G561" s="1519"/>
      <c r="H561" s="1501" t="str">
        <f t="shared" si="42"/>
        <v/>
      </c>
      <c r="I561" s="483"/>
    </row>
    <row r="562" spans="1:9">
      <c r="A562" s="1763"/>
      <c r="B562" s="1904"/>
      <c r="C562" s="1271" t="s">
        <v>825</v>
      </c>
      <c r="D562" s="1963" t="s">
        <v>826</v>
      </c>
      <c r="E562" s="1550"/>
      <c r="F562" s="1969"/>
      <c r="G562" s="1519"/>
      <c r="H562" s="1501" t="str">
        <f t="shared" si="42"/>
        <v/>
      </c>
      <c r="I562" s="483"/>
    </row>
    <row r="563" spans="1:9">
      <c r="A563" s="1763"/>
      <c r="B563" s="1904"/>
      <c r="C563" s="1271"/>
      <c r="D563" s="1963"/>
      <c r="E563" s="1550"/>
      <c r="G563" s="1519"/>
      <c r="H563" s="1501" t="str">
        <f t="shared" ref="H563:H566" si="56">IF(E563="","",ROUND(F563*G563,2))</f>
        <v/>
      </c>
      <c r="I563" s="483"/>
    </row>
    <row r="564" spans="1:9" ht="15.6">
      <c r="A564" s="1763">
        <f t="shared" ref="A564" si="57">$A$4</f>
        <v>3</v>
      </c>
      <c r="B564" s="1904">
        <v>5.25</v>
      </c>
      <c r="C564" s="1271"/>
      <c r="D564" s="1840" t="s">
        <v>819</v>
      </c>
      <c r="E564" s="1550" t="s">
        <v>565</v>
      </c>
      <c r="F564" s="1271">
        <v>25</v>
      </c>
      <c r="G564" s="1519"/>
      <c r="H564" s="1501">
        <f t="shared" si="56"/>
        <v>0</v>
      </c>
      <c r="I564" s="483"/>
    </row>
    <row r="565" spans="1:9">
      <c r="A565" s="1763"/>
      <c r="B565" s="1904"/>
      <c r="C565" s="1271"/>
      <c r="D565" s="1815"/>
      <c r="E565" s="1550"/>
      <c r="F565" s="1271"/>
      <c r="G565" s="1519"/>
      <c r="H565" s="1501" t="str">
        <f t="shared" si="56"/>
        <v/>
      </c>
      <c r="I565" s="483"/>
    </row>
    <row r="566" spans="1:9" ht="15.6">
      <c r="A566" s="1763">
        <f t="shared" ref="A566" si="58">$A$4</f>
        <v>3</v>
      </c>
      <c r="B566" s="1904">
        <v>5.26</v>
      </c>
      <c r="C566" s="1550"/>
      <c r="D566" s="1840" t="s">
        <v>821</v>
      </c>
      <c r="E566" s="1550" t="s">
        <v>565</v>
      </c>
      <c r="F566" s="1271">
        <v>5</v>
      </c>
      <c r="G566" s="1519"/>
      <c r="H566" s="1501">
        <f t="shared" si="56"/>
        <v>0</v>
      </c>
      <c r="I566" s="483"/>
    </row>
    <row r="567" spans="1:9">
      <c r="A567" s="1763"/>
      <c r="B567" s="1904"/>
      <c r="C567" s="1550"/>
      <c r="D567" s="1840"/>
      <c r="E567" s="1550"/>
      <c r="G567" s="1519"/>
      <c r="H567" s="1871"/>
      <c r="I567" s="483"/>
    </row>
    <row r="568" spans="1:9">
      <c r="A568" s="1763"/>
      <c r="B568" s="1904"/>
      <c r="C568" s="1271"/>
      <c r="D568" s="1963"/>
      <c r="E568" s="1550"/>
      <c r="G568" s="1519"/>
      <c r="H568" s="1871"/>
      <c r="I568" s="483"/>
    </row>
    <row r="569" spans="1:9" s="374" customFormat="1">
      <c r="A569" s="1975"/>
      <c r="B569" s="788"/>
      <c r="C569" s="788"/>
      <c r="D569" s="1267"/>
      <c r="E569" s="788"/>
      <c r="F569" s="1268"/>
      <c r="G569" s="1937"/>
      <c r="H569" s="1938"/>
      <c r="I569" s="1037"/>
    </row>
    <row r="570" spans="1:9">
      <c r="A570" s="798"/>
      <c r="B570" s="316"/>
      <c r="C570" s="316"/>
      <c r="D570" s="458" t="s">
        <v>289</v>
      </c>
      <c r="E570" s="316"/>
      <c r="F570" s="317"/>
      <c r="G570" s="1180"/>
      <c r="H570" s="459">
        <f>SUM(H495:H568)</f>
        <v>0</v>
      </c>
      <c r="I570" s="1038"/>
    </row>
    <row r="571" spans="1:9">
      <c r="A571" s="1763"/>
      <c r="B571" s="1788"/>
      <c r="C571" s="1788"/>
      <c r="D571" s="1789" t="s">
        <v>290</v>
      </c>
      <c r="E571" s="1788"/>
      <c r="F571" s="1788"/>
      <c r="G571" s="1940"/>
      <c r="H571" s="1852">
        <f>H570</f>
        <v>0</v>
      </c>
      <c r="I571" s="483"/>
    </row>
    <row r="572" spans="1:9">
      <c r="A572" s="1763"/>
      <c r="B572" s="1271"/>
      <c r="C572" s="1271"/>
      <c r="D572" s="1702"/>
      <c r="E572" s="1271"/>
      <c r="F572" s="1271"/>
      <c r="G572" s="1519"/>
      <c r="H572" s="1871"/>
      <c r="I572" s="483"/>
    </row>
    <row r="573" spans="1:9">
      <c r="A573" s="1763"/>
      <c r="B573" s="1911" t="s">
        <v>586</v>
      </c>
      <c r="C573" s="1766" t="s">
        <v>766</v>
      </c>
      <c r="D573" s="1815" t="s">
        <v>139</v>
      </c>
      <c r="E573" s="1774"/>
      <c r="F573" s="1888"/>
      <c r="G573" s="1942"/>
      <c r="H573" s="1987"/>
      <c r="I573" s="1036"/>
    </row>
    <row r="574" spans="1:9">
      <c r="A574" s="1763"/>
      <c r="B574" s="1904"/>
      <c r="C574" s="1876"/>
      <c r="D574" s="1878"/>
      <c r="E574" s="1906"/>
      <c r="F574" s="1271"/>
      <c r="G574" s="1519"/>
      <c r="H574" s="1871"/>
      <c r="I574" s="483"/>
    </row>
    <row r="575" spans="1:9">
      <c r="A575" s="1763"/>
      <c r="B575" s="1904"/>
      <c r="C575" s="1876" t="s">
        <v>746</v>
      </c>
      <c r="D575" s="1879" t="s">
        <v>827</v>
      </c>
      <c r="E575" s="1906"/>
      <c r="F575" s="1271"/>
      <c r="G575" s="1519"/>
      <c r="H575" s="1871"/>
      <c r="I575" s="483"/>
    </row>
    <row r="576" spans="1:9">
      <c r="A576" s="1763"/>
      <c r="B576" s="1904"/>
      <c r="C576" s="1876"/>
      <c r="D576" s="1564"/>
      <c r="E576" s="1906"/>
      <c r="F576" s="1271"/>
      <c r="G576" s="1519"/>
      <c r="H576" s="1871"/>
      <c r="I576" s="483"/>
    </row>
    <row r="577" spans="1:9" ht="39.6">
      <c r="A577" s="1763"/>
      <c r="B577" s="1904"/>
      <c r="C577" s="1876"/>
      <c r="D577" s="1877" t="s">
        <v>712</v>
      </c>
      <c r="E577" s="1906"/>
      <c r="F577" s="1271"/>
      <c r="G577" s="1519"/>
      <c r="H577" s="1988"/>
      <c r="I577" s="483"/>
    </row>
    <row r="578" spans="1:9">
      <c r="A578" s="1763"/>
      <c r="B578" s="1904"/>
      <c r="C578" s="1876"/>
      <c r="D578" s="1877"/>
      <c r="E578" s="1906"/>
      <c r="F578" s="1271"/>
      <c r="G578" s="1519"/>
      <c r="H578" s="1988"/>
      <c r="I578" s="483"/>
    </row>
    <row r="579" spans="1:9">
      <c r="A579" s="1763">
        <f t="shared" ref="A579" si="59">$A$4</f>
        <v>3</v>
      </c>
      <c r="B579" s="1904">
        <v>5.27</v>
      </c>
      <c r="C579" s="1876"/>
      <c r="D579" s="1564" t="s">
        <v>828</v>
      </c>
      <c r="E579" s="1906" t="s">
        <v>561</v>
      </c>
      <c r="F579" s="1271">
        <v>320</v>
      </c>
      <c r="G579" s="1872"/>
      <c r="H579" s="1501">
        <f t="shared" ref="H579:H634" si="60">IF(E579="","",ROUND(F579*G579,2))</f>
        <v>0</v>
      </c>
      <c r="I579" s="510"/>
    </row>
    <row r="580" spans="1:9">
      <c r="A580" s="1763"/>
      <c r="B580" s="1904"/>
      <c r="C580" s="1876"/>
      <c r="D580" s="1564"/>
      <c r="E580" s="1701"/>
      <c r="F580" s="1701"/>
      <c r="G580" s="1989"/>
      <c r="H580" s="1501" t="str">
        <f t="shared" si="60"/>
        <v/>
      </c>
      <c r="I580" s="12"/>
    </row>
    <row r="581" spans="1:9">
      <c r="A581" s="1763">
        <f t="shared" ref="A581" si="61">$A$4</f>
        <v>3</v>
      </c>
      <c r="B581" s="1904">
        <v>5.28</v>
      </c>
      <c r="C581" s="1962"/>
      <c r="D581" s="1564" t="s">
        <v>829</v>
      </c>
      <c r="E581" s="1550" t="s">
        <v>561</v>
      </c>
      <c r="F581" s="1271">
        <v>320</v>
      </c>
      <c r="G581" s="1519"/>
      <c r="H581" s="1501">
        <f t="shared" si="60"/>
        <v>0</v>
      </c>
      <c r="I581" s="483"/>
    </row>
    <row r="582" spans="1:9">
      <c r="A582" s="1763"/>
      <c r="B582" s="1904"/>
      <c r="C582" s="1981"/>
      <c r="D582" s="1983"/>
      <c r="E582" s="1701"/>
      <c r="F582" s="1701"/>
      <c r="G582" s="1989"/>
      <c r="H582" s="1501" t="str">
        <f t="shared" si="60"/>
        <v/>
      </c>
      <c r="I582" s="12"/>
    </row>
    <row r="583" spans="1:9">
      <c r="A583" s="1763"/>
      <c r="B583" s="1904"/>
      <c r="C583" s="1876" t="s">
        <v>747</v>
      </c>
      <c r="D583" s="1879" t="s">
        <v>716</v>
      </c>
      <c r="E583" s="1906"/>
      <c r="F583" s="1271"/>
      <c r="G583" s="1519"/>
      <c r="H583" s="1501" t="str">
        <f t="shared" si="60"/>
        <v/>
      </c>
      <c r="I583" s="483"/>
    </row>
    <row r="584" spans="1:9">
      <c r="A584" s="1763"/>
      <c r="B584" s="1904"/>
      <c r="C584" s="1876"/>
      <c r="D584" s="1564"/>
      <c r="E584" s="1906"/>
      <c r="F584" s="1271"/>
      <c r="G584" s="1519"/>
      <c r="H584" s="1501" t="str">
        <f t="shared" si="60"/>
        <v/>
      </c>
      <c r="I584" s="483"/>
    </row>
    <row r="585" spans="1:9" ht="39.6">
      <c r="A585" s="1763"/>
      <c r="B585" s="1904"/>
      <c r="C585" s="1876"/>
      <c r="D585" s="1879" t="s">
        <v>717</v>
      </c>
      <c r="E585" s="1906"/>
      <c r="F585" s="1271"/>
      <c r="G585" s="1519"/>
      <c r="H585" s="1501" t="str">
        <f t="shared" si="60"/>
        <v/>
      </c>
      <c r="I585" s="483"/>
    </row>
    <row r="586" spans="1:9">
      <c r="A586" s="1763"/>
      <c r="B586" s="1904"/>
      <c r="C586" s="1876"/>
      <c r="D586" s="1879"/>
      <c r="E586" s="1906"/>
      <c r="F586" s="1271"/>
      <c r="G586" s="1519"/>
      <c r="H586" s="1501" t="str">
        <f t="shared" si="60"/>
        <v/>
      </c>
      <c r="I586" s="483"/>
    </row>
    <row r="587" spans="1:9">
      <c r="A587" s="1763"/>
      <c r="B587" s="1271"/>
      <c r="C587" s="1271"/>
      <c r="D587" s="1702"/>
      <c r="E587" s="1271"/>
      <c r="F587" s="1969"/>
      <c r="G587" s="1519"/>
      <c r="H587" s="1501" t="str">
        <f t="shared" si="60"/>
        <v/>
      </c>
      <c r="I587" s="483"/>
    </row>
    <row r="588" spans="1:9">
      <c r="A588" s="1763">
        <f t="shared" ref="A588" si="62">$A$4</f>
        <v>3</v>
      </c>
      <c r="B588" s="1904">
        <v>5.29</v>
      </c>
      <c r="C588" s="1876"/>
      <c r="D588" s="1564" t="s">
        <v>830</v>
      </c>
      <c r="E588" s="1906" t="s">
        <v>561</v>
      </c>
      <c r="F588" s="1271">
        <v>320</v>
      </c>
      <c r="G588" s="1519"/>
      <c r="H588" s="1501">
        <f t="shared" si="60"/>
        <v>0</v>
      </c>
      <c r="I588" s="483"/>
    </row>
    <row r="589" spans="1:9">
      <c r="A589" s="1763"/>
      <c r="B589" s="1904"/>
      <c r="C589" s="1876"/>
      <c r="D589" s="1564"/>
      <c r="E589" s="1906"/>
      <c r="F589" s="1271"/>
      <c r="G589" s="1519"/>
      <c r="H589" s="1501" t="str">
        <f t="shared" si="60"/>
        <v/>
      </c>
      <c r="I589" s="483"/>
    </row>
    <row r="590" spans="1:9" s="1248" customFormat="1">
      <c r="A590" s="1763"/>
      <c r="B590" s="1904"/>
      <c r="C590" s="1876"/>
      <c r="D590" s="1905" t="s">
        <v>734</v>
      </c>
      <c r="E590" s="1906"/>
      <c r="F590" s="1271"/>
      <c r="G590" s="1519"/>
      <c r="H590" s="1501" t="str">
        <f t="shared" si="60"/>
        <v/>
      </c>
      <c r="I590" s="483"/>
    </row>
    <row r="591" spans="1:9">
      <c r="A591" s="1763"/>
      <c r="B591" s="1904"/>
      <c r="C591" s="1876"/>
      <c r="D591" s="1564"/>
      <c r="E591" s="1906"/>
      <c r="F591" s="1271"/>
      <c r="G591" s="1519"/>
      <c r="H591" s="1501" t="str">
        <f t="shared" si="60"/>
        <v/>
      </c>
      <c r="I591" s="483"/>
    </row>
    <row r="592" spans="1:9" s="1248" customFormat="1">
      <c r="A592" s="1763">
        <f t="shared" ref="A592" si="63">$A$4</f>
        <v>3</v>
      </c>
      <c r="B592" s="1904">
        <v>5.3</v>
      </c>
      <c r="C592" s="1876"/>
      <c r="D592" s="1564" t="s">
        <v>831</v>
      </c>
      <c r="E592" s="1906" t="s">
        <v>691</v>
      </c>
      <c r="F592" s="1271">
        <v>1</v>
      </c>
      <c r="G592" s="1519"/>
      <c r="H592" s="1501">
        <f t="shared" si="60"/>
        <v>0</v>
      </c>
      <c r="I592" s="483"/>
    </row>
    <row r="593" spans="1:9">
      <c r="A593" s="1763"/>
      <c r="B593" s="1904"/>
      <c r="C593" s="1876"/>
      <c r="D593" s="1564"/>
      <c r="E593" s="1906"/>
      <c r="F593" s="1271"/>
      <c r="G593" s="1519"/>
      <c r="H593" s="1501" t="str">
        <f t="shared" si="60"/>
        <v/>
      </c>
      <c r="I593" s="483"/>
    </row>
    <row r="594" spans="1:9" s="374" customFormat="1" ht="13.8">
      <c r="A594" s="1763">
        <f t="shared" ref="A594" si="64">$A$4</f>
        <v>3</v>
      </c>
      <c r="B594" s="1857">
        <v>6</v>
      </c>
      <c r="C594" s="1767"/>
      <c r="D594" s="1858" t="s">
        <v>832</v>
      </c>
      <c r="E594" s="1767"/>
      <c r="F594" s="1767"/>
      <c r="G594" s="1859"/>
      <c r="H594" s="1501" t="str">
        <f t="shared" si="60"/>
        <v/>
      </c>
      <c r="I594" s="1232"/>
    </row>
    <row r="595" spans="1:9">
      <c r="A595" s="1763"/>
      <c r="B595" s="1904"/>
      <c r="C595" s="1783"/>
      <c r="D595" s="1771"/>
      <c r="E595" s="1550"/>
      <c r="F595" s="1271"/>
      <c r="G595" s="1519"/>
      <c r="H595" s="1501" t="str">
        <f t="shared" si="60"/>
        <v/>
      </c>
      <c r="I595" s="483"/>
    </row>
    <row r="596" spans="1:9" ht="26.4">
      <c r="A596" s="1763"/>
      <c r="B596" s="1911" t="s">
        <v>543</v>
      </c>
      <c r="C596" s="1766" t="s">
        <v>544</v>
      </c>
      <c r="D596" s="1806" t="s">
        <v>133</v>
      </c>
      <c r="E596" s="1774"/>
      <c r="F596" s="1888"/>
      <c r="G596" s="1942"/>
      <c r="H596" s="1501" t="str">
        <f t="shared" si="60"/>
        <v/>
      </c>
      <c r="I596" s="1036"/>
    </row>
    <row r="597" spans="1:9">
      <c r="A597" s="1763"/>
      <c r="B597" s="1904"/>
      <c r="C597" s="1550"/>
      <c r="D597" s="1806"/>
      <c r="E597" s="1550"/>
      <c r="F597" s="1271"/>
      <c r="G597" s="1519"/>
      <c r="H597" s="1501" t="str">
        <f t="shared" si="60"/>
        <v/>
      </c>
      <c r="I597" s="483"/>
    </row>
    <row r="598" spans="1:9" s="374" customFormat="1" ht="15.6">
      <c r="A598" s="1763">
        <f t="shared" ref="A598" si="65">$A$4</f>
        <v>3</v>
      </c>
      <c r="B598" s="1904">
        <v>6.1</v>
      </c>
      <c r="C598" s="1550" t="s">
        <v>546</v>
      </c>
      <c r="D598" s="1990" t="s">
        <v>774</v>
      </c>
      <c r="E598" s="1261" t="s">
        <v>641</v>
      </c>
      <c r="F598" s="1961">
        <v>184</v>
      </c>
      <c r="G598" s="1513"/>
      <c r="H598" s="1501">
        <f t="shared" si="60"/>
        <v>0</v>
      </c>
      <c r="I598" s="480"/>
    </row>
    <row r="599" spans="1:9">
      <c r="A599" s="1763"/>
      <c r="B599" s="1904"/>
      <c r="C599" s="1550"/>
      <c r="D599" s="1809"/>
      <c r="E599" s="1842"/>
      <c r="F599" s="1958"/>
      <c r="G599" s="1959"/>
      <c r="H599" s="1501" t="str">
        <f t="shared" si="60"/>
        <v/>
      </c>
      <c r="I599" s="1042"/>
    </row>
    <row r="600" spans="1:9" ht="26.4">
      <c r="A600" s="1763"/>
      <c r="B600" s="1911" t="s">
        <v>549</v>
      </c>
      <c r="C600" s="1766" t="s">
        <v>626</v>
      </c>
      <c r="D600" s="1806" t="s">
        <v>627</v>
      </c>
      <c r="E600" s="1774"/>
      <c r="F600" s="1888"/>
      <c r="G600" s="1942"/>
      <c r="H600" s="1501" t="str">
        <f t="shared" si="60"/>
        <v/>
      </c>
      <c r="I600" s="1036"/>
    </row>
    <row r="601" spans="1:9">
      <c r="A601" s="1763"/>
      <c r="B601" s="1904"/>
      <c r="C601" s="1550"/>
      <c r="D601" s="1809"/>
      <c r="E601" s="1550"/>
      <c r="F601" s="1271"/>
      <c r="G601" s="1519"/>
      <c r="H601" s="1501" t="str">
        <f t="shared" si="60"/>
        <v/>
      </c>
      <c r="I601" s="483"/>
    </row>
    <row r="602" spans="1:9">
      <c r="A602" s="1763"/>
      <c r="B602" s="1271"/>
      <c r="C602" s="1550"/>
      <c r="D602" s="1773" t="s">
        <v>205</v>
      </c>
      <c r="E602" s="1271"/>
      <c r="F602" s="1271"/>
      <c r="G602" s="1870"/>
      <c r="H602" s="1501" t="str">
        <f t="shared" si="60"/>
        <v/>
      </c>
      <c r="I602" s="1235"/>
    </row>
    <row r="603" spans="1:9">
      <c r="A603" s="1763"/>
      <c r="B603" s="1271"/>
      <c r="C603" s="1550"/>
      <c r="D603" s="1771"/>
      <c r="E603" s="1271"/>
      <c r="F603" s="1271"/>
      <c r="G603" s="1870"/>
      <c r="H603" s="1501" t="str">
        <f t="shared" si="60"/>
        <v/>
      </c>
      <c r="I603" s="1235"/>
    </row>
    <row r="604" spans="1:9" s="1248" customFormat="1" ht="26.4">
      <c r="A604" s="1763"/>
      <c r="B604" s="1271"/>
      <c r="C604" s="1550" t="s">
        <v>775</v>
      </c>
      <c r="D604" s="1771" t="s">
        <v>776</v>
      </c>
      <c r="E604" s="1550"/>
      <c r="F604" s="1271"/>
      <c r="G604" s="1870"/>
      <c r="H604" s="1501" t="str">
        <f t="shared" si="60"/>
        <v/>
      </c>
      <c r="I604" s="1235"/>
    </row>
    <row r="605" spans="1:9">
      <c r="A605" s="1763"/>
      <c r="B605" s="1271"/>
      <c r="C605" s="1550"/>
      <c r="D605" s="1771"/>
      <c r="E605" s="1271"/>
      <c r="F605" s="1271"/>
      <c r="G605" s="1519"/>
      <c r="H605" s="1501" t="str">
        <f t="shared" si="60"/>
        <v/>
      </c>
      <c r="I605" s="483"/>
    </row>
    <row r="606" spans="1:9">
      <c r="A606" s="1763">
        <f t="shared" ref="A606" si="66">$A$4</f>
        <v>3</v>
      </c>
      <c r="B606" s="1271">
        <v>6.2</v>
      </c>
      <c r="C606" s="1550"/>
      <c r="D606" s="1771" t="s">
        <v>777</v>
      </c>
      <c r="E606" s="1550" t="s">
        <v>508</v>
      </c>
      <c r="F606" s="1961">
        <v>125</v>
      </c>
      <c r="G606" s="1519"/>
      <c r="H606" s="1501">
        <f t="shared" si="60"/>
        <v>0</v>
      </c>
      <c r="I606" s="483"/>
    </row>
    <row r="607" spans="1:9">
      <c r="A607" s="1763"/>
      <c r="B607" s="1271"/>
      <c r="C607" s="1550"/>
      <c r="D607" s="1771"/>
      <c r="E607" s="1271"/>
      <c r="F607" s="1271"/>
      <c r="G607" s="1519"/>
      <c r="H607" s="1501" t="str">
        <f t="shared" si="60"/>
        <v/>
      </c>
      <c r="I607" s="483"/>
    </row>
    <row r="608" spans="1:9">
      <c r="A608" s="1763">
        <f t="shared" ref="A608" si="67">$A$4</f>
        <v>3</v>
      </c>
      <c r="B608" s="1271">
        <v>6.3</v>
      </c>
      <c r="C608" s="1550"/>
      <c r="D608" s="1771" t="s">
        <v>778</v>
      </c>
      <c r="E608" s="1550" t="s">
        <v>508</v>
      </c>
      <c r="F608" s="1961">
        <v>125</v>
      </c>
      <c r="G608" s="1872"/>
      <c r="H608" s="1501">
        <f t="shared" si="60"/>
        <v>0</v>
      </c>
      <c r="I608" s="510"/>
    </row>
    <row r="609" spans="1:9">
      <c r="A609" s="1763"/>
      <c r="B609" s="1904"/>
      <c r="C609" s="1876"/>
      <c r="D609" s="1564"/>
      <c r="E609" s="1906"/>
      <c r="F609" s="1271"/>
      <c r="G609" s="1519"/>
      <c r="H609" s="1501" t="str">
        <f t="shared" si="60"/>
        <v/>
      </c>
      <c r="I609" s="483"/>
    </row>
    <row r="610" spans="1:9">
      <c r="A610" s="1763"/>
      <c r="B610" s="1271"/>
      <c r="C610" s="1550" t="s">
        <v>779</v>
      </c>
      <c r="D610" s="1773" t="s">
        <v>780</v>
      </c>
      <c r="E610" s="1776"/>
      <c r="F610" s="1271"/>
      <c r="G610" s="1519"/>
      <c r="H610" s="1501" t="str">
        <f t="shared" si="60"/>
        <v/>
      </c>
      <c r="I610" s="483"/>
    </row>
    <row r="611" spans="1:9">
      <c r="A611" s="1763"/>
      <c r="B611" s="1271"/>
      <c r="C611" s="1550"/>
      <c r="D611" s="1771"/>
      <c r="E611" s="1776"/>
      <c r="F611" s="1961"/>
      <c r="G611" s="1513"/>
      <c r="H611" s="1501" t="str">
        <f t="shared" si="60"/>
        <v/>
      </c>
      <c r="I611" s="480"/>
    </row>
    <row r="612" spans="1:9">
      <c r="A612" s="1763">
        <f t="shared" ref="A612" si="68">$A$4</f>
        <v>3</v>
      </c>
      <c r="B612" s="1271">
        <v>6.4</v>
      </c>
      <c r="C612" s="1962" t="s">
        <v>781</v>
      </c>
      <c r="D612" s="1771" t="s">
        <v>634</v>
      </c>
      <c r="E612" s="1550" t="s">
        <v>508</v>
      </c>
      <c r="F612" s="1961">
        <v>30</v>
      </c>
      <c r="G612" s="1513"/>
      <c r="H612" s="1501">
        <f t="shared" si="60"/>
        <v>0</v>
      </c>
      <c r="I612" s="480"/>
    </row>
    <row r="613" spans="1:9">
      <c r="A613" s="1763"/>
      <c r="B613" s="1271"/>
      <c r="C613" s="1550"/>
      <c r="D613" s="1771"/>
      <c r="E613" s="1550"/>
      <c r="F613" s="1961"/>
      <c r="G613" s="1513"/>
      <c r="H613" s="1501" t="str">
        <f t="shared" si="60"/>
        <v/>
      </c>
      <c r="I613" s="480"/>
    </row>
    <row r="614" spans="1:9">
      <c r="A614" s="1763">
        <f t="shared" ref="A614" si="69">$A$4</f>
        <v>3</v>
      </c>
      <c r="B614" s="1271">
        <v>6.5</v>
      </c>
      <c r="C614" s="1962" t="s">
        <v>782</v>
      </c>
      <c r="D614" s="1771" t="s">
        <v>635</v>
      </c>
      <c r="E614" s="1550" t="s">
        <v>508</v>
      </c>
      <c r="F614" s="1961">
        <v>5</v>
      </c>
      <c r="G614" s="1513"/>
      <c r="H614" s="1501">
        <f t="shared" si="60"/>
        <v>0</v>
      </c>
      <c r="I614" s="480"/>
    </row>
    <row r="615" spans="1:9">
      <c r="A615" s="1763"/>
      <c r="B615" s="1271"/>
      <c r="C615" s="1962"/>
      <c r="D615" s="1771"/>
      <c r="E615" s="1550"/>
      <c r="F615" s="1961"/>
      <c r="G615" s="1513"/>
      <c r="H615" s="1501" t="str">
        <f t="shared" si="60"/>
        <v/>
      </c>
      <c r="I615" s="480"/>
    </row>
    <row r="616" spans="1:9">
      <c r="A616" s="1763"/>
      <c r="B616" s="1271"/>
      <c r="C616" s="1550" t="s">
        <v>305</v>
      </c>
      <c r="D616" s="1773" t="s">
        <v>833</v>
      </c>
      <c r="E616" s="1550"/>
      <c r="F616" s="1961"/>
      <c r="G616" s="1991"/>
      <c r="H616" s="1501" t="str">
        <f t="shared" si="60"/>
        <v/>
      </c>
      <c r="I616" s="1249"/>
    </row>
    <row r="617" spans="1:9">
      <c r="A617" s="1763"/>
      <c r="B617" s="1271"/>
      <c r="C617" s="1550"/>
      <c r="D617" s="1771"/>
      <c r="E617" s="1550"/>
      <c r="F617" s="1961"/>
      <c r="G617" s="1991"/>
      <c r="H617" s="1501" t="str">
        <f t="shared" si="60"/>
        <v/>
      </c>
      <c r="I617" s="1249"/>
    </row>
    <row r="618" spans="1:9">
      <c r="A618" s="1763">
        <f t="shared" ref="A618" si="70">$A$4</f>
        <v>3</v>
      </c>
      <c r="B618" s="1271">
        <v>6.6</v>
      </c>
      <c r="C618" s="1550"/>
      <c r="D618" s="1771" t="s">
        <v>834</v>
      </c>
      <c r="E618" s="1550" t="s">
        <v>508</v>
      </c>
      <c r="F618" s="1961">
        <v>30</v>
      </c>
      <c r="G618" s="1875"/>
      <c r="H618" s="1501">
        <f t="shared" si="60"/>
        <v>0</v>
      </c>
      <c r="I618" s="1031"/>
    </row>
    <row r="619" spans="1:9">
      <c r="A619" s="1763"/>
      <c r="B619" s="1271"/>
      <c r="C619" s="1550"/>
      <c r="D619" s="1771"/>
      <c r="E619" s="1550"/>
      <c r="F619" s="1961"/>
      <c r="G619" s="1991"/>
      <c r="H619" s="1501" t="str">
        <f t="shared" si="60"/>
        <v/>
      </c>
      <c r="I619" s="1249"/>
    </row>
    <row r="620" spans="1:9">
      <c r="A620" s="1763">
        <f t="shared" ref="A620" si="71">$A$4</f>
        <v>3</v>
      </c>
      <c r="B620" s="1271">
        <v>6.7</v>
      </c>
      <c r="C620" s="1550"/>
      <c r="D620" s="1771" t="s">
        <v>835</v>
      </c>
      <c r="E620" s="1550" t="s">
        <v>508</v>
      </c>
      <c r="F620" s="1961">
        <v>5</v>
      </c>
      <c r="G620" s="1875"/>
      <c r="H620" s="1501">
        <f t="shared" si="60"/>
        <v>0</v>
      </c>
      <c r="I620" s="1031"/>
    </row>
    <row r="621" spans="1:9">
      <c r="A621" s="1763"/>
      <c r="B621" s="1904"/>
      <c r="C621" s="1876"/>
      <c r="D621" s="1564"/>
      <c r="E621" s="1906"/>
      <c r="F621" s="1271"/>
      <c r="G621" s="1519"/>
      <c r="H621" s="1501" t="str">
        <f t="shared" si="60"/>
        <v/>
      </c>
      <c r="I621" s="483"/>
    </row>
    <row r="622" spans="1:9" ht="26.4">
      <c r="A622" s="1763"/>
      <c r="B622" s="1888" t="s">
        <v>558</v>
      </c>
      <c r="C622" s="1792" t="s">
        <v>581</v>
      </c>
      <c r="D622" s="1963" t="s">
        <v>636</v>
      </c>
      <c r="E622" s="1888"/>
      <c r="F622" s="1992"/>
      <c r="G622" s="1993"/>
      <c r="H622" s="1501" t="str">
        <f t="shared" si="60"/>
        <v/>
      </c>
      <c r="I622" s="1039"/>
    </row>
    <row r="623" spans="1:9">
      <c r="A623" s="1763"/>
      <c r="B623" s="1271"/>
      <c r="C623" s="1271"/>
      <c r="D623" s="1701"/>
      <c r="E623" s="1271"/>
      <c r="F623" s="1271"/>
      <c r="G623" s="1519"/>
      <c r="H623" s="1501" t="str">
        <f t="shared" si="60"/>
        <v/>
      </c>
      <c r="I623" s="483"/>
    </row>
    <row r="624" spans="1:9">
      <c r="A624" s="1763"/>
      <c r="B624" s="1271"/>
      <c r="C624" s="1271">
        <v>8.1999999999999993</v>
      </c>
      <c r="D624" s="1963" t="s">
        <v>637</v>
      </c>
      <c r="E624" s="1271"/>
      <c r="F624" s="1271"/>
      <c r="G624" s="1519"/>
      <c r="H624" s="1501" t="str">
        <f t="shared" si="60"/>
        <v/>
      </c>
      <c r="I624" s="483"/>
    </row>
    <row r="625" spans="1:9">
      <c r="A625" s="1763"/>
      <c r="B625" s="1271"/>
      <c r="C625" s="1271"/>
      <c r="D625" s="1701"/>
      <c r="E625" s="1271"/>
      <c r="F625" s="1271"/>
      <c r="G625" s="1519"/>
      <c r="H625" s="1501" t="str">
        <f t="shared" si="60"/>
        <v/>
      </c>
      <c r="I625" s="483"/>
    </row>
    <row r="626" spans="1:9">
      <c r="A626" s="1763"/>
      <c r="B626" s="1271"/>
      <c r="C626" s="1271" t="s">
        <v>590</v>
      </c>
      <c r="D626" s="1963" t="s">
        <v>638</v>
      </c>
      <c r="E626" s="12"/>
      <c r="F626" s="1271"/>
      <c r="G626" s="1519"/>
      <c r="H626" s="1501" t="str">
        <f t="shared" si="60"/>
        <v/>
      </c>
      <c r="I626" s="483"/>
    </row>
    <row r="627" spans="1:9">
      <c r="A627" s="1763"/>
      <c r="B627" s="1271"/>
      <c r="C627" s="1271"/>
      <c r="D627" s="1963"/>
      <c r="E627" s="12"/>
      <c r="F627" s="1271"/>
      <c r="G627" s="1519"/>
      <c r="H627" s="1501" t="str">
        <f t="shared" si="60"/>
        <v/>
      </c>
      <c r="I627" s="483"/>
    </row>
    <row r="628" spans="1:9">
      <c r="A628" s="1763"/>
      <c r="B628" s="1271"/>
      <c r="C628" s="1271"/>
      <c r="D628" s="1963" t="s">
        <v>639</v>
      </c>
      <c r="E628" s="1271"/>
      <c r="F628" s="1271"/>
      <c r="G628" s="1519"/>
      <c r="H628" s="1501" t="str">
        <f t="shared" si="60"/>
        <v/>
      </c>
      <c r="I628" s="483"/>
    </row>
    <row r="629" spans="1:9">
      <c r="A629" s="1763"/>
      <c r="B629" s="1271"/>
      <c r="C629" s="1271"/>
      <c r="D629" s="1963"/>
      <c r="E629" s="1271"/>
      <c r="F629" s="1271"/>
      <c r="G629" s="1519"/>
      <c r="H629" s="1501" t="str">
        <f t="shared" si="60"/>
        <v/>
      </c>
      <c r="I629" s="483"/>
    </row>
    <row r="630" spans="1:9" ht="15.6">
      <c r="A630" s="1763">
        <f t="shared" ref="A630" si="72">$A$4</f>
        <v>3</v>
      </c>
      <c r="B630" s="1271">
        <v>6.8</v>
      </c>
      <c r="C630" s="1271"/>
      <c r="D630" s="1701" t="s">
        <v>836</v>
      </c>
      <c r="E630" s="1550" t="s">
        <v>565</v>
      </c>
      <c r="F630" s="1271">
        <v>80</v>
      </c>
      <c r="G630" s="1519"/>
      <c r="H630" s="1501">
        <f t="shared" si="60"/>
        <v>0</v>
      </c>
      <c r="I630" s="483"/>
    </row>
    <row r="631" spans="1:9">
      <c r="A631" s="1763"/>
      <c r="B631" s="1821"/>
      <c r="C631" s="1821"/>
      <c r="D631" s="1822"/>
      <c r="E631" s="1821"/>
      <c r="F631" s="1823"/>
      <c r="G631" s="1819"/>
      <c r="H631" s="1501" t="str">
        <f t="shared" si="60"/>
        <v/>
      </c>
      <c r="I631" s="1040"/>
    </row>
    <row r="632" spans="1:9">
      <c r="A632" s="1763"/>
      <c r="B632" s="1616"/>
      <c r="C632" s="1550" t="s">
        <v>624</v>
      </c>
      <c r="D632" s="1773" t="s">
        <v>837</v>
      </c>
      <c r="E632" s="1550"/>
      <c r="F632" s="1550"/>
      <c r="G632" s="1533"/>
      <c r="H632" s="1501" t="str">
        <f t="shared" si="60"/>
        <v/>
      </c>
      <c r="I632" s="510"/>
    </row>
    <row r="633" spans="1:9">
      <c r="A633" s="1763"/>
      <c r="B633" s="1616"/>
      <c r="C633" s="1550"/>
      <c r="D633" s="1773"/>
      <c r="E633" s="1550"/>
      <c r="F633" s="1550"/>
      <c r="G633" s="1533"/>
      <c r="H633" s="1501" t="str">
        <f t="shared" si="60"/>
        <v/>
      </c>
      <c r="I633" s="510"/>
    </row>
    <row r="634" spans="1:9" ht="15.6">
      <c r="A634" s="1763">
        <f t="shared" ref="A634" si="73">$A$4</f>
        <v>3</v>
      </c>
      <c r="B634" s="1271">
        <v>6.9</v>
      </c>
      <c r="C634" s="1271"/>
      <c r="D634" s="1701" t="s">
        <v>838</v>
      </c>
      <c r="E634" s="1550" t="s">
        <v>565</v>
      </c>
      <c r="F634" s="1271">
        <v>5</v>
      </c>
      <c r="G634" s="1872"/>
      <c r="H634" s="1501">
        <f t="shared" si="60"/>
        <v>0</v>
      </c>
      <c r="I634" s="510"/>
    </row>
    <row r="635" spans="1:9">
      <c r="A635" s="1763"/>
      <c r="B635" s="1271"/>
      <c r="C635" s="1271"/>
      <c r="D635" s="1701"/>
      <c r="E635" s="1550"/>
      <c r="F635" s="1271"/>
      <c r="G635" s="1872"/>
      <c r="H635" s="1994"/>
      <c r="I635" s="510"/>
    </row>
    <row r="636" spans="1:9">
      <c r="A636" s="1763"/>
      <c r="B636" s="1271"/>
      <c r="C636" s="1271"/>
      <c r="D636" s="1701"/>
      <c r="E636" s="1550"/>
      <c r="F636" s="1271"/>
      <c r="G636" s="1872"/>
      <c r="H636" s="1994"/>
      <c r="I636" s="510"/>
    </row>
    <row r="637" spans="1:9">
      <c r="A637" s="1763"/>
      <c r="B637" s="1271"/>
      <c r="C637" s="1271"/>
      <c r="D637" s="1701"/>
      <c r="E637" s="1550"/>
      <c r="F637" s="1271"/>
      <c r="G637" s="1872"/>
      <c r="H637" s="1994"/>
      <c r="I637" s="510"/>
    </row>
    <row r="638" spans="1:9">
      <c r="A638" s="1763"/>
      <c r="B638" s="1271"/>
      <c r="C638" s="1271"/>
      <c r="D638" s="1701"/>
      <c r="E638" s="1550"/>
      <c r="F638" s="1271"/>
      <c r="G638" s="1872"/>
      <c r="H638" s="1994"/>
      <c r="I638" s="510"/>
    </row>
    <row r="639" spans="1:9">
      <c r="A639" s="1995"/>
      <c r="B639" s="788"/>
      <c r="C639" s="788"/>
      <c r="D639" s="1267"/>
      <c r="E639" s="788"/>
      <c r="F639" s="1268"/>
      <c r="G639" s="1937"/>
      <c r="H639" s="1938"/>
      <c r="I639" s="1037"/>
    </row>
    <row r="640" spans="1:9">
      <c r="A640" s="789"/>
      <c r="B640" s="316"/>
      <c r="C640" s="316"/>
      <c r="D640" s="458" t="s">
        <v>289</v>
      </c>
      <c r="E640" s="316"/>
      <c r="F640" s="317"/>
      <c r="G640" s="1180"/>
      <c r="H640" s="459">
        <f>SUM(H571:H638)</f>
        <v>0</v>
      </c>
      <c r="I640" s="1038"/>
    </row>
    <row r="641" spans="1:9">
      <c r="A641" s="1763"/>
      <c r="B641" s="1788"/>
      <c r="C641" s="1788"/>
      <c r="D641" s="1789" t="s">
        <v>290</v>
      </c>
      <c r="E641" s="1788"/>
      <c r="F641" s="1788"/>
      <c r="G641" s="1940"/>
      <c r="H641" s="1852">
        <f>H640</f>
        <v>0</v>
      </c>
      <c r="I641" s="483"/>
    </row>
    <row r="642" spans="1:9">
      <c r="A642" s="1763"/>
      <c r="B642" s="1616"/>
      <c r="C642" s="1550"/>
      <c r="D642" s="1773"/>
      <c r="E642" s="1550"/>
      <c r="F642" s="1550"/>
      <c r="G642" s="1533"/>
      <c r="H642" s="1994"/>
      <c r="I642" s="510"/>
    </row>
    <row r="643" spans="1:9" ht="15.6">
      <c r="A643" s="1763">
        <f t="shared" ref="A643" si="74">$A$4</f>
        <v>3</v>
      </c>
      <c r="B643" s="1582">
        <v>6.1</v>
      </c>
      <c r="C643" s="1271"/>
      <c r="D643" s="1701" t="s">
        <v>839</v>
      </c>
      <c r="E643" s="1550" t="s">
        <v>565</v>
      </c>
      <c r="F643" s="1271">
        <v>5</v>
      </c>
      <c r="G643" s="1519"/>
      <c r="H643" s="1501">
        <f t="shared" ref="H643:H700" si="75">IF(E643="","",ROUND(F643*G643,2))</f>
        <v>0</v>
      </c>
      <c r="I643" s="483"/>
    </row>
    <row r="644" spans="1:9">
      <c r="A644" s="1763"/>
      <c r="B644" s="1271"/>
      <c r="C644" s="1271"/>
      <c r="D644" s="1701"/>
      <c r="E644" s="1550"/>
      <c r="F644" s="1271"/>
      <c r="G644" s="1519"/>
      <c r="H644" s="1501" t="str">
        <f t="shared" si="75"/>
        <v/>
      </c>
      <c r="I644" s="483"/>
    </row>
    <row r="645" spans="1:9">
      <c r="A645" s="1763"/>
      <c r="B645" s="1271"/>
      <c r="C645" s="1271">
        <v>8.3000000000000007</v>
      </c>
      <c r="D645" s="1963" t="s">
        <v>645</v>
      </c>
      <c r="E645" s="1271"/>
      <c r="F645" s="1271"/>
      <c r="G645" s="1519"/>
      <c r="H645" s="1501" t="str">
        <f t="shared" si="75"/>
        <v/>
      </c>
      <c r="I645" s="483"/>
    </row>
    <row r="646" spans="1:9">
      <c r="A646" s="1763"/>
      <c r="B646" s="1271"/>
      <c r="C646" s="1271"/>
      <c r="D646" s="1701"/>
      <c r="E646" s="1271"/>
      <c r="F646" s="1271"/>
      <c r="G646" s="1519"/>
      <c r="H646" s="1501" t="str">
        <f t="shared" si="75"/>
        <v/>
      </c>
      <c r="I646" s="483"/>
    </row>
    <row r="647" spans="1:9">
      <c r="A647" s="1763"/>
      <c r="B647" s="1271"/>
      <c r="C647" s="1271" t="s">
        <v>226</v>
      </c>
      <c r="D647" s="1963" t="s">
        <v>840</v>
      </c>
      <c r="E647" s="1271"/>
      <c r="F647" s="1271"/>
      <c r="G647" s="1519"/>
      <c r="H647" s="1501" t="str">
        <f t="shared" si="75"/>
        <v/>
      </c>
      <c r="I647" s="483"/>
    </row>
    <row r="648" spans="1:9">
      <c r="A648" s="1763"/>
      <c r="B648" s="1271"/>
      <c r="C648" s="1271"/>
      <c r="D648" s="1701"/>
      <c r="E648" s="1271"/>
      <c r="F648" s="1271"/>
      <c r="G648" s="1519"/>
      <c r="H648" s="1501" t="str">
        <f t="shared" si="75"/>
        <v/>
      </c>
      <c r="I648" s="483"/>
    </row>
    <row r="649" spans="1:9">
      <c r="A649" s="1763">
        <f t="shared" ref="A649" si="76">$A$4</f>
        <v>3</v>
      </c>
      <c r="B649" s="1271">
        <v>6.11</v>
      </c>
      <c r="C649" s="1271" t="s">
        <v>647</v>
      </c>
      <c r="D649" s="1701" t="s">
        <v>841</v>
      </c>
      <c r="E649" s="1271" t="s">
        <v>649</v>
      </c>
      <c r="F649" s="1271">
        <v>1.2</v>
      </c>
      <c r="G649" s="1519"/>
      <c r="H649" s="1501">
        <f t="shared" si="75"/>
        <v>0</v>
      </c>
      <c r="I649" s="483"/>
    </row>
    <row r="650" spans="1:9">
      <c r="A650" s="1763"/>
      <c r="B650" s="1271"/>
      <c r="C650" s="1271"/>
      <c r="D650" s="1701"/>
      <c r="E650" s="1271"/>
      <c r="F650" s="1271"/>
      <c r="G650" s="1519"/>
      <c r="H650" s="1501" t="str">
        <f t="shared" si="75"/>
        <v/>
      </c>
      <c r="I650" s="483"/>
    </row>
    <row r="651" spans="1:9">
      <c r="A651" s="1763"/>
      <c r="B651" s="1261"/>
      <c r="C651" s="1830" t="s">
        <v>226</v>
      </c>
      <c r="D651" s="1831" t="s">
        <v>650</v>
      </c>
      <c r="E651" s="1832"/>
      <c r="F651" s="1270"/>
      <c r="G651" s="1533"/>
      <c r="H651" s="1501" t="str">
        <f t="shared" si="75"/>
        <v/>
      </c>
      <c r="I651" s="1241"/>
    </row>
    <row r="652" spans="1:9">
      <c r="A652" s="1763"/>
      <c r="B652" s="1261"/>
      <c r="C652" s="1830"/>
      <c r="D652" s="1833"/>
      <c r="E652" s="1832"/>
      <c r="F652" s="1270"/>
      <c r="G652" s="1979"/>
      <c r="H652" s="1501" t="str">
        <f t="shared" si="75"/>
        <v/>
      </c>
      <c r="I652" s="1241"/>
    </row>
    <row r="653" spans="1:9">
      <c r="A653" s="1763">
        <f t="shared" ref="A653" si="77">$A$4</f>
        <v>3</v>
      </c>
      <c r="B653" s="1261">
        <v>6.12</v>
      </c>
      <c r="C653" s="1830" t="s">
        <v>647</v>
      </c>
      <c r="D653" s="1834" t="s">
        <v>682</v>
      </c>
      <c r="E653" s="1261" t="s">
        <v>649</v>
      </c>
      <c r="F653" s="1270">
        <v>0.5</v>
      </c>
      <c r="G653" s="1979"/>
      <c r="H653" s="1501">
        <f t="shared" si="75"/>
        <v>0</v>
      </c>
      <c r="I653" s="1241"/>
    </row>
    <row r="654" spans="1:9">
      <c r="A654" s="1763"/>
      <c r="B654" s="1261"/>
      <c r="C654" s="1261"/>
      <c r="D654" s="1828"/>
      <c r="E654" s="1261"/>
      <c r="F654" s="1270"/>
      <c r="G654" s="1979"/>
      <c r="H654" s="1501" t="str">
        <f t="shared" si="75"/>
        <v/>
      </c>
      <c r="I654" s="1241"/>
    </row>
    <row r="655" spans="1:9">
      <c r="A655" s="1763"/>
      <c r="B655" s="1996"/>
      <c r="C655" s="1888">
        <v>8.4</v>
      </c>
      <c r="D655" s="1963" t="s">
        <v>652</v>
      </c>
      <c r="E655" s="1271"/>
      <c r="F655" s="1271"/>
      <c r="G655" s="1955"/>
      <c r="H655" s="1501" t="str">
        <f t="shared" si="75"/>
        <v/>
      </c>
      <c r="I655" s="483"/>
    </row>
    <row r="656" spans="1:9">
      <c r="A656" s="1763"/>
      <c r="B656" s="1271"/>
      <c r="C656" s="1271"/>
      <c r="D656" s="1701"/>
      <c r="E656" s="1271"/>
      <c r="F656" s="1271"/>
      <c r="G656" s="1955"/>
      <c r="H656" s="1501" t="str">
        <f t="shared" si="75"/>
        <v/>
      </c>
      <c r="I656" s="483"/>
    </row>
    <row r="657" spans="1:9">
      <c r="A657" s="1763"/>
      <c r="B657" s="1996"/>
      <c r="C657" s="1271" t="s">
        <v>337</v>
      </c>
      <c r="D657" s="1887" t="s">
        <v>842</v>
      </c>
      <c r="E657" s="1271"/>
      <c r="F657" s="1271"/>
      <c r="G657" s="1955"/>
      <c r="H657" s="1501" t="str">
        <f t="shared" si="75"/>
        <v/>
      </c>
      <c r="I657" s="483"/>
    </row>
    <row r="658" spans="1:9">
      <c r="A658" s="1763"/>
      <c r="B658" s="1271"/>
      <c r="C658" s="1271"/>
      <c r="D658" s="1701"/>
      <c r="E658" s="1271"/>
      <c r="F658" s="1271"/>
      <c r="G658" s="1955"/>
      <c r="H658" s="1501" t="str">
        <f t="shared" si="75"/>
        <v/>
      </c>
      <c r="I658" s="483"/>
    </row>
    <row r="659" spans="1:9" ht="15.6">
      <c r="A659" s="1763">
        <f t="shared" ref="A659" si="78">$A$4</f>
        <v>3</v>
      </c>
      <c r="B659" s="1271">
        <v>6.13</v>
      </c>
      <c r="C659" s="1271"/>
      <c r="D659" s="1701" t="s">
        <v>843</v>
      </c>
      <c r="E659" s="1550" t="s">
        <v>565</v>
      </c>
      <c r="F659" s="1271">
        <v>105</v>
      </c>
      <c r="G659" s="1955"/>
      <c r="H659" s="1501">
        <f t="shared" si="75"/>
        <v>0</v>
      </c>
      <c r="I659" s="483"/>
    </row>
    <row r="660" spans="1:9">
      <c r="A660" s="1763"/>
      <c r="B660" s="1271"/>
      <c r="C660" s="1271"/>
      <c r="D660" s="1701"/>
      <c r="E660" s="1271"/>
      <c r="F660" s="1271"/>
      <c r="G660" s="1955"/>
      <c r="H660" s="1501" t="str">
        <f t="shared" si="75"/>
        <v/>
      </c>
      <c r="I660" s="483"/>
    </row>
    <row r="661" spans="1:9">
      <c r="A661" s="1763"/>
      <c r="B661" s="1271"/>
      <c r="C661" s="1271" t="s">
        <v>375</v>
      </c>
      <c r="D661" s="1963" t="s">
        <v>655</v>
      </c>
      <c r="E661" s="1271"/>
      <c r="F661" s="1271"/>
      <c r="G661" s="1955"/>
      <c r="H661" s="1501" t="str">
        <f t="shared" si="75"/>
        <v/>
      </c>
      <c r="I661" s="483"/>
    </row>
    <row r="662" spans="1:9">
      <c r="A662" s="1763"/>
      <c r="B662" s="1271"/>
      <c r="C662" s="1271"/>
      <c r="D662" s="1701"/>
      <c r="E662" s="1701"/>
      <c r="F662" s="1271"/>
      <c r="G662" s="1955"/>
      <c r="H662" s="1501" t="str">
        <f t="shared" si="75"/>
        <v/>
      </c>
      <c r="I662" s="483"/>
    </row>
    <row r="663" spans="1:9">
      <c r="A663" s="1763">
        <f t="shared" ref="A663" si="79">$A$4</f>
        <v>3</v>
      </c>
      <c r="B663" s="1271">
        <v>6.14</v>
      </c>
      <c r="C663" s="1271"/>
      <c r="D663" s="1701" t="s">
        <v>844</v>
      </c>
      <c r="E663" s="1550" t="s">
        <v>508</v>
      </c>
      <c r="F663" s="1271">
        <v>15</v>
      </c>
      <c r="G663" s="1955"/>
      <c r="H663" s="1501">
        <f t="shared" si="75"/>
        <v>0</v>
      </c>
      <c r="I663" s="483"/>
    </row>
    <row r="664" spans="1:9">
      <c r="A664" s="1763"/>
      <c r="B664" s="1271"/>
      <c r="C664" s="1271"/>
      <c r="D664" s="1701"/>
      <c r="E664" s="1271"/>
      <c r="F664" s="1271"/>
      <c r="G664" s="1955"/>
      <c r="H664" s="1501" t="str">
        <f t="shared" si="75"/>
        <v/>
      </c>
      <c r="I664" s="483"/>
    </row>
    <row r="665" spans="1:9">
      <c r="A665" s="1763">
        <f t="shared" ref="A665" si="80">$A$4</f>
        <v>3</v>
      </c>
      <c r="B665" s="1271">
        <v>6.15</v>
      </c>
      <c r="C665" s="1271"/>
      <c r="D665" s="1701" t="s">
        <v>845</v>
      </c>
      <c r="E665" s="1550" t="s">
        <v>508</v>
      </c>
      <c r="F665" s="1271">
        <v>15</v>
      </c>
      <c r="G665" s="1955"/>
      <c r="H665" s="1501">
        <f t="shared" si="75"/>
        <v>0</v>
      </c>
      <c r="I665" s="483"/>
    </row>
    <row r="666" spans="1:9">
      <c r="A666" s="1763"/>
      <c r="B666" s="1271"/>
      <c r="C666" s="1271"/>
      <c r="D666" s="1701"/>
      <c r="E666" s="1550"/>
      <c r="F666" s="1271"/>
      <c r="G666" s="1955"/>
      <c r="H666" s="1501" t="str">
        <f t="shared" si="75"/>
        <v/>
      </c>
      <c r="I666" s="483"/>
    </row>
    <row r="667" spans="1:9">
      <c r="A667" s="1763"/>
      <c r="B667" s="1271"/>
      <c r="C667" s="1876" t="s">
        <v>709</v>
      </c>
      <c r="D667" s="1877" t="s">
        <v>161</v>
      </c>
      <c r="E667" s="1906"/>
      <c r="F667" s="1271"/>
      <c r="G667" s="1997"/>
      <c r="H667" s="1501" t="str">
        <f t="shared" si="75"/>
        <v/>
      </c>
      <c r="I667" s="483"/>
    </row>
    <row r="668" spans="1:9">
      <c r="A668" s="1763"/>
      <c r="B668" s="1271"/>
      <c r="C668" s="1876"/>
      <c r="D668" s="1878"/>
      <c r="E668" s="1906"/>
      <c r="F668" s="1271"/>
      <c r="G668" s="1997"/>
      <c r="H668" s="1501" t="str">
        <f t="shared" si="75"/>
        <v/>
      </c>
      <c r="I668" s="483"/>
    </row>
    <row r="669" spans="1:9">
      <c r="A669" s="1763"/>
      <c r="B669" s="1271"/>
      <c r="C669" s="1876" t="s">
        <v>746</v>
      </c>
      <c r="D669" s="1879" t="s">
        <v>827</v>
      </c>
      <c r="E669" s="1906"/>
      <c r="F669" s="1271"/>
      <c r="G669" s="1997"/>
      <c r="H669" s="1501" t="str">
        <f t="shared" si="75"/>
        <v/>
      </c>
      <c r="I669" s="483"/>
    </row>
    <row r="670" spans="1:9">
      <c r="A670" s="1763"/>
      <c r="B670" s="1271"/>
      <c r="C670" s="1876"/>
      <c r="D670" s="1564"/>
      <c r="E670" s="1906"/>
      <c r="F670" s="1271"/>
      <c r="G670" s="1997"/>
      <c r="H670" s="1501" t="str">
        <f t="shared" si="75"/>
        <v/>
      </c>
      <c r="I670" s="483"/>
    </row>
    <row r="671" spans="1:9" ht="39.6">
      <c r="A671" s="1763"/>
      <c r="B671" s="1271"/>
      <c r="C671" s="1876"/>
      <c r="D671" s="1877" t="s">
        <v>712</v>
      </c>
      <c r="E671" s="1906"/>
      <c r="F671" s="1271"/>
      <c r="G671" s="1997"/>
      <c r="H671" s="1501" t="str">
        <f t="shared" si="75"/>
        <v/>
      </c>
      <c r="I671" s="483"/>
    </row>
    <row r="672" spans="1:9">
      <c r="A672" s="1763"/>
      <c r="B672" s="1271"/>
      <c r="C672" s="1876"/>
      <c r="D672" s="1877"/>
      <c r="E672" s="1906"/>
      <c r="F672" s="1763"/>
      <c r="G672" s="1516"/>
      <c r="H672" s="1501" t="str">
        <f t="shared" si="75"/>
        <v/>
      </c>
      <c r="I672" s="483"/>
    </row>
    <row r="673" spans="1:9">
      <c r="A673" s="1763">
        <f t="shared" ref="A673" si="81">$A$4</f>
        <v>3</v>
      </c>
      <c r="B673" s="1271">
        <v>6.16</v>
      </c>
      <c r="C673" s="1271"/>
      <c r="D673" s="1564" t="s">
        <v>828</v>
      </c>
      <c r="E673" s="1271"/>
      <c r="F673" s="1763"/>
      <c r="G673" s="1519"/>
      <c r="H673" s="1501" t="str">
        <f t="shared" si="75"/>
        <v/>
      </c>
      <c r="I673" s="483"/>
    </row>
    <row r="674" spans="1:9">
      <c r="A674" s="1763"/>
      <c r="B674" s="1271"/>
      <c r="C674" s="1271"/>
      <c r="D674" s="1564"/>
      <c r="E674" s="1271"/>
      <c r="F674" s="1763"/>
      <c r="G674" s="1519"/>
      <c r="H674" s="1501" t="str">
        <f t="shared" si="75"/>
        <v/>
      </c>
      <c r="I674" s="483"/>
    </row>
    <row r="675" spans="1:9">
      <c r="A675" s="1763">
        <f t="shared" ref="A675" si="82">$A$4</f>
        <v>3</v>
      </c>
      <c r="B675" s="1271">
        <v>6.17</v>
      </c>
      <c r="C675" s="1876"/>
      <c r="D675" s="1564" t="s">
        <v>846</v>
      </c>
      <c r="E675" s="1906" t="s">
        <v>561</v>
      </c>
      <c r="F675" s="1763">
        <v>166</v>
      </c>
      <c r="G675" s="1516"/>
      <c r="H675" s="1501">
        <f t="shared" si="75"/>
        <v>0</v>
      </c>
      <c r="I675" s="483"/>
    </row>
    <row r="676" spans="1:9">
      <c r="A676" s="1763"/>
      <c r="B676" s="1271"/>
      <c r="C676" s="1876"/>
      <c r="D676" s="1564"/>
      <c r="E676" s="1906"/>
      <c r="F676" s="1763"/>
      <c r="G676" s="1516"/>
      <c r="H676" s="1501" t="str">
        <f t="shared" si="75"/>
        <v/>
      </c>
      <c r="I676" s="483"/>
    </row>
    <row r="677" spans="1:9">
      <c r="A677" s="1763">
        <f t="shared" ref="A677" si="83">$A$4</f>
        <v>3</v>
      </c>
      <c r="B677" s="1271">
        <v>6.18</v>
      </c>
      <c r="C677" s="1876"/>
      <c r="D677" s="1564" t="s">
        <v>847</v>
      </c>
      <c r="E677" s="1906" t="s">
        <v>561</v>
      </c>
      <c r="F677" s="1763">
        <v>12</v>
      </c>
      <c r="G677" s="1516"/>
      <c r="H677" s="1501">
        <f t="shared" si="75"/>
        <v>0</v>
      </c>
      <c r="I677" s="483"/>
    </row>
    <row r="678" spans="1:9">
      <c r="A678" s="1763"/>
      <c r="B678" s="1271"/>
      <c r="C678" s="1876"/>
      <c r="D678" s="1877"/>
      <c r="E678" s="1906"/>
      <c r="F678" s="1763"/>
      <c r="G678" s="1516"/>
      <c r="H678" s="1501" t="str">
        <f t="shared" si="75"/>
        <v/>
      </c>
      <c r="I678" s="483"/>
    </row>
    <row r="679" spans="1:9">
      <c r="A679" s="1763"/>
      <c r="B679" s="1271"/>
      <c r="C679" s="1876" t="s">
        <v>747</v>
      </c>
      <c r="D679" s="1879" t="s">
        <v>716</v>
      </c>
      <c r="E679" s="1906"/>
      <c r="F679" s="1763"/>
      <c r="G679" s="1519"/>
      <c r="H679" s="1501" t="str">
        <f t="shared" si="75"/>
        <v/>
      </c>
      <c r="I679" s="483"/>
    </row>
    <row r="680" spans="1:9" s="374" customFormat="1">
      <c r="A680" s="1886"/>
      <c r="B680" s="1271"/>
      <c r="C680" s="1876"/>
      <c r="D680" s="1564"/>
      <c r="E680" s="1906"/>
      <c r="F680" s="1763"/>
      <c r="G680" s="1519"/>
      <c r="H680" s="1501" t="str">
        <f t="shared" si="75"/>
        <v/>
      </c>
      <c r="I680" s="483"/>
    </row>
    <row r="681" spans="1:9" ht="39.6">
      <c r="A681" s="1763"/>
      <c r="B681" s="1271"/>
      <c r="C681" s="1876"/>
      <c r="D681" s="1879" t="s">
        <v>717</v>
      </c>
      <c r="E681" s="1906"/>
      <c r="F681" s="1763"/>
      <c r="G681" s="1519"/>
      <c r="H681" s="1501" t="str">
        <f t="shared" si="75"/>
        <v/>
      </c>
      <c r="I681" s="483"/>
    </row>
    <row r="682" spans="1:9">
      <c r="A682" s="1763"/>
      <c r="B682" s="1271"/>
      <c r="C682" s="1876"/>
      <c r="D682" s="1564"/>
      <c r="E682" s="1906"/>
      <c r="F682" s="1763"/>
      <c r="G682" s="1519"/>
      <c r="H682" s="1501" t="str">
        <f t="shared" si="75"/>
        <v/>
      </c>
      <c r="I682" s="483"/>
    </row>
    <row r="683" spans="1:9" ht="12" customHeight="1">
      <c r="A683" s="1763">
        <f t="shared" ref="A683" si="84">$A$4</f>
        <v>3</v>
      </c>
      <c r="B683" s="1271">
        <v>6.19</v>
      </c>
      <c r="C683" s="1876"/>
      <c r="D683" s="1564" t="s">
        <v>830</v>
      </c>
      <c r="E683" s="1906" t="s">
        <v>561</v>
      </c>
      <c r="F683" s="1763">
        <v>178</v>
      </c>
      <c r="G683" s="1519"/>
      <c r="H683" s="1501">
        <f t="shared" si="75"/>
        <v>0</v>
      </c>
      <c r="I683" s="483"/>
    </row>
    <row r="684" spans="1:9" ht="12" customHeight="1">
      <c r="A684" s="1763"/>
      <c r="B684" s="1271"/>
      <c r="C684" s="1876"/>
      <c r="D684" s="1564"/>
      <c r="E684" s="1906"/>
      <c r="F684" s="1763"/>
      <c r="G684" s="1519"/>
      <c r="H684" s="1501" t="str">
        <f t="shared" si="75"/>
        <v/>
      </c>
      <c r="I684" s="483"/>
    </row>
    <row r="685" spans="1:9" ht="12" customHeight="1">
      <c r="A685" s="1763"/>
      <c r="B685" s="1271"/>
      <c r="C685" s="1876" t="s">
        <v>848</v>
      </c>
      <c r="D685" s="1998" t="s">
        <v>849</v>
      </c>
      <c r="E685" s="1999"/>
      <c r="F685" s="1763"/>
      <c r="G685" s="1519"/>
      <c r="H685" s="1501" t="str">
        <f t="shared" si="75"/>
        <v/>
      </c>
      <c r="I685" s="483"/>
    </row>
    <row r="686" spans="1:9" ht="12" customHeight="1">
      <c r="A686" s="1763"/>
      <c r="B686" s="1271"/>
      <c r="C686" s="1876"/>
      <c r="D686" s="2000"/>
      <c r="E686" s="1999"/>
      <c r="F686" s="1763"/>
      <c r="G686" s="1519"/>
      <c r="H686" s="1501" t="str">
        <f t="shared" si="75"/>
        <v/>
      </c>
      <c r="I686" s="483"/>
    </row>
    <row r="687" spans="1:9" ht="12" customHeight="1">
      <c r="A687" s="1763">
        <f t="shared" ref="A687" si="85">$A$4</f>
        <v>3</v>
      </c>
      <c r="B687" s="1271">
        <v>6.2</v>
      </c>
      <c r="C687" s="1876" t="s">
        <v>850</v>
      </c>
      <c r="D687" s="2000" t="s">
        <v>851</v>
      </c>
      <c r="E687" s="1906" t="s">
        <v>561</v>
      </c>
      <c r="F687" s="1763">
        <v>166</v>
      </c>
      <c r="G687" s="1519"/>
      <c r="H687" s="1501">
        <f t="shared" si="75"/>
        <v>0</v>
      </c>
      <c r="I687" s="483"/>
    </row>
    <row r="688" spans="1:9" ht="12" customHeight="1">
      <c r="A688" s="1763"/>
      <c r="B688" s="1271"/>
      <c r="C688" s="1876"/>
      <c r="D688" s="1564"/>
      <c r="E688" s="1906"/>
      <c r="F688" s="1763"/>
      <c r="G688" s="1872"/>
      <c r="H688" s="1501" t="str">
        <f t="shared" si="75"/>
        <v/>
      </c>
      <c r="I688" s="510"/>
    </row>
    <row r="689" spans="1:9" ht="12" customHeight="1">
      <c r="A689" s="1763"/>
      <c r="B689" s="1888" t="s">
        <v>562</v>
      </c>
      <c r="C689" s="1888"/>
      <c r="D689" s="1963" t="s">
        <v>852</v>
      </c>
      <c r="E689" s="1888"/>
      <c r="F689" s="1886"/>
      <c r="G689" s="1942"/>
      <c r="H689" s="1501" t="str">
        <f t="shared" si="75"/>
        <v/>
      </c>
      <c r="I689" s="1036"/>
    </row>
    <row r="690" spans="1:9" ht="12" customHeight="1">
      <c r="A690" s="1763"/>
      <c r="B690" s="1271"/>
      <c r="C690" s="1271"/>
      <c r="D690" s="1701"/>
      <c r="E690" s="1271"/>
      <c r="F690" s="1763"/>
      <c r="G690" s="1519"/>
      <c r="H690" s="1501" t="str">
        <f t="shared" si="75"/>
        <v/>
      </c>
      <c r="I690" s="483"/>
    </row>
    <row r="691" spans="1:9" ht="12" customHeight="1">
      <c r="A691" s="1763">
        <f t="shared" ref="A691" si="86">$A$4</f>
        <v>3</v>
      </c>
      <c r="B691" s="1271">
        <v>6.21</v>
      </c>
      <c r="C691" s="1271"/>
      <c r="D691" s="1778" t="s">
        <v>853</v>
      </c>
      <c r="E691" s="1271" t="s">
        <v>691</v>
      </c>
      <c r="F691" s="1763">
        <v>2</v>
      </c>
      <c r="G691" s="1516"/>
      <c r="H691" s="1501">
        <f t="shared" si="75"/>
        <v>0</v>
      </c>
      <c r="I691" s="483"/>
    </row>
    <row r="692" spans="1:9" ht="12" customHeight="1">
      <c r="A692" s="1763"/>
      <c r="B692" s="1271"/>
      <c r="C692" s="1271"/>
      <c r="D692" s="1701"/>
      <c r="E692" s="1271"/>
      <c r="F692" s="1763"/>
      <c r="G692" s="1519"/>
      <c r="H692" s="1501" t="str">
        <f t="shared" si="75"/>
        <v/>
      </c>
      <c r="I692" s="483"/>
    </row>
    <row r="693" spans="1:9" ht="12" customHeight="1">
      <c r="A693" s="1763">
        <f t="shared" ref="A693" si="87">$A$4</f>
        <v>3</v>
      </c>
      <c r="B693" s="1271">
        <v>6.22</v>
      </c>
      <c r="C693" s="1271"/>
      <c r="D693" s="1778" t="s">
        <v>854</v>
      </c>
      <c r="E693" s="1271" t="s">
        <v>548</v>
      </c>
      <c r="F693" s="1763">
        <v>1</v>
      </c>
      <c r="G693" s="1614">
        <v>150000</v>
      </c>
      <c r="H693" s="1501">
        <f t="shared" si="75"/>
        <v>150000</v>
      </c>
      <c r="I693" s="483"/>
    </row>
    <row r="694" spans="1:9">
      <c r="A694" s="1763"/>
      <c r="B694" s="1271"/>
      <c r="C694" s="1271"/>
      <c r="D694" s="1701"/>
      <c r="E694" s="1271"/>
      <c r="F694" s="1763"/>
      <c r="G694" s="1519"/>
      <c r="H694" s="1501" t="str">
        <f t="shared" si="75"/>
        <v/>
      </c>
      <c r="I694" s="483"/>
    </row>
    <row r="695" spans="1:9">
      <c r="A695" s="1763"/>
      <c r="B695" s="2001"/>
      <c r="C695" s="2001" t="s">
        <v>855</v>
      </c>
      <c r="D695" s="2002" t="s">
        <v>11</v>
      </c>
      <c r="E695" s="2003" t="s">
        <v>11</v>
      </c>
      <c r="F695" s="1963"/>
      <c r="G695" s="1942"/>
      <c r="H695" s="1501">
        <f t="shared" si="75"/>
        <v>0</v>
      </c>
      <c r="I695" s="1036"/>
    </row>
    <row r="696" spans="1:9">
      <c r="A696" s="1763"/>
      <c r="B696" s="2004" t="s">
        <v>580</v>
      </c>
      <c r="C696" s="2001" t="s">
        <v>856</v>
      </c>
      <c r="D696" s="2005" t="s">
        <v>857</v>
      </c>
      <c r="E696" s="2003"/>
      <c r="F696" s="1271"/>
      <c r="G696" s="1519"/>
      <c r="H696" s="1501" t="str">
        <f t="shared" si="75"/>
        <v/>
      </c>
      <c r="I696" s="483"/>
    </row>
    <row r="697" spans="1:9">
      <c r="A697" s="1763"/>
      <c r="B697" s="2001"/>
      <c r="C697" s="2001" t="s">
        <v>858</v>
      </c>
      <c r="D697" s="2002"/>
      <c r="E697" s="2003"/>
      <c r="F697" s="1271"/>
      <c r="G697" s="1519"/>
      <c r="H697" s="1501" t="str">
        <f t="shared" si="75"/>
        <v/>
      </c>
      <c r="I697" s="483"/>
    </row>
    <row r="698" spans="1:9">
      <c r="A698" s="1763"/>
      <c r="B698" s="2001"/>
      <c r="C698" s="2001"/>
      <c r="D698" s="2006"/>
      <c r="E698" s="2003"/>
      <c r="F698" s="1763"/>
      <c r="G698" s="1519"/>
      <c r="H698" s="1501" t="str">
        <f t="shared" si="75"/>
        <v/>
      </c>
      <c r="I698" s="483"/>
    </row>
    <row r="699" spans="1:9">
      <c r="A699" s="1763">
        <f t="shared" ref="A699" si="88">$A$4</f>
        <v>3</v>
      </c>
      <c r="B699" s="2001">
        <v>6.23</v>
      </c>
      <c r="C699" s="2001" t="s">
        <v>859</v>
      </c>
      <c r="D699" s="2002" t="s">
        <v>860</v>
      </c>
      <c r="E699" s="2003" t="s">
        <v>561</v>
      </c>
      <c r="F699" s="1271">
        <v>25</v>
      </c>
      <c r="G699" s="1519"/>
      <c r="H699" s="1501">
        <f t="shared" si="75"/>
        <v>0</v>
      </c>
      <c r="I699" s="483"/>
    </row>
    <row r="700" spans="1:9">
      <c r="A700" s="1763"/>
      <c r="B700" s="1271"/>
      <c r="C700" s="1962"/>
      <c r="D700" s="1878"/>
      <c r="E700" s="1271"/>
      <c r="F700" s="1763"/>
      <c r="G700" s="1519"/>
      <c r="H700" s="1501" t="str">
        <f t="shared" si="75"/>
        <v/>
      </c>
      <c r="I700" s="483"/>
    </row>
    <row r="701" spans="1:9">
      <c r="A701" s="1763"/>
      <c r="B701" s="1271"/>
      <c r="C701" s="1962"/>
      <c r="D701" s="1878"/>
      <c r="E701" s="1271"/>
      <c r="F701" s="1763"/>
      <c r="G701" s="1519"/>
      <c r="H701" s="1871"/>
      <c r="I701" s="483"/>
    </row>
    <row r="702" spans="1:9">
      <c r="A702" s="1763"/>
      <c r="B702" s="1271"/>
      <c r="C702" s="1962"/>
      <c r="D702" s="1878"/>
      <c r="E702" s="1271"/>
      <c r="F702" s="1763"/>
      <c r="G702" s="1519"/>
      <c r="H702" s="1871"/>
      <c r="I702" s="483"/>
    </row>
    <row r="703" spans="1:9">
      <c r="A703" s="1763"/>
      <c r="B703" s="1271"/>
      <c r="C703" s="1962"/>
      <c r="D703" s="1878"/>
      <c r="E703" s="1271"/>
      <c r="F703" s="1763"/>
      <c r="G703" s="1519"/>
      <c r="H703" s="1871"/>
      <c r="I703" s="483"/>
    </row>
    <row r="704" spans="1:9">
      <c r="A704" s="1763"/>
      <c r="B704" s="1271"/>
      <c r="C704" s="1962"/>
      <c r="D704" s="1878"/>
      <c r="E704" s="1271"/>
      <c r="F704" s="1763"/>
      <c r="G704" s="1519"/>
      <c r="H704" s="1871"/>
      <c r="I704" s="483"/>
    </row>
    <row r="705" spans="1:9">
      <c r="A705" s="1763"/>
      <c r="B705" s="1271"/>
      <c r="C705" s="1962"/>
      <c r="D705" s="1878"/>
      <c r="E705" s="1271"/>
      <c r="F705" s="1763"/>
      <c r="G705" s="1519"/>
      <c r="H705" s="1871"/>
      <c r="I705" s="483"/>
    </row>
    <row r="706" spans="1:9">
      <c r="A706" s="1763"/>
      <c r="B706" s="1271"/>
      <c r="C706" s="1962"/>
      <c r="D706" s="1878"/>
      <c r="E706" s="1271"/>
      <c r="F706" s="1763"/>
      <c r="G706" s="1519"/>
      <c r="H706" s="1871"/>
      <c r="I706" s="483"/>
    </row>
    <row r="707" spans="1:9">
      <c r="A707" s="1272"/>
      <c r="B707" s="2007"/>
      <c r="C707" s="2008"/>
      <c r="D707" s="2009"/>
      <c r="E707" s="2007"/>
      <c r="F707" s="1272"/>
      <c r="G707" s="2010"/>
      <c r="H707" s="2011"/>
      <c r="I707" s="483"/>
    </row>
    <row r="708" spans="1:9">
      <c r="A708" s="1975"/>
      <c r="B708" s="788"/>
      <c r="C708" s="788"/>
      <c r="D708" s="1267"/>
      <c r="E708" s="788"/>
      <c r="F708" s="1268"/>
      <c r="G708" s="1183"/>
      <c r="H708" s="2012"/>
      <c r="I708" s="1273"/>
    </row>
    <row r="709" spans="1:9">
      <c r="A709" s="798"/>
      <c r="B709" s="316"/>
      <c r="C709" s="316"/>
      <c r="D709" s="458" t="s">
        <v>861</v>
      </c>
      <c r="E709" s="316"/>
      <c r="F709" s="317"/>
      <c r="G709" s="1184"/>
      <c r="H709" s="1274">
        <f>SUM(H641:H707)</f>
        <v>150000</v>
      </c>
      <c r="I709" s="1275"/>
    </row>
    <row r="711" spans="1:9">
      <c r="G711" s="1277"/>
    </row>
  </sheetData>
  <sheetProtection algorithmName="SHA-512" hashValue="MU2IUj9Pijvsl19XQDT7rTclG80yi5FMwU4JVTReEHR60kAvRsNVfFHuU4PJ1aT1dwi69YRUun1NkwqShOjvvQ==" saltValue="dluvl8RcTTuAMF7deJ/STw==" spinCount="100000" sheet="1" objects="1" scenarios="1"/>
  <mergeCells count="1">
    <mergeCell ref="A1:H1"/>
  </mergeCells>
  <phoneticPr fontId="33" type="noConversion"/>
  <pageMargins left="0.59055118110236227" right="0.59055118110236227" top="1.1023622047244095" bottom="0.78740157480314965" header="0.27559055118110237" footer="0.27559055118110237"/>
  <pageSetup paperSize="9" scale="64" firstPageNumber="60" fitToHeight="0" orientation="portrait" useFirstPageNumber="1" copies="2" r:id="rId1"/>
  <headerFooter alignWithMargins="0">
    <oddHeader>&amp;L&amp;G&amp;CContract JW 14425
Bushkoppie Wastewater Treatment Works:
Infrastructure Renewal Plan
Volume 1 
C 2.2 Bill of Quantities&amp;R&amp;G</oddHeader>
    <oddFooter>&amp;C&amp;12
&amp;G
C.&amp;P</oddFooter>
  </headerFooter>
  <rowBreaks count="9" manualBreakCount="9">
    <brk id="77" max="7" man="1"/>
    <brk id="151" max="7" man="1"/>
    <brk id="226" max="16383" man="1"/>
    <brk id="289" max="7" man="1"/>
    <brk id="355" max="7" man="1"/>
    <brk id="427" max="7" man="1"/>
    <brk id="494" max="7" man="1"/>
    <brk id="570" max="7" man="1"/>
    <brk id="640" max="7" man="1"/>
  </rowBreaks>
  <colBreaks count="1" manualBreakCount="1">
    <brk id="6" max="1048575" man="1"/>
  </colBreaks>
  <ignoredErrors>
    <ignoredError sqref="C206 C208 C210" numberStoredAsText="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D5116-C4B0-4B9D-BAC6-491BED34C67D}">
  <sheetPr>
    <pageSetUpPr fitToPage="1"/>
  </sheetPr>
  <dimension ref="A1:K83"/>
  <sheetViews>
    <sheetView view="pageBreakPreview" zoomScaleNormal="100" zoomScaleSheetLayoutView="100" workbookViewId="0">
      <selection activeCell="H18" sqref="H18"/>
    </sheetView>
  </sheetViews>
  <sheetFormatPr defaultColWidth="6.109375" defaultRowHeight="13.2"/>
  <cols>
    <col min="1" max="1" width="9.109375" style="8" customWidth="1"/>
    <col min="2" max="2" width="8.88671875" style="9" customWidth="1"/>
    <col min="3" max="3" width="9.88671875" style="2" customWidth="1"/>
    <col min="4" max="4" width="58.88671875" style="2" customWidth="1"/>
    <col min="5" max="5" width="8.88671875" style="9" customWidth="1"/>
    <col min="6" max="6" width="10.88671875" style="25" customWidth="1"/>
    <col min="7" max="7" width="14.88671875" style="319" customWidth="1"/>
    <col min="8" max="8" width="20.88671875" style="2" customWidth="1"/>
    <col min="9" max="9" width="15.5546875" style="2" customWidth="1"/>
    <col min="10" max="11" width="6.109375" style="2" customWidth="1"/>
    <col min="12" max="16384" width="6.109375" style="2"/>
  </cols>
  <sheetData>
    <row r="1" spans="1:9" s="5" customFormat="1" ht="15">
      <c r="A1" s="3007" t="s">
        <v>862</v>
      </c>
      <c r="B1" s="3008"/>
      <c r="C1" s="3008"/>
      <c r="D1" s="3008"/>
      <c r="E1" s="3008"/>
      <c r="F1" s="3008"/>
      <c r="G1" s="3008"/>
      <c r="H1" s="3009"/>
    </row>
    <row r="2" spans="1:9" s="32" customFormat="1" ht="25.5" customHeight="1">
      <c r="A2" s="453" t="s">
        <v>541</v>
      </c>
      <c r="B2" s="2013" t="s">
        <v>217</v>
      </c>
      <c r="C2" s="2014" t="s">
        <v>218</v>
      </c>
      <c r="D2" s="1756" t="s">
        <v>219</v>
      </c>
      <c r="E2" s="2015" t="s">
        <v>220</v>
      </c>
      <c r="F2" s="2016" t="s">
        <v>221</v>
      </c>
      <c r="G2" s="2017" t="s">
        <v>222</v>
      </c>
      <c r="H2" s="2018" t="s">
        <v>223</v>
      </c>
    </row>
    <row r="3" spans="1:9">
      <c r="A3" s="2019"/>
      <c r="B3" s="2020"/>
      <c r="C3" s="2021"/>
      <c r="D3" s="2022"/>
      <c r="E3" s="2023"/>
      <c r="F3" s="2024"/>
      <c r="G3" s="2025"/>
      <c r="H3" s="2026"/>
    </row>
    <row r="4" spans="1:9" s="489" customFormat="1" ht="13.8">
      <c r="A4" s="2027">
        <v>4</v>
      </c>
      <c r="B4" s="2028">
        <v>1</v>
      </c>
      <c r="C4" s="793"/>
      <c r="D4" s="1801" t="s">
        <v>863</v>
      </c>
      <c r="E4" s="1802"/>
      <c r="F4" s="1802"/>
      <c r="G4" s="1175"/>
      <c r="H4" s="1803"/>
    </row>
    <row r="5" spans="1:9">
      <c r="A5" s="2019"/>
      <c r="B5" s="1667"/>
      <c r="C5" s="2029"/>
      <c r="D5" s="2030"/>
      <c r="E5" s="1669"/>
      <c r="F5" s="1816"/>
      <c r="G5" s="1188"/>
      <c r="H5" s="2031"/>
    </row>
    <row r="6" spans="1:9">
      <c r="A6" s="2019"/>
      <c r="B6" s="1766" t="s">
        <v>543</v>
      </c>
      <c r="C6" s="2032" t="s">
        <v>673</v>
      </c>
      <c r="D6" s="2033" t="s">
        <v>864</v>
      </c>
      <c r="E6" s="1783"/>
      <c r="F6" s="2034"/>
      <c r="G6" s="1188"/>
      <c r="H6" s="2031"/>
    </row>
    <row r="7" spans="1:9">
      <c r="A7" s="2019"/>
      <c r="B7" s="1783"/>
      <c r="C7" s="1557"/>
      <c r="D7" s="2035"/>
      <c r="E7" s="1783"/>
      <c r="F7" s="2034"/>
      <c r="G7" s="1188"/>
      <c r="H7" s="2031"/>
    </row>
    <row r="8" spans="1:9" ht="15.6">
      <c r="A8" s="2019">
        <f>$A$4</f>
        <v>4</v>
      </c>
      <c r="B8" s="1783">
        <v>1.1000000000000001</v>
      </c>
      <c r="C8" s="2036"/>
      <c r="D8" s="2037" t="s">
        <v>865</v>
      </c>
      <c r="E8" s="1550" t="s">
        <v>631</v>
      </c>
      <c r="F8" s="1558">
        <v>50</v>
      </c>
      <c r="G8" s="1189"/>
      <c r="H8" s="1501">
        <f t="shared" ref="H8:H51" si="0">IF(E8="","",ROUND(F8*G8,2))</f>
        <v>0</v>
      </c>
    </row>
    <row r="9" spans="1:9">
      <c r="A9" s="2019"/>
      <c r="B9" s="1783"/>
      <c r="C9" s="1557"/>
      <c r="D9" s="2035"/>
      <c r="E9" s="1783"/>
      <c r="F9" s="1558"/>
      <c r="G9" s="1188"/>
      <c r="H9" s="1501" t="str">
        <f t="shared" si="0"/>
        <v/>
      </c>
    </row>
    <row r="10" spans="1:9" ht="15.6">
      <c r="A10" s="2019">
        <f>$A$4</f>
        <v>4</v>
      </c>
      <c r="B10" s="1783">
        <v>1.2</v>
      </c>
      <c r="C10" s="2036"/>
      <c r="D10" s="2035" t="s">
        <v>866</v>
      </c>
      <c r="E10" s="1550" t="s">
        <v>565</v>
      </c>
      <c r="F10" s="1558">
        <v>1174.9556524425827</v>
      </c>
      <c r="G10" s="1190"/>
      <c r="H10" s="1501">
        <f t="shared" si="0"/>
        <v>0</v>
      </c>
    </row>
    <row r="11" spans="1:9">
      <c r="A11" s="2019"/>
      <c r="B11" s="1783"/>
      <c r="C11" s="2036"/>
      <c r="D11" s="2035"/>
      <c r="E11" s="1550"/>
      <c r="F11" s="1558"/>
      <c r="G11" s="1191"/>
      <c r="H11" s="1501" t="str">
        <f t="shared" si="0"/>
        <v/>
      </c>
    </row>
    <row r="12" spans="1:9" ht="15.6">
      <c r="A12" s="2019">
        <f>$A$4</f>
        <v>4</v>
      </c>
      <c r="B12" s="1783">
        <v>1.3</v>
      </c>
      <c r="C12" s="2036"/>
      <c r="D12" s="2035" t="s">
        <v>867</v>
      </c>
      <c r="E12" s="1550" t="s">
        <v>565</v>
      </c>
      <c r="F12" s="1823">
        <v>4607</v>
      </c>
      <c r="G12" s="1191"/>
      <c r="H12" s="1501">
        <f t="shared" si="0"/>
        <v>0</v>
      </c>
    </row>
    <row r="13" spans="1:9">
      <c r="A13" s="2019"/>
      <c r="B13" s="1783"/>
      <c r="C13" s="1557"/>
      <c r="D13" s="2035"/>
      <c r="E13" s="1783"/>
      <c r="F13" s="2034"/>
      <c r="G13" s="1188"/>
      <c r="H13" s="1501" t="str">
        <f t="shared" si="0"/>
        <v/>
      </c>
    </row>
    <row r="14" spans="1:9" ht="24.75" customHeight="1">
      <c r="A14" s="2019"/>
      <c r="B14" s="2038" t="s">
        <v>549</v>
      </c>
      <c r="C14" s="2039" t="s">
        <v>581</v>
      </c>
      <c r="D14" s="1982" t="s">
        <v>636</v>
      </c>
      <c r="E14" s="1981"/>
      <c r="F14" s="2040"/>
      <c r="G14" s="1188"/>
      <c r="H14" s="1501" t="str">
        <f t="shared" si="0"/>
        <v/>
      </c>
    </row>
    <row r="15" spans="1:9">
      <c r="A15" s="2019"/>
      <c r="B15" s="2041"/>
      <c r="C15" s="1554"/>
      <c r="D15" s="2042"/>
      <c r="E15" s="1981"/>
      <c r="F15" s="2040"/>
      <c r="G15" s="1188"/>
      <c r="H15" s="1501" t="str">
        <f t="shared" si="0"/>
        <v/>
      </c>
    </row>
    <row r="16" spans="1:9" ht="30" customHeight="1">
      <c r="A16" s="2019">
        <f>$A$4</f>
        <v>4</v>
      </c>
      <c r="B16" s="2029">
        <v>1.4</v>
      </c>
      <c r="C16" s="1876" t="s">
        <v>868</v>
      </c>
      <c r="D16" s="1771" t="s">
        <v>728</v>
      </c>
      <c r="E16" s="1550" t="s">
        <v>561</v>
      </c>
      <c r="F16" s="1266">
        <v>250</v>
      </c>
      <c r="G16" s="1885"/>
      <c r="H16" s="1501">
        <f t="shared" si="0"/>
        <v>0</v>
      </c>
      <c r="I16" s="354"/>
    </row>
    <row r="17" spans="1:11">
      <c r="A17" s="2019"/>
      <c r="B17" s="2041"/>
      <c r="C17" s="2043"/>
      <c r="D17" s="2044" t="s">
        <v>11</v>
      </c>
      <c r="E17" s="1667"/>
      <c r="F17" s="1816"/>
      <c r="G17" s="1539"/>
      <c r="H17" s="1501" t="str">
        <f t="shared" si="0"/>
        <v/>
      </c>
    </row>
    <row r="18" spans="1:11" ht="15.6">
      <c r="A18" s="2019">
        <f>$A$4</f>
        <v>4</v>
      </c>
      <c r="B18" s="2029">
        <v>1.5</v>
      </c>
      <c r="C18" s="1550"/>
      <c r="D18" s="1840" t="s">
        <v>745</v>
      </c>
      <c r="E18" s="1550" t="s">
        <v>565</v>
      </c>
      <c r="F18" s="1558">
        <v>1379.7874934566375</v>
      </c>
      <c r="G18" s="1515"/>
      <c r="H18" s="1501">
        <f t="shared" si="0"/>
        <v>0</v>
      </c>
    </row>
    <row r="19" spans="1:11">
      <c r="A19" s="2019"/>
      <c r="B19" s="2045"/>
      <c r="C19" s="1550"/>
      <c r="D19" s="1783"/>
      <c r="E19" s="1550"/>
      <c r="F19" s="1550"/>
      <c r="G19" s="1516"/>
      <c r="H19" s="1501" t="str">
        <f t="shared" si="0"/>
        <v/>
      </c>
    </row>
    <row r="20" spans="1:11">
      <c r="A20" s="2019">
        <f>$A$4</f>
        <v>4</v>
      </c>
      <c r="B20" s="2046">
        <v>1.6</v>
      </c>
      <c r="C20" s="1550"/>
      <c r="D20" s="1780" t="s">
        <v>567</v>
      </c>
      <c r="E20" s="1261" t="s">
        <v>252</v>
      </c>
      <c r="F20" s="1781">
        <v>1</v>
      </c>
      <c r="G20" s="509">
        <v>633844</v>
      </c>
      <c r="H20" s="1501">
        <f t="shared" si="0"/>
        <v>633844</v>
      </c>
    </row>
    <row r="21" spans="1:11">
      <c r="A21" s="2019"/>
      <c r="B21" s="2045"/>
      <c r="C21" s="1550"/>
      <c r="D21" s="1783"/>
      <c r="E21" s="1550"/>
      <c r="F21" s="1550"/>
      <c r="G21" s="1516"/>
      <c r="H21" s="1501" t="str">
        <f t="shared" si="0"/>
        <v/>
      </c>
    </row>
    <row r="22" spans="1:11">
      <c r="A22" s="2019"/>
      <c r="B22" s="1575"/>
      <c r="C22" s="2047" t="s">
        <v>709</v>
      </c>
      <c r="D22" s="2048" t="s">
        <v>161</v>
      </c>
      <c r="E22" s="1906"/>
      <c r="F22" s="1967"/>
      <c r="G22" s="1188"/>
      <c r="H22" s="1501" t="str">
        <f t="shared" si="0"/>
        <v/>
      </c>
    </row>
    <row r="23" spans="1:11">
      <c r="A23" s="2019"/>
      <c r="B23" s="1575"/>
      <c r="C23" s="2047"/>
      <c r="D23" s="2049"/>
      <c r="E23" s="1906"/>
      <c r="F23" s="1967"/>
      <c r="G23" s="1188"/>
      <c r="H23" s="1501" t="str">
        <f t="shared" si="0"/>
        <v/>
      </c>
    </row>
    <row r="24" spans="1:11">
      <c r="A24" s="2019"/>
      <c r="B24" s="1575"/>
      <c r="C24" s="2050"/>
      <c r="D24" s="2048" t="s">
        <v>720</v>
      </c>
      <c r="E24" s="1906"/>
      <c r="F24" s="1967"/>
      <c r="G24" s="1188"/>
      <c r="H24" s="1501" t="str">
        <f t="shared" si="0"/>
        <v/>
      </c>
    </row>
    <row r="25" spans="1:11">
      <c r="A25" s="2019"/>
      <c r="B25" s="1575"/>
      <c r="C25" s="2047"/>
      <c r="D25" s="2049"/>
      <c r="E25" s="1906"/>
      <c r="F25" s="1967"/>
      <c r="G25" s="1188"/>
      <c r="H25" s="1501" t="str">
        <f t="shared" si="0"/>
        <v/>
      </c>
    </row>
    <row r="26" spans="1:11">
      <c r="A26" s="2019">
        <f>$A$4</f>
        <v>4</v>
      </c>
      <c r="B26" s="1575">
        <v>1.7</v>
      </c>
      <c r="C26" s="2047"/>
      <c r="D26" s="2051" t="s">
        <v>748</v>
      </c>
      <c r="E26" s="1271" t="s">
        <v>561</v>
      </c>
      <c r="F26" s="1967">
        <v>862.5</v>
      </c>
      <c r="G26" s="1517"/>
      <c r="H26" s="1501">
        <f t="shared" si="0"/>
        <v>0</v>
      </c>
    </row>
    <row r="27" spans="1:11">
      <c r="A27" s="2019"/>
      <c r="B27" s="1575"/>
      <c r="C27" s="2047"/>
      <c r="D27" s="2051"/>
      <c r="E27" s="1271"/>
      <c r="F27" s="1967"/>
      <c r="G27" s="1518"/>
      <c r="H27" s="1501" t="str">
        <f t="shared" si="0"/>
        <v/>
      </c>
    </row>
    <row r="28" spans="1:11">
      <c r="A28" s="2019">
        <f>$A$4</f>
        <v>4</v>
      </c>
      <c r="B28" s="1575">
        <v>1.8</v>
      </c>
      <c r="C28" s="2047"/>
      <c r="D28" s="2051" t="s">
        <v>869</v>
      </c>
      <c r="E28" s="1271" t="s">
        <v>561</v>
      </c>
      <c r="F28" s="1967">
        <v>862.5</v>
      </c>
      <c r="G28" s="1517"/>
      <c r="H28" s="1501">
        <f t="shared" si="0"/>
        <v>0</v>
      </c>
    </row>
    <row r="29" spans="1:11">
      <c r="A29" s="2019"/>
      <c r="B29" s="1575"/>
      <c r="C29" s="2047"/>
      <c r="D29" s="2051"/>
      <c r="E29" s="1271"/>
      <c r="F29" s="1967"/>
      <c r="G29" s="1518"/>
      <c r="H29" s="1501" t="str">
        <f t="shared" si="0"/>
        <v/>
      </c>
    </row>
    <row r="30" spans="1:11" s="12" customFormat="1">
      <c r="A30" s="2019">
        <f>$A$4</f>
        <v>4</v>
      </c>
      <c r="B30" s="1575">
        <v>1.9</v>
      </c>
      <c r="C30" s="1876"/>
      <c r="D30" s="1778" t="s">
        <v>870</v>
      </c>
      <c r="E30" s="1271" t="s">
        <v>561</v>
      </c>
      <c r="F30" s="1967">
        <v>862.5</v>
      </c>
      <c r="G30" s="1519"/>
      <c r="H30" s="1501">
        <f t="shared" si="0"/>
        <v>0</v>
      </c>
      <c r="I30" s="2"/>
      <c r="J30" s="2"/>
      <c r="K30" s="2"/>
    </row>
    <row r="31" spans="1:11">
      <c r="A31" s="2019"/>
      <c r="B31" s="1575"/>
      <c r="C31" s="2047"/>
      <c r="D31" s="2051"/>
      <c r="E31" s="1271"/>
      <c r="F31" s="1967"/>
      <c r="G31" s="1519"/>
      <c r="H31" s="1501" t="str">
        <f t="shared" si="0"/>
        <v/>
      </c>
    </row>
    <row r="32" spans="1:11">
      <c r="A32" s="2019">
        <f>$A$4</f>
        <v>4</v>
      </c>
      <c r="B32" s="1951">
        <v>1.1000000000000001</v>
      </c>
      <c r="C32" s="2047"/>
      <c r="D32" s="2051" t="s">
        <v>725</v>
      </c>
      <c r="E32" s="1271" t="s">
        <v>561</v>
      </c>
      <c r="F32" s="1967">
        <v>862.5</v>
      </c>
      <c r="G32" s="1519"/>
      <c r="H32" s="1501">
        <f t="shared" si="0"/>
        <v>0</v>
      </c>
    </row>
    <row r="33" spans="1:8">
      <c r="A33" s="2019"/>
      <c r="B33" s="1575"/>
      <c r="C33" s="2047"/>
      <c r="D33" s="2049"/>
      <c r="E33" s="1906"/>
      <c r="F33" s="1967"/>
      <c r="G33" s="1518"/>
      <c r="H33" s="1501" t="str">
        <f t="shared" si="0"/>
        <v/>
      </c>
    </row>
    <row r="34" spans="1:8" s="326" customFormat="1">
      <c r="A34" s="2019">
        <f>$A$4</f>
        <v>4</v>
      </c>
      <c r="B34" s="1575">
        <v>1.1100000000000001</v>
      </c>
      <c r="C34" s="2050"/>
      <c r="D34" s="2052" t="s">
        <v>871</v>
      </c>
      <c r="E34" s="1906" t="s">
        <v>273</v>
      </c>
      <c r="F34" s="1967">
        <v>120</v>
      </c>
      <c r="G34" s="1520"/>
      <c r="H34" s="1501">
        <f t="shared" si="0"/>
        <v>0</v>
      </c>
    </row>
    <row r="35" spans="1:8" s="326" customFormat="1">
      <c r="A35" s="2053"/>
      <c r="B35" s="2054"/>
      <c r="C35" s="2050"/>
      <c r="D35" s="2055"/>
      <c r="E35" s="1906"/>
      <c r="F35" s="1967"/>
      <c r="G35" s="1521"/>
      <c r="H35" s="1501" t="str">
        <f t="shared" si="0"/>
        <v/>
      </c>
    </row>
    <row r="36" spans="1:8">
      <c r="A36" s="2019"/>
      <c r="B36" s="1575"/>
      <c r="C36" s="1551" t="s">
        <v>663</v>
      </c>
      <c r="D36" s="2056" t="s">
        <v>664</v>
      </c>
      <c r="E36" s="1550"/>
      <c r="F36" s="2057"/>
      <c r="G36" s="1188"/>
      <c r="H36" s="1501" t="str">
        <f t="shared" si="0"/>
        <v/>
      </c>
    </row>
    <row r="37" spans="1:8">
      <c r="A37" s="2019"/>
      <c r="B37" s="1575"/>
      <c r="C37" s="1551"/>
      <c r="D37" s="1552"/>
      <c r="E37" s="1550"/>
      <c r="F37" s="2057"/>
      <c r="G37" s="1188"/>
      <c r="H37" s="1501" t="str">
        <f t="shared" si="0"/>
        <v/>
      </c>
    </row>
    <row r="38" spans="1:8" s="355" customFormat="1">
      <c r="A38" s="2019">
        <f>$A$4</f>
        <v>4</v>
      </c>
      <c r="B38" s="2058">
        <v>1.1200000000000001</v>
      </c>
      <c r="C38" s="1565"/>
      <c r="D38" s="2059" t="s">
        <v>872</v>
      </c>
      <c r="E38" s="1550" t="s">
        <v>691</v>
      </c>
      <c r="F38" s="2057">
        <v>5</v>
      </c>
      <c r="G38" s="1190"/>
      <c r="H38" s="1501">
        <f t="shared" si="0"/>
        <v>0</v>
      </c>
    </row>
    <row r="39" spans="1:8">
      <c r="A39" s="2019"/>
      <c r="B39" s="1575"/>
      <c r="C39" s="1551"/>
      <c r="D39" s="1552"/>
      <c r="E39" s="1550"/>
      <c r="F39" s="2057"/>
      <c r="G39" s="2060"/>
      <c r="H39" s="1501" t="str">
        <f t="shared" si="0"/>
        <v/>
      </c>
    </row>
    <row r="40" spans="1:8" ht="26.4">
      <c r="A40" s="2019"/>
      <c r="B40" s="1575"/>
      <c r="C40" s="1845" t="s">
        <v>665</v>
      </c>
      <c r="D40" s="2061" t="s">
        <v>666</v>
      </c>
      <c r="E40" s="1550"/>
      <c r="F40" s="2057"/>
      <c r="G40" s="2060"/>
      <c r="H40" s="1501" t="str">
        <f t="shared" si="0"/>
        <v/>
      </c>
    </row>
    <row r="41" spans="1:8">
      <c r="A41" s="2019"/>
      <c r="B41" s="1667"/>
      <c r="C41" s="1551"/>
      <c r="D41" s="2062"/>
      <c r="E41" s="1550"/>
      <c r="F41" s="2063"/>
      <c r="G41" s="2060"/>
      <c r="H41" s="1501" t="str">
        <f t="shared" si="0"/>
        <v/>
      </c>
    </row>
    <row r="42" spans="1:8" s="355" customFormat="1" ht="15.6">
      <c r="A42" s="2019">
        <f>$A$4</f>
        <v>4</v>
      </c>
      <c r="B42" s="1821">
        <v>1.1299999999999999</v>
      </c>
      <c r="C42" s="1565" t="s">
        <v>667</v>
      </c>
      <c r="D42" s="1559" t="s">
        <v>873</v>
      </c>
      <c r="E42" s="1261" t="s">
        <v>657</v>
      </c>
      <c r="F42" s="2064">
        <v>0.5</v>
      </c>
      <c r="G42" s="1191"/>
      <c r="H42" s="1501">
        <f t="shared" si="0"/>
        <v>0</v>
      </c>
    </row>
    <row r="43" spans="1:8" s="355" customFormat="1">
      <c r="A43" s="2065"/>
      <c r="B43" s="1667"/>
      <c r="C43" s="1565"/>
      <c r="D43" s="2066"/>
      <c r="E43" s="1261"/>
      <c r="F43" s="1823"/>
      <c r="G43" s="2067"/>
      <c r="H43" s="1501" t="str">
        <f t="shared" si="0"/>
        <v/>
      </c>
    </row>
    <row r="44" spans="1:8" s="355" customFormat="1" ht="15.6">
      <c r="A44" s="2019">
        <f>$A$4</f>
        <v>4</v>
      </c>
      <c r="B44" s="1821">
        <v>1.1399999999999999</v>
      </c>
      <c r="C44" s="1565" t="s">
        <v>669</v>
      </c>
      <c r="D44" s="1559" t="s">
        <v>670</v>
      </c>
      <c r="E44" s="1261" t="s">
        <v>657</v>
      </c>
      <c r="F44" s="2064">
        <v>0.5</v>
      </c>
      <c r="G44" s="1191"/>
      <c r="H44" s="1501">
        <f t="shared" si="0"/>
        <v>0</v>
      </c>
    </row>
    <row r="45" spans="1:8" s="355" customFormat="1">
      <c r="A45" s="2065"/>
      <c r="B45" s="1667"/>
      <c r="C45" s="1565"/>
      <c r="D45" s="1559"/>
      <c r="E45" s="1261"/>
      <c r="F45" s="2068"/>
      <c r="G45" s="1191"/>
      <c r="H45" s="1501" t="str">
        <f t="shared" si="0"/>
        <v/>
      </c>
    </row>
    <row r="46" spans="1:8" s="355" customFormat="1" ht="52.8">
      <c r="A46" s="1763">
        <f>$A$4</f>
        <v>4</v>
      </c>
      <c r="B46" s="1821">
        <v>1.1499999999999999</v>
      </c>
      <c r="C46" s="1565"/>
      <c r="D46" s="1559" t="s">
        <v>874</v>
      </c>
      <c r="E46" s="1261" t="s">
        <v>561</v>
      </c>
      <c r="F46" s="1823">
        <v>257</v>
      </c>
      <c r="G46" s="1524"/>
      <c r="H46" s="1501">
        <f t="shared" si="0"/>
        <v>0</v>
      </c>
    </row>
    <row r="47" spans="1:8" ht="12" customHeight="1">
      <c r="A47" s="2019"/>
      <c r="B47" s="1667"/>
      <c r="C47" s="1876"/>
      <c r="D47" s="2000"/>
      <c r="E47" s="1906"/>
      <c r="F47" s="2057"/>
      <c r="G47" s="1188"/>
      <c r="H47" s="1501" t="str">
        <f t="shared" si="0"/>
        <v/>
      </c>
    </row>
    <row r="48" spans="1:8" s="6" customFormat="1">
      <c r="A48" s="2069"/>
      <c r="B48" s="1821"/>
      <c r="C48" s="2070"/>
      <c r="D48" s="2070" t="s">
        <v>875</v>
      </c>
      <c r="E48" s="2070"/>
      <c r="F48" s="2070"/>
      <c r="G48" s="1526"/>
      <c r="H48" s="1501" t="str">
        <f t="shared" si="0"/>
        <v/>
      </c>
    </row>
    <row r="49" spans="1:8">
      <c r="A49" s="2019"/>
      <c r="B49" s="1575"/>
      <c r="C49" s="1876"/>
      <c r="D49" s="2000"/>
      <c r="E49" s="1906"/>
      <c r="F49" s="2057"/>
      <c r="G49" s="1188"/>
      <c r="H49" s="1501" t="str">
        <f t="shared" si="0"/>
        <v/>
      </c>
    </row>
    <row r="50" spans="1:8" s="12" customFormat="1">
      <c r="A50" s="2019">
        <f>$A$4</f>
        <v>4</v>
      </c>
      <c r="B50" s="1821">
        <v>1.1599999999999999</v>
      </c>
      <c r="C50" s="1876"/>
      <c r="D50" s="1564" t="s">
        <v>876</v>
      </c>
      <c r="E50" s="1261" t="s">
        <v>252</v>
      </c>
      <c r="F50" s="1781">
        <v>1</v>
      </c>
      <c r="G50" s="509">
        <v>100000</v>
      </c>
      <c r="H50" s="1501">
        <f t="shared" si="0"/>
        <v>100000</v>
      </c>
    </row>
    <row r="51" spans="1:8">
      <c r="A51" s="2019"/>
      <c r="B51" s="1575"/>
      <c r="C51" s="1876"/>
      <c r="D51" s="2000"/>
      <c r="E51" s="1906"/>
      <c r="F51" s="2057"/>
      <c r="G51" s="1188"/>
      <c r="H51" s="1501" t="str">
        <f t="shared" si="0"/>
        <v/>
      </c>
    </row>
    <row r="52" spans="1:8">
      <c r="A52" s="2019"/>
      <c r="B52" s="1575"/>
      <c r="C52" s="1551"/>
      <c r="D52" s="2056"/>
      <c r="E52" s="1550"/>
      <c r="F52" s="2057"/>
      <c r="G52" s="1188"/>
      <c r="H52" s="2031"/>
    </row>
    <row r="53" spans="1:8">
      <c r="A53" s="2019"/>
      <c r="B53" s="1575"/>
      <c r="C53" s="1551"/>
      <c r="D53" s="2056"/>
      <c r="E53" s="1550"/>
      <c r="F53" s="2057"/>
      <c r="G53" s="1188"/>
      <c r="H53" s="2031"/>
    </row>
    <row r="54" spans="1:8">
      <c r="A54" s="2019"/>
      <c r="B54" s="1575"/>
      <c r="C54" s="1551"/>
      <c r="D54" s="2056"/>
      <c r="E54" s="1550"/>
      <c r="F54" s="2057"/>
      <c r="G54" s="1188"/>
      <c r="H54" s="2031"/>
    </row>
    <row r="55" spans="1:8">
      <c r="A55" s="2019"/>
      <c r="B55" s="1575"/>
      <c r="C55" s="1551"/>
      <c r="D55" s="2056"/>
      <c r="E55" s="1550"/>
      <c r="F55" s="2057"/>
      <c r="G55" s="1188"/>
      <c r="H55" s="2031"/>
    </row>
    <row r="56" spans="1:8">
      <c r="A56" s="2019"/>
      <c r="B56" s="1575"/>
      <c r="C56" s="1551"/>
      <c r="D56" s="2056"/>
      <c r="E56" s="1550"/>
      <c r="F56" s="2057"/>
      <c r="G56" s="1188"/>
      <c r="H56" s="2031"/>
    </row>
    <row r="57" spans="1:8">
      <c r="A57" s="2019"/>
      <c r="B57" s="1575"/>
      <c r="C57" s="1551"/>
      <c r="D57" s="2056"/>
      <c r="E57" s="1550"/>
      <c r="F57" s="2057"/>
      <c r="G57" s="1188"/>
      <c r="H57" s="2031"/>
    </row>
    <row r="58" spans="1:8">
      <c r="A58" s="2019"/>
      <c r="B58" s="1575"/>
      <c r="C58" s="1551"/>
      <c r="D58" s="2056"/>
      <c r="E58" s="1550"/>
      <c r="F58" s="2057"/>
      <c r="G58" s="1188"/>
      <c r="H58" s="2031"/>
    </row>
    <row r="59" spans="1:8">
      <c r="A59" s="2019"/>
      <c r="B59" s="1575"/>
      <c r="C59" s="1551"/>
      <c r="D59" s="2056"/>
      <c r="E59" s="1550"/>
      <c r="F59" s="2057"/>
      <c r="G59" s="1188"/>
      <c r="H59" s="2031"/>
    </row>
    <row r="60" spans="1:8">
      <c r="A60" s="2019"/>
      <c r="B60" s="1575"/>
      <c r="C60" s="1551"/>
      <c r="D60" s="2056"/>
      <c r="E60" s="1550"/>
      <c r="F60" s="2057"/>
      <c r="G60" s="1188"/>
      <c r="H60" s="2031"/>
    </row>
    <row r="61" spans="1:8">
      <c r="A61" s="2019"/>
      <c r="B61" s="1575"/>
      <c r="C61" s="1551"/>
      <c r="D61" s="2056"/>
      <c r="E61" s="1550"/>
      <c r="F61" s="2057"/>
      <c r="G61" s="1188"/>
      <c r="H61" s="2031"/>
    </row>
    <row r="62" spans="1:8">
      <c r="A62" s="2019"/>
      <c r="B62" s="1575"/>
      <c r="C62" s="1551"/>
      <c r="D62" s="2056"/>
      <c r="E62" s="1550"/>
      <c r="F62" s="2057"/>
      <c r="G62" s="1188"/>
      <c r="H62" s="2031"/>
    </row>
    <row r="63" spans="1:8">
      <c r="A63" s="2019"/>
      <c r="B63" s="1575"/>
      <c r="C63" s="1551"/>
      <c r="D63" s="2056"/>
      <c r="E63" s="1550"/>
      <c r="F63" s="2057"/>
      <c r="G63" s="1188"/>
      <c r="H63" s="2031"/>
    </row>
    <row r="64" spans="1:8">
      <c r="A64" s="2019"/>
      <c r="B64" s="1575"/>
      <c r="C64" s="1551"/>
      <c r="D64" s="1552"/>
      <c r="E64" s="1550"/>
      <c r="F64" s="2057"/>
      <c r="G64" s="1188"/>
      <c r="H64" s="2031"/>
    </row>
    <row r="65" spans="1:8" s="355" customFormat="1">
      <c r="A65" s="2065"/>
      <c r="B65" s="2058"/>
      <c r="C65" s="1565"/>
      <c r="D65" s="2071"/>
      <c r="E65" s="1261"/>
      <c r="F65" s="2072"/>
      <c r="G65" s="1528"/>
      <c r="H65" s="2073"/>
    </row>
    <row r="66" spans="1:8">
      <c r="A66" s="2019"/>
      <c r="B66" s="1575"/>
      <c r="C66" s="1551"/>
      <c r="D66" s="1552"/>
      <c r="E66" s="1550"/>
      <c r="F66" s="2074"/>
      <c r="G66" s="2060"/>
      <c r="H66" s="2075"/>
    </row>
    <row r="67" spans="1:8">
      <c r="A67" s="2019"/>
      <c r="B67" s="1575"/>
      <c r="C67" s="1845"/>
      <c r="D67" s="2061"/>
      <c r="E67" s="1550"/>
      <c r="F67" s="2074"/>
      <c r="G67" s="2060"/>
      <c r="H67" s="2075"/>
    </row>
    <row r="68" spans="1:8" s="355" customFormat="1">
      <c r="A68" s="2065"/>
      <c r="B68" s="1821"/>
      <c r="C68" s="1565"/>
      <c r="D68" s="2066"/>
      <c r="E68" s="1261"/>
      <c r="F68" s="1823"/>
      <c r="G68" s="2067"/>
      <c r="H68" s="2076"/>
    </row>
    <row r="69" spans="1:8" s="355" customFormat="1">
      <c r="A69" s="2065"/>
      <c r="B69" s="1821"/>
      <c r="C69" s="1565"/>
      <c r="D69" s="1559"/>
      <c r="E69" s="1261"/>
      <c r="F69" s="2064"/>
      <c r="G69" s="1191"/>
      <c r="H69" s="2077"/>
    </row>
    <row r="70" spans="1:8" s="355" customFormat="1">
      <c r="A70" s="2065"/>
      <c r="B70" s="1821"/>
      <c r="C70" s="1565"/>
      <c r="D70" s="2066"/>
      <c r="E70" s="1261"/>
      <c r="F70" s="1823"/>
      <c r="G70" s="2067"/>
      <c r="H70" s="2076"/>
    </row>
    <row r="71" spans="1:8" s="355" customFormat="1">
      <c r="A71" s="2065"/>
      <c r="B71" s="1821"/>
      <c r="C71" s="1565"/>
      <c r="D71" s="1559"/>
      <c r="E71" s="1261"/>
      <c r="F71" s="2064"/>
      <c r="G71" s="1191"/>
      <c r="H71" s="2077"/>
    </row>
    <row r="72" spans="1:8" s="355" customFormat="1">
      <c r="A72" s="2065"/>
      <c r="B72" s="1821"/>
      <c r="C72" s="1565"/>
      <c r="D72" s="1559"/>
      <c r="E72" s="1261"/>
      <c r="F72" s="2068"/>
      <c r="G72" s="1191"/>
      <c r="H72" s="2077"/>
    </row>
    <row r="73" spans="1:8" s="355" customFormat="1">
      <c r="A73" s="2065"/>
      <c r="B73" s="1821"/>
      <c r="C73" s="1565"/>
      <c r="D73" s="1559"/>
      <c r="E73" s="1261"/>
      <c r="F73" s="2068"/>
      <c r="G73" s="1191"/>
      <c r="H73" s="2077"/>
    </row>
    <row r="74" spans="1:8" s="355" customFormat="1">
      <c r="A74" s="2065"/>
      <c r="B74" s="1821"/>
      <c r="C74" s="1565"/>
      <c r="D74" s="1559"/>
      <c r="E74" s="1261"/>
      <c r="F74" s="2068"/>
      <c r="G74" s="1191"/>
      <c r="H74" s="2077"/>
    </row>
    <row r="75" spans="1:8" s="355" customFormat="1">
      <c r="A75" s="2065"/>
      <c r="B75" s="1821"/>
      <c r="C75" s="1565"/>
      <c r="D75" s="1559"/>
      <c r="E75" s="1261"/>
      <c r="F75" s="2068"/>
      <c r="G75" s="1191"/>
      <c r="H75" s="2077"/>
    </row>
    <row r="76" spans="1:8" s="355" customFormat="1">
      <c r="A76" s="2065"/>
      <c r="B76" s="1821"/>
      <c r="C76" s="1565"/>
      <c r="D76" s="1559"/>
      <c r="E76" s="1261"/>
      <c r="F76" s="2068"/>
      <c r="G76" s="1191"/>
      <c r="H76" s="2077"/>
    </row>
    <row r="77" spans="1:8" s="355" customFormat="1">
      <c r="A77" s="2065"/>
      <c r="B77" s="1821"/>
      <c r="C77" s="1565"/>
      <c r="D77" s="1559"/>
      <c r="E77" s="1261"/>
      <c r="F77" s="2068"/>
      <c r="G77" s="1191"/>
      <c r="H77" s="2077"/>
    </row>
    <row r="78" spans="1:8">
      <c r="A78" s="2078"/>
      <c r="B78" s="788"/>
      <c r="C78" s="794"/>
      <c r="D78" s="795"/>
      <c r="E78" s="788"/>
      <c r="F78" s="796"/>
      <c r="G78" s="797"/>
      <c r="H78" s="2079"/>
    </row>
    <row r="79" spans="1:8">
      <c r="A79" s="799"/>
      <c r="B79" s="316"/>
      <c r="C79" s="490"/>
      <c r="D79" s="491" t="s">
        <v>877</v>
      </c>
      <c r="E79" s="316"/>
      <c r="F79" s="492"/>
      <c r="G79" s="493"/>
      <c r="H79" s="1187">
        <f>SUM(H3:H77)</f>
        <v>733844</v>
      </c>
    </row>
    <row r="80" spans="1:8">
      <c r="G80" s="685"/>
    </row>
    <row r="81" spans="7:8">
      <c r="H81" s="509"/>
    </row>
    <row r="82" spans="7:8">
      <c r="H82" s="509"/>
    </row>
    <row r="83" spans="7:8">
      <c r="G83" s="689"/>
    </row>
  </sheetData>
  <sheetProtection algorithmName="SHA-512" hashValue="VSaJG+jyQ6qUMr7H3gpcISadCehJIdiJvSk1xFJbz8/30of0etWg25uTU0U0i7kwvBvpQmSXAvd82JUqXzbAeQ==" saltValue="yRe9/8qo8SLGOk1Bx4tU8A==" spinCount="100000" sheet="1" objects="1" scenarios="1"/>
  <mergeCells count="1">
    <mergeCell ref="A1:H1"/>
  </mergeCells>
  <phoneticPr fontId="33" type="noConversion"/>
  <pageMargins left="0.59055118110236227" right="0.59055118110236227" top="1.1023622047244095" bottom="0.78740157480314965" header="0.27559055118110237" footer="0.27559055118110237"/>
  <pageSetup paperSize="9" scale="64" firstPageNumber="70" fitToHeight="0" orientation="portrait" useFirstPageNumber="1" r:id="rId1"/>
  <headerFooter alignWithMargins="0">
    <oddHeader>&amp;L&amp;G&amp;CContract JW 14425
Bushkoppie Wastewater Treatment Works:
Infrastructure Renewal Plan
Volume 1 
C 2.2 Bill of Quantities&amp;R&amp;G</oddHeader>
    <oddFooter>&amp;C&amp;12
&amp;G
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E5AF9-F08B-4297-A723-176112F67DC8}">
  <sheetPr>
    <pageSetUpPr fitToPage="1"/>
  </sheetPr>
  <dimension ref="A1:J81"/>
  <sheetViews>
    <sheetView view="pageBreakPreview" topLeftCell="A37" zoomScaleNormal="100" zoomScaleSheetLayoutView="100" workbookViewId="0">
      <selection activeCell="G5" sqref="G5"/>
    </sheetView>
  </sheetViews>
  <sheetFormatPr defaultColWidth="6.109375" defaultRowHeight="13.2"/>
  <cols>
    <col min="1" max="1" width="9.109375" style="8" customWidth="1"/>
    <col min="2" max="2" width="8.88671875" style="9" customWidth="1"/>
    <col min="3" max="3" width="9.88671875" style="2" customWidth="1"/>
    <col min="4" max="4" width="58.88671875" style="2" customWidth="1"/>
    <col min="5" max="5" width="8.88671875" style="9" customWidth="1"/>
    <col min="6" max="6" width="10.88671875" style="25" customWidth="1"/>
    <col min="7" max="7" width="14.88671875" style="2" customWidth="1"/>
    <col min="8" max="9" width="20.88671875" style="2" customWidth="1"/>
    <col min="10" max="16384" width="6.109375" style="2"/>
  </cols>
  <sheetData>
    <row r="1" spans="1:9" s="5" customFormat="1" ht="15.6">
      <c r="A1" s="3007" t="s">
        <v>878</v>
      </c>
      <c r="B1" s="3008"/>
      <c r="C1" s="3008"/>
      <c r="D1" s="3008"/>
      <c r="E1" s="3008"/>
      <c r="F1" s="3008"/>
      <c r="G1" s="3008"/>
      <c r="H1" s="3009"/>
      <c r="I1" s="216"/>
    </row>
    <row r="2" spans="1:9" s="32" customFormat="1" ht="25.5" customHeight="1">
      <c r="A2" s="453" t="s">
        <v>541</v>
      </c>
      <c r="B2" s="2013" t="s">
        <v>217</v>
      </c>
      <c r="C2" s="2014" t="s">
        <v>218</v>
      </c>
      <c r="D2" s="1756" t="s">
        <v>219</v>
      </c>
      <c r="E2" s="2015" t="s">
        <v>220</v>
      </c>
      <c r="F2" s="2016" t="s">
        <v>221</v>
      </c>
      <c r="G2" s="790" t="s">
        <v>222</v>
      </c>
      <c r="H2" s="683" t="s">
        <v>223</v>
      </c>
      <c r="I2" s="476"/>
    </row>
    <row r="3" spans="1:9">
      <c r="A3" s="2019"/>
      <c r="B3" s="2020"/>
      <c r="C3" s="2021"/>
      <c r="D3" s="2022"/>
      <c r="E3" s="2023"/>
      <c r="F3" s="2024"/>
      <c r="G3" s="2080"/>
      <c r="H3" s="2026"/>
      <c r="I3" s="477"/>
    </row>
    <row r="4" spans="1:9" s="489" customFormat="1" ht="13.8">
      <c r="A4" s="2027">
        <v>5</v>
      </c>
      <c r="B4" s="2028">
        <v>1</v>
      </c>
      <c r="C4" s="793"/>
      <c r="D4" s="1801" t="s">
        <v>879</v>
      </c>
      <c r="E4" s="1802"/>
      <c r="F4" s="1802"/>
      <c r="G4" s="1511"/>
      <c r="H4" s="1803"/>
    </row>
    <row r="5" spans="1:9">
      <c r="A5" s="2019"/>
      <c r="B5" s="1667"/>
      <c r="C5" s="2029"/>
      <c r="D5" s="2030"/>
      <c r="E5" s="1669"/>
      <c r="F5" s="1816"/>
      <c r="G5" s="1512"/>
      <c r="H5" s="2031"/>
      <c r="I5" s="477"/>
    </row>
    <row r="6" spans="1:9">
      <c r="A6" s="2019"/>
      <c r="B6" s="1766" t="s">
        <v>543</v>
      </c>
      <c r="C6" s="2032" t="s">
        <v>673</v>
      </c>
      <c r="D6" s="2033" t="s">
        <v>864</v>
      </c>
      <c r="E6" s="1783"/>
      <c r="F6" s="2034"/>
      <c r="G6" s="1512"/>
      <c r="H6" s="2031"/>
      <c r="I6" s="477"/>
    </row>
    <row r="7" spans="1:9">
      <c r="A7" s="2019"/>
      <c r="B7" s="1783"/>
      <c r="C7" s="1557"/>
      <c r="D7" s="2035"/>
      <c r="E7" s="1783"/>
      <c r="F7" s="2034"/>
      <c r="G7" s="1512"/>
      <c r="H7" s="2031"/>
      <c r="I7" s="477"/>
    </row>
    <row r="8" spans="1:9" s="12" customFormat="1" ht="15.6">
      <c r="A8" s="1763">
        <f>$A$4</f>
        <v>5</v>
      </c>
      <c r="B8" s="1783">
        <v>1.1000000000000001</v>
      </c>
      <c r="C8" s="2081"/>
      <c r="D8" s="1811" t="s">
        <v>865</v>
      </c>
      <c r="E8" s="1550" t="s">
        <v>631</v>
      </c>
      <c r="F8" s="1558">
        <v>20</v>
      </c>
      <c r="G8" s="1813"/>
      <c r="H8" s="2082">
        <f t="shared" ref="H8:H46" si="0">IF(E8="","",ROUND(F8*G8,2))</f>
        <v>0</v>
      </c>
      <c r="I8" s="211"/>
    </row>
    <row r="9" spans="1:9" s="12" customFormat="1">
      <c r="A9" s="1763"/>
      <c r="B9" s="1783"/>
      <c r="C9" s="1783"/>
      <c r="D9" s="1771"/>
      <c r="E9" s="1783"/>
      <c r="F9" s="1558"/>
      <c r="G9" s="2083"/>
      <c r="H9" s="2082" t="str">
        <f t="shared" si="0"/>
        <v/>
      </c>
      <c r="I9" s="243"/>
    </row>
    <row r="10" spans="1:9" s="12" customFormat="1" ht="15.6">
      <c r="A10" s="1763">
        <f>$A$4</f>
        <v>5</v>
      </c>
      <c r="B10" s="1783">
        <v>1.2</v>
      </c>
      <c r="C10" s="2081"/>
      <c r="D10" s="1771" t="s">
        <v>866</v>
      </c>
      <c r="E10" s="1550" t="s">
        <v>565</v>
      </c>
      <c r="F10" s="1558">
        <v>324.21236185046666</v>
      </c>
      <c r="G10" s="1528"/>
      <c r="H10" s="2082">
        <f t="shared" si="0"/>
        <v>0</v>
      </c>
      <c r="I10" s="358"/>
    </row>
    <row r="11" spans="1:9" s="12" customFormat="1">
      <c r="A11" s="1763"/>
      <c r="B11" s="1783"/>
      <c r="C11" s="2081"/>
      <c r="D11" s="1771"/>
      <c r="E11" s="1550"/>
      <c r="F11" s="1558"/>
      <c r="G11" s="1524"/>
      <c r="H11" s="2082" t="str">
        <f t="shared" si="0"/>
        <v/>
      </c>
      <c r="I11" s="791"/>
    </row>
    <row r="12" spans="1:9" s="12" customFormat="1" ht="15.6">
      <c r="A12" s="1763">
        <f>$A$4</f>
        <v>5</v>
      </c>
      <c r="B12" s="1783">
        <v>1.3</v>
      </c>
      <c r="C12" s="2081"/>
      <c r="D12" s="1771" t="s">
        <v>867</v>
      </c>
      <c r="E12" s="1550" t="s">
        <v>565</v>
      </c>
      <c r="F12" s="1823">
        <v>970</v>
      </c>
      <c r="G12" s="1524"/>
      <c r="H12" s="2082">
        <f t="shared" si="0"/>
        <v>0</v>
      </c>
      <c r="I12" s="791"/>
    </row>
    <row r="13" spans="1:9">
      <c r="A13" s="2019"/>
      <c r="B13" s="1783"/>
      <c r="C13" s="1557"/>
      <c r="D13" s="2035"/>
      <c r="E13" s="1783"/>
      <c r="F13" s="2034"/>
      <c r="G13" s="1512"/>
      <c r="H13" s="2082" t="str">
        <f t="shared" si="0"/>
        <v/>
      </c>
      <c r="I13" s="477"/>
    </row>
    <row r="14" spans="1:9" ht="24.75" customHeight="1">
      <c r="A14" s="2019"/>
      <c r="B14" s="2038" t="s">
        <v>549</v>
      </c>
      <c r="C14" s="2039" t="s">
        <v>581</v>
      </c>
      <c r="D14" s="1982" t="s">
        <v>636</v>
      </c>
      <c r="E14" s="1981"/>
      <c r="F14" s="2040"/>
      <c r="G14" s="1512"/>
      <c r="H14" s="2082" t="str">
        <f t="shared" si="0"/>
        <v/>
      </c>
      <c r="I14" s="477"/>
    </row>
    <row r="15" spans="1:9">
      <c r="A15" s="2019"/>
      <c r="B15" s="2041"/>
      <c r="C15" s="1554"/>
      <c r="D15" s="2042"/>
      <c r="E15" s="1981"/>
      <c r="F15" s="2040"/>
      <c r="G15" s="1512"/>
      <c r="H15" s="2082" t="str">
        <f t="shared" si="0"/>
        <v/>
      </c>
      <c r="I15" s="477"/>
    </row>
    <row r="16" spans="1:9" ht="30" customHeight="1">
      <c r="A16" s="1763">
        <f>$A$4</f>
        <v>5</v>
      </c>
      <c r="B16" s="2029">
        <v>1.4</v>
      </c>
      <c r="C16" s="1876" t="s">
        <v>868</v>
      </c>
      <c r="D16" s="1771" t="s">
        <v>728</v>
      </c>
      <c r="E16" s="1550" t="s">
        <v>561</v>
      </c>
      <c r="F16" s="1266">
        <v>250</v>
      </c>
      <c r="G16" s="1513"/>
      <c r="H16" s="2082">
        <f t="shared" si="0"/>
        <v>0</v>
      </c>
      <c r="I16" s="480"/>
    </row>
    <row r="17" spans="1:10">
      <c r="A17" s="2019"/>
      <c r="B17" s="2041"/>
      <c r="C17" s="2043"/>
      <c r="D17" s="2044" t="s">
        <v>11</v>
      </c>
      <c r="E17" s="1667"/>
      <c r="F17" s="1816"/>
      <c r="G17" s="1514"/>
      <c r="H17" s="2082" t="str">
        <f t="shared" si="0"/>
        <v/>
      </c>
      <c r="I17" s="481"/>
    </row>
    <row r="18" spans="1:10" ht="15.6">
      <c r="A18" s="1763">
        <f>$A$4</f>
        <v>5</v>
      </c>
      <c r="B18" s="2029">
        <v>1.5</v>
      </c>
      <c r="C18" s="1550"/>
      <c r="D18" s="1840" t="s">
        <v>745</v>
      </c>
      <c r="E18" s="1550" t="s">
        <v>565</v>
      </c>
      <c r="F18" s="1558">
        <v>730.3966406236832</v>
      </c>
      <c r="G18" s="1515"/>
      <c r="H18" s="2082">
        <f t="shared" si="0"/>
        <v>0</v>
      </c>
      <c r="I18" s="358"/>
    </row>
    <row r="19" spans="1:10">
      <c r="A19" s="2019"/>
      <c r="B19" s="2045"/>
      <c r="C19" s="1550"/>
      <c r="D19" s="1783"/>
      <c r="E19" s="1550"/>
      <c r="F19" s="1550"/>
      <c r="G19" s="1516"/>
      <c r="H19" s="2082" t="str">
        <f t="shared" si="0"/>
        <v/>
      </c>
      <c r="I19" s="421"/>
    </row>
    <row r="20" spans="1:10">
      <c r="A20" s="1763">
        <f>$A$4</f>
        <v>5</v>
      </c>
      <c r="B20" s="2046">
        <v>1.6</v>
      </c>
      <c r="C20" s="1550"/>
      <c r="D20" s="1780" t="s">
        <v>567</v>
      </c>
      <c r="E20" s="1261" t="s">
        <v>252</v>
      </c>
      <c r="F20" s="1781">
        <v>1</v>
      </c>
      <c r="G20" s="1614">
        <v>311886</v>
      </c>
      <c r="H20" s="2082">
        <f t="shared" si="0"/>
        <v>311886</v>
      </c>
      <c r="I20" s="421"/>
    </row>
    <row r="21" spans="1:10">
      <c r="A21" s="2019"/>
      <c r="B21" s="2045"/>
      <c r="C21" s="1550"/>
      <c r="D21" s="1783"/>
      <c r="E21" s="1550"/>
      <c r="F21" s="1550"/>
      <c r="G21" s="1516"/>
      <c r="H21" s="2082" t="str">
        <f t="shared" si="0"/>
        <v/>
      </c>
      <c r="I21" s="421"/>
    </row>
    <row r="22" spans="1:10">
      <c r="A22" s="2019"/>
      <c r="B22" s="1575"/>
      <c r="C22" s="2047" t="s">
        <v>709</v>
      </c>
      <c r="D22" s="2048" t="s">
        <v>161</v>
      </c>
      <c r="E22" s="1906"/>
      <c r="F22" s="1967"/>
      <c r="G22" s="1512"/>
      <c r="H22" s="2082" t="str">
        <f t="shared" si="0"/>
        <v/>
      </c>
      <c r="I22" s="477"/>
    </row>
    <row r="23" spans="1:10">
      <c r="A23" s="2019"/>
      <c r="B23" s="1575"/>
      <c r="C23" s="2047"/>
      <c r="D23" s="2049"/>
      <c r="E23" s="1906"/>
      <c r="F23" s="1967"/>
      <c r="G23" s="1512"/>
      <c r="H23" s="2082" t="str">
        <f t="shared" si="0"/>
        <v/>
      </c>
      <c r="I23" s="477"/>
    </row>
    <row r="24" spans="1:10">
      <c r="A24" s="2019"/>
      <c r="B24" s="1575"/>
      <c r="C24" s="2050"/>
      <c r="D24" s="2048" t="s">
        <v>720</v>
      </c>
      <c r="E24" s="1906"/>
      <c r="F24" s="1967"/>
      <c r="G24" s="1512"/>
      <c r="H24" s="2082" t="str">
        <f t="shared" si="0"/>
        <v/>
      </c>
      <c r="I24" s="477"/>
    </row>
    <row r="25" spans="1:10">
      <c r="A25" s="2019"/>
      <c r="B25" s="1575"/>
      <c r="C25" s="2047"/>
      <c r="D25" s="2049"/>
      <c r="E25" s="1906"/>
      <c r="F25" s="1967"/>
      <c r="G25" s="1512"/>
      <c r="H25" s="2082" t="str">
        <f t="shared" si="0"/>
        <v/>
      </c>
      <c r="I25" s="477"/>
    </row>
    <row r="26" spans="1:10">
      <c r="A26" s="1763">
        <f>$A$4</f>
        <v>5</v>
      </c>
      <c r="B26" s="1575">
        <v>1.7</v>
      </c>
      <c r="C26" s="2047"/>
      <c r="D26" s="2051" t="s">
        <v>748</v>
      </c>
      <c r="E26" s="1271" t="s">
        <v>561</v>
      </c>
      <c r="F26" s="1967">
        <v>345</v>
      </c>
      <c r="G26" s="1517"/>
      <c r="H26" s="2082">
        <f t="shared" si="0"/>
        <v>0</v>
      </c>
      <c r="I26" s="482"/>
    </row>
    <row r="27" spans="1:10">
      <c r="A27" s="2019"/>
      <c r="B27" s="1575"/>
      <c r="C27" s="2047"/>
      <c r="D27" s="2051"/>
      <c r="E27" s="1271"/>
      <c r="F27" s="1967"/>
      <c r="G27" s="1518"/>
      <c r="H27" s="2082" t="str">
        <f t="shared" si="0"/>
        <v/>
      </c>
      <c r="I27" s="511"/>
    </row>
    <row r="28" spans="1:10">
      <c r="A28" s="1763">
        <f>$A$4</f>
        <v>5</v>
      </c>
      <c r="B28" s="1575">
        <v>1.8</v>
      </c>
      <c r="C28" s="2047"/>
      <c r="D28" s="2051" t="s">
        <v>869</v>
      </c>
      <c r="E28" s="1271" t="s">
        <v>561</v>
      </c>
      <c r="F28" s="1967">
        <v>345</v>
      </c>
      <c r="G28" s="1517"/>
      <c r="H28" s="2082">
        <f t="shared" si="0"/>
        <v>0</v>
      </c>
      <c r="I28" s="482"/>
    </row>
    <row r="29" spans="1:10">
      <c r="A29" s="2019"/>
      <c r="B29" s="1575"/>
      <c r="C29" s="2047"/>
      <c r="D29" s="2051"/>
      <c r="E29" s="1271"/>
      <c r="F29" s="1967"/>
      <c r="G29" s="1518"/>
      <c r="H29" s="2082" t="str">
        <f t="shared" si="0"/>
        <v/>
      </c>
      <c r="I29" s="511"/>
    </row>
    <row r="30" spans="1:10" s="12" customFormat="1">
      <c r="A30" s="1763">
        <f>$A$4</f>
        <v>5</v>
      </c>
      <c r="B30" s="1575">
        <v>1.9</v>
      </c>
      <c r="C30" s="1876"/>
      <c r="D30" s="1778" t="s">
        <v>870</v>
      </c>
      <c r="E30" s="1271" t="s">
        <v>561</v>
      </c>
      <c r="F30" s="1967">
        <v>345</v>
      </c>
      <c r="G30" s="1519"/>
      <c r="H30" s="2082">
        <f t="shared" si="0"/>
        <v>0</v>
      </c>
      <c r="I30" s="483"/>
      <c r="J30" s="2"/>
    </row>
    <row r="31" spans="1:10">
      <c r="A31" s="2019"/>
      <c r="B31" s="1575"/>
      <c r="C31" s="2047"/>
      <c r="D31" s="2051"/>
      <c r="E31" s="1271"/>
      <c r="F31" s="1967"/>
      <c r="G31" s="1519"/>
      <c r="H31" s="2082" t="str">
        <f t="shared" si="0"/>
        <v/>
      </c>
      <c r="I31" s="483"/>
    </row>
    <row r="32" spans="1:10">
      <c r="A32" s="1763">
        <f>$A$4</f>
        <v>5</v>
      </c>
      <c r="B32" s="1951">
        <v>1.1000000000000001</v>
      </c>
      <c r="C32" s="2047"/>
      <c r="D32" s="2051" t="s">
        <v>725</v>
      </c>
      <c r="E32" s="1271" t="s">
        <v>561</v>
      </c>
      <c r="F32" s="1967">
        <v>345</v>
      </c>
      <c r="G32" s="1517"/>
      <c r="H32" s="2082">
        <f t="shared" si="0"/>
        <v>0</v>
      </c>
      <c r="I32" s="482"/>
    </row>
    <row r="33" spans="1:9">
      <c r="A33" s="2019"/>
      <c r="B33" s="1575"/>
      <c r="C33" s="2047"/>
      <c r="D33" s="2049"/>
      <c r="E33" s="1906"/>
      <c r="F33" s="1967"/>
      <c r="G33" s="1518"/>
      <c r="H33" s="2082" t="str">
        <f t="shared" si="0"/>
        <v/>
      </c>
      <c r="I33" s="511"/>
    </row>
    <row r="34" spans="1:9" s="326" customFormat="1">
      <c r="A34" s="1763">
        <f>$A$4</f>
        <v>5</v>
      </c>
      <c r="B34" s="1575">
        <v>1.1100000000000001</v>
      </c>
      <c r="C34" s="2050"/>
      <c r="D34" s="2052" t="s">
        <v>871</v>
      </c>
      <c r="E34" s="1906" t="s">
        <v>273</v>
      </c>
      <c r="F34" s="1967">
        <v>48</v>
      </c>
      <c r="G34" s="1520"/>
      <c r="H34" s="2082">
        <f t="shared" si="0"/>
        <v>0</v>
      </c>
      <c r="I34" s="1198"/>
    </row>
    <row r="35" spans="1:9" s="326" customFormat="1">
      <c r="A35" s="2053"/>
      <c r="B35" s="2054"/>
      <c r="C35" s="2050"/>
      <c r="D35" s="2055"/>
      <c r="E35" s="1906"/>
      <c r="F35" s="1967"/>
      <c r="G35" s="1521"/>
      <c r="H35" s="2082" t="str">
        <f t="shared" si="0"/>
        <v/>
      </c>
      <c r="I35" s="1199"/>
    </row>
    <row r="36" spans="1:9">
      <c r="A36" s="2019"/>
      <c r="B36" s="1575"/>
      <c r="C36" s="1551" t="s">
        <v>663</v>
      </c>
      <c r="D36" s="2056" t="s">
        <v>664</v>
      </c>
      <c r="E36" s="1550"/>
      <c r="F36" s="2057"/>
      <c r="G36" s="1512"/>
      <c r="H36" s="2082" t="str">
        <f t="shared" si="0"/>
        <v/>
      </c>
      <c r="I36" s="477"/>
    </row>
    <row r="37" spans="1:9">
      <c r="A37" s="2019"/>
      <c r="B37" s="1575"/>
      <c r="C37" s="1551"/>
      <c r="D37" s="1552"/>
      <c r="E37" s="1550"/>
      <c r="F37" s="2057"/>
      <c r="G37" s="1512"/>
      <c r="H37" s="2082" t="str">
        <f t="shared" si="0"/>
        <v/>
      </c>
      <c r="I37" s="477"/>
    </row>
    <row r="38" spans="1:9" s="355" customFormat="1">
      <c r="A38" s="1763">
        <f>$A$4</f>
        <v>5</v>
      </c>
      <c r="B38" s="2058">
        <v>1.1200000000000001</v>
      </c>
      <c r="C38" s="1565"/>
      <c r="D38" s="2059" t="s">
        <v>872</v>
      </c>
      <c r="E38" s="1550" t="s">
        <v>691</v>
      </c>
      <c r="F38" s="2057">
        <v>2</v>
      </c>
      <c r="G38" s="1190"/>
      <c r="H38" s="2082">
        <f t="shared" si="0"/>
        <v>0</v>
      </c>
      <c r="I38" s="1200"/>
    </row>
    <row r="39" spans="1:9">
      <c r="A39" s="2019"/>
      <c r="B39" s="1575"/>
      <c r="C39" s="1551"/>
      <c r="D39" s="1552"/>
      <c r="E39" s="1550"/>
      <c r="F39" s="2057"/>
      <c r="G39" s="1522"/>
      <c r="H39" s="2082" t="str">
        <f t="shared" si="0"/>
        <v/>
      </c>
      <c r="I39" s="484"/>
    </row>
    <row r="40" spans="1:9" ht="26.4">
      <c r="A40" s="2019"/>
      <c r="B40" s="1575"/>
      <c r="C40" s="1845" t="s">
        <v>665</v>
      </c>
      <c r="D40" s="2061" t="s">
        <v>666</v>
      </c>
      <c r="E40" s="1550"/>
      <c r="F40" s="2057"/>
      <c r="G40" s="1522"/>
      <c r="H40" s="2082" t="str">
        <f t="shared" si="0"/>
        <v/>
      </c>
      <c r="I40" s="484"/>
    </row>
    <row r="41" spans="1:9">
      <c r="A41" s="2019"/>
      <c r="B41" s="1667"/>
      <c r="C41" s="1551"/>
      <c r="D41" s="2062"/>
      <c r="E41" s="1550"/>
      <c r="F41" s="2063"/>
      <c r="G41" s="1522"/>
      <c r="H41" s="2082" t="str">
        <f t="shared" si="0"/>
        <v/>
      </c>
      <c r="I41" s="484"/>
    </row>
    <row r="42" spans="1:9" s="355" customFormat="1" ht="15.6">
      <c r="A42" s="1763">
        <f>$A$4</f>
        <v>5</v>
      </c>
      <c r="B42" s="1821">
        <v>1.1299999999999999</v>
      </c>
      <c r="C42" s="1565" t="s">
        <v>667</v>
      </c>
      <c r="D42" s="1559" t="s">
        <v>873</v>
      </c>
      <c r="E42" s="1261" t="s">
        <v>657</v>
      </c>
      <c r="F42" s="2064">
        <v>0.5</v>
      </c>
      <c r="G42" s="1191"/>
      <c r="H42" s="2082">
        <f t="shared" si="0"/>
        <v>0</v>
      </c>
      <c r="I42" s="479"/>
    </row>
    <row r="43" spans="1:9" s="355" customFormat="1">
      <c r="A43" s="2065"/>
      <c r="B43" s="1667"/>
      <c r="C43" s="1565"/>
      <c r="D43" s="2066"/>
      <c r="E43" s="1261"/>
      <c r="F43" s="1823"/>
      <c r="G43" s="1523"/>
      <c r="H43" s="2082" t="str">
        <f t="shared" si="0"/>
        <v/>
      </c>
      <c r="I43" s="485"/>
    </row>
    <row r="44" spans="1:9" s="355" customFormat="1" ht="15.6">
      <c r="A44" s="1763">
        <f>$A$4</f>
        <v>5</v>
      </c>
      <c r="B44" s="1821">
        <v>1.1399999999999999</v>
      </c>
      <c r="C44" s="1565" t="s">
        <v>669</v>
      </c>
      <c r="D44" s="1559" t="s">
        <v>670</v>
      </c>
      <c r="E44" s="1261" t="s">
        <v>657</v>
      </c>
      <c r="F44" s="2064">
        <v>0.5</v>
      </c>
      <c r="G44" s="1191"/>
      <c r="H44" s="2082">
        <f t="shared" si="0"/>
        <v>0</v>
      </c>
      <c r="I44" s="479"/>
    </row>
    <row r="45" spans="1:9" s="355" customFormat="1">
      <c r="A45" s="2065"/>
      <c r="B45" s="1667"/>
      <c r="C45" s="1565"/>
      <c r="D45" s="1559"/>
      <c r="E45" s="1261"/>
      <c r="F45" s="2068"/>
      <c r="G45" s="1191"/>
      <c r="H45" s="2082" t="str">
        <f t="shared" si="0"/>
        <v/>
      </c>
      <c r="I45" s="479"/>
    </row>
    <row r="46" spans="1:9" s="355" customFormat="1" ht="52.8">
      <c r="A46" s="1763">
        <f>$A$4</f>
        <v>5</v>
      </c>
      <c r="B46" s="1821">
        <v>1.1499999999999999</v>
      </c>
      <c r="C46" s="1565"/>
      <c r="D46" s="1559" t="s">
        <v>880</v>
      </c>
      <c r="E46" s="1261" t="s">
        <v>561</v>
      </c>
      <c r="F46" s="1823">
        <v>102.8</v>
      </c>
      <c r="G46" s="1524"/>
      <c r="H46" s="2082">
        <f t="shared" si="0"/>
        <v>0</v>
      </c>
      <c r="I46" s="791"/>
    </row>
    <row r="47" spans="1:9" ht="12" customHeight="1">
      <c r="A47" s="2019"/>
      <c r="B47" s="1575"/>
      <c r="C47" s="1876"/>
      <c r="D47" s="2000"/>
      <c r="E47" s="1906"/>
      <c r="F47" s="2057"/>
      <c r="G47" s="1512"/>
      <c r="H47" s="2031"/>
      <c r="I47" s="477"/>
    </row>
    <row r="48" spans="1:9" s="6" customFormat="1">
      <c r="A48" s="2069"/>
      <c r="B48" s="2084"/>
      <c r="C48" s="2070"/>
      <c r="D48" s="2070"/>
      <c r="E48" s="2070"/>
      <c r="F48" s="2070"/>
      <c r="G48" s="1526"/>
      <c r="H48" s="2070"/>
      <c r="I48" s="478"/>
    </row>
    <row r="49" spans="1:9">
      <c r="A49" s="2019"/>
      <c r="B49" s="1575"/>
      <c r="C49" s="1876"/>
      <c r="D49" s="2000"/>
      <c r="E49" s="1906"/>
      <c r="F49" s="2057"/>
      <c r="G49" s="1512"/>
      <c r="H49" s="2031"/>
      <c r="I49" s="477"/>
    </row>
    <row r="50" spans="1:9" s="12" customFormat="1">
      <c r="A50" s="1763"/>
      <c r="B50" s="1575"/>
      <c r="C50" s="1876"/>
      <c r="D50" s="1564"/>
      <c r="E50" s="2041"/>
      <c r="F50" s="2057"/>
      <c r="G50" s="1861"/>
      <c r="H50" s="1945"/>
      <c r="I50" s="241"/>
    </row>
    <row r="51" spans="1:9">
      <c r="A51" s="2019"/>
      <c r="B51" s="1575"/>
      <c r="C51" s="1876"/>
      <c r="D51" s="2000"/>
      <c r="E51" s="1906"/>
      <c r="F51" s="2057"/>
      <c r="G51" s="1512"/>
      <c r="H51" s="2031"/>
      <c r="I51" s="477"/>
    </row>
    <row r="52" spans="1:9">
      <c r="A52" s="2019"/>
      <c r="B52" s="1575"/>
      <c r="C52" s="1551"/>
      <c r="D52" s="2056"/>
      <c r="E52" s="1550"/>
      <c r="F52" s="2057"/>
      <c r="G52" s="1512"/>
      <c r="H52" s="2031"/>
      <c r="I52" s="477"/>
    </row>
    <row r="53" spans="1:9">
      <c r="A53" s="2019"/>
      <c r="B53" s="1575"/>
      <c r="C53" s="1551"/>
      <c r="D53" s="1552"/>
      <c r="E53" s="1550"/>
      <c r="F53" s="2057"/>
      <c r="G53" s="1512"/>
      <c r="H53" s="2031"/>
      <c r="I53" s="477"/>
    </row>
    <row r="54" spans="1:9" s="355" customFormat="1">
      <c r="A54" s="2065"/>
      <c r="B54" s="2058"/>
      <c r="C54" s="1565"/>
      <c r="D54" s="2071"/>
      <c r="E54" s="1261"/>
      <c r="F54" s="2072"/>
      <c r="G54" s="1528"/>
      <c r="H54" s="2073"/>
      <c r="I54" s="1200"/>
    </row>
    <row r="55" spans="1:9" s="355" customFormat="1">
      <c r="A55" s="2065"/>
      <c r="B55" s="1821"/>
      <c r="C55" s="1565"/>
      <c r="D55" s="2066"/>
      <c r="E55" s="1261"/>
      <c r="F55" s="1823"/>
      <c r="G55" s="1523"/>
      <c r="H55" s="2076"/>
      <c r="I55" s="485"/>
    </row>
    <row r="56" spans="1:9" s="355" customFormat="1">
      <c r="A56" s="2065"/>
      <c r="B56" s="1821"/>
      <c r="C56" s="1565"/>
      <c r="D56" s="2066"/>
      <c r="E56" s="1261"/>
      <c r="F56" s="1823"/>
      <c r="G56" s="1523"/>
      <c r="H56" s="2076"/>
      <c r="I56" s="485"/>
    </row>
    <row r="57" spans="1:9" s="355" customFormat="1">
      <c r="A57" s="2065"/>
      <c r="B57" s="1821"/>
      <c r="C57" s="1565"/>
      <c r="D57" s="2066"/>
      <c r="E57" s="1261"/>
      <c r="F57" s="1823"/>
      <c r="G57" s="1523"/>
      <c r="H57" s="2076"/>
      <c r="I57" s="485"/>
    </row>
    <row r="58" spans="1:9" s="355" customFormat="1">
      <c r="A58" s="2065"/>
      <c r="B58" s="1821"/>
      <c r="C58" s="1565"/>
      <c r="D58" s="2066"/>
      <c r="E58" s="1261"/>
      <c r="F58" s="1823"/>
      <c r="G58" s="1523"/>
      <c r="H58" s="2076"/>
      <c r="I58" s="485"/>
    </row>
    <row r="59" spans="1:9" s="355" customFormat="1">
      <c r="A59" s="2065"/>
      <c r="B59" s="1821"/>
      <c r="C59" s="1565"/>
      <c r="D59" s="2066"/>
      <c r="E59" s="1261"/>
      <c r="F59" s="1823"/>
      <c r="G59" s="1523"/>
      <c r="H59" s="2076"/>
      <c r="I59" s="485"/>
    </row>
    <row r="60" spans="1:9" s="355" customFormat="1">
      <c r="A60" s="2065"/>
      <c r="B60" s="1821"/>
      <c r="C60" s="1565"/>
      <c r="D60" s="2066"/>
      <c r="E60" s="1261"/>
      <c r="F60" s="1823"/>
      <c r="G60" s="1523"/>
      <c r="H60" s="2076"/>
      <c r="I60" s="485"/>
    </row>
    <row r="61" spans="1:9" s="355" customFormat="1">
      <c r="A61" s="2065"/>
      <c r="B61" s="1821"/>
      <c r="C61" s="1565"/>
      <c r="D61" s="2066"/>
      <c r="E61" s="1261"/>
      <c r="F61" s="1823"/>
      <c r="G61" s="1523"/>
      <c r="H61" s="2076"/>
      <c r="I61" s="485"/>
    </row>
    <row r="62" spans="1:9" s="355" customFormat="1">
      <c r="A62" s="2065"/>
      <c r="B62" s="1821"/>
      <c r="C62" s="1565"/>
      <c r="D62" s="2066"/>
      <c r="E62" s="1261"/>
      <c r="F62" s="1823"/>
      <c r="G62" s="1523"/>
      <c r="H62" s="2076"/>
      <c r="I62" s="485"/>
    </row>
    <row r="63" spans="1:9" s="355" customFormat="1">
      <c r="A63" s="2065"/>
      <c r="B63" s="1821"/>
      <c r="C63" s="1565"/>
      <c r="D63" s="2066"/>
      <c r="E63" s="1261"/>
      <c r="F63" s="1823"/>
      <c r="G63" s="1523"/>
      <c r="H63" s="2076"/>
      <c r="I63" s="485"/>
    </row>
    <row r="64" spans="1:9" s="355" customFormat="1">
      <c r="A64" s="2065"/>
      <c r="B64" s="1821"/>
      <c r="C64" s="1565"/>
      <c r="D64" s="2066"/>
      <c r="E64" s="1261"/>
      <c r="F64" s="1823"/>
      <c r="G64" s="1523"/>
      <c r="H64" s="2076"/>
      <c r="I64" s="485"/>
    </row>
    <row r="65" spans="1:9" s="355" customFormat="1">
      <c r="A65" s="2065"/>
      <c r="B65" s="1821"/>
      <c r="C65" s="1565"/>
      <c r="D65" s="2066"/>
      <c r="E65" s="1261"/>
      <c r="F65" s="1823"/>
      <c r="G65" s="1523"/>
      <c r="H65" s="2076"/>
      <c r="I65" s="485"/>
    </row>
    <row r="66" spans="1:9" s="355" customFormat="1">
      <c r="A66" s="2065"/>
      <c r="B66" s="1821"/>
      <c r="C66" s="1565"/>
      <c r="D66" s="2066"/>
      <c r="E66" s="1261"/>
      <c r="F66" s="1823"/>
      <c r="G66" s="1523"/>
      <c r="H66" s="2076"/>
      <c r="I66" s="485"/>
    </row>
    <row r="67" spans="1:9" s="355" customFormat="1">
      <c r="A67" s="2065"/>
      <c r="B67" s="1821"/>
      <c r="C67" s="1565"/>
      <c r="D67" s="2066"/>
      <c r="E67" s="1261"/>
      <c r="F67" s="1823"/>
      <c r="G67" s="1523"/>
      <c r="H67" s="2076"/>
      <c r="I67" s="485"/>
    </row>
    <row r="68" spans="1:9" s="355" customFormat="1">
      <c r="A68" s="2065"/>
      <c r="B68" s="1821"/>
      <c r="C68" s="1565"/>
      <c r="D68" s="2066"/>
      <c r="E68" s="1261"/>
      <c r="F68" s="1823"/>
      <c r="G68" s="1523"/>
      <c r="H68" s="2076"/>
      <c r="I68" s="485"/>
    </row>
    <row r="69" spans="1:9" s="355" customFormat="1">
      <c r="A69" s="2065"/>
      <c r="B69" s="1821"/>
      <c r="C69" s="1565"/>
      <c r="D69" s="1559"/>
      <c r="E69" s="1261"/>
      <c r="F69" s="2064"/>
      <c r="G69" s="1191"/>
      <c r="H69" s="2077"/>
      <c r="I69" s="479"/>
    </row>
    <row r="70" spans="1:9" s="355" customFormat="1">
      <c r="A70" s="2065"/>
      <c r="B70" s="1821"/>
      <c r="C70" s="1565"/>
      <c r="D70" s="2066"/>
      <c r="E70" s="1261"/>
      <c r="F70" s="1823"/>
      <c r="G70" s="1523"/>
      <c r="H70" s="2076"/>
      <c r="I70" s="485"/>
    </row>
    <row r="71" spans="1:9" s="355" customFormat="1">
      <c r="A71" s="2065"/>
      <c r="B71" s="1821"/>
      <c r="C71" s="1565"/>
      <c r="D71" s="1559"/>
      <c r="E71" s="1261"/>
      <c r="F71" s="2064"/>
      <c r="G71" s="1191"/>
      <c r="H71" s="2077"/>
      <c r="I71" s="479"/>
    </row>
    <row r="72" spans="1:9" s="355" customFormat="1">
      <c r="A72" s="2065"/>
      <c r="B72" s="1821"/>
      <c r="C72" s="1565"/>
      <c r="D72" s="1559"/>
      <c r="E72" s="1261"/>
      <c r="F72" s="2068"/>
      <c r="G72" s="1191"/>
      <c r="H72" s="2077"/>
      <c r="I72" s="479"/>
    </row>
    <row r="73" spans="1:9" s="355" customFormat="1">
      <c r="A73" s="2065"/>
      <c r="B73" s="1821"/>
      <c r="C73" s="1565"/>
      <c r="D73" s="1559"/>
      <c r="E73" s="1261"/>
      <c r="F73" s="2068"/>
      <c r="G73" s="1191"/>
      <c r="H73" s="2077"/>
      <c r="I73" s="479"/>
    </row>
    <row r="74" spans="1:9" s="355" customFormat="1">
      <c r="A74" s="2065"/>
      <c r="B74" s="1821"/>
      <c r="C74" s="1565"/>
      <c r="D74" s="1559"/>
      <c r="E74" s="1261"/>
      <c r="F74" s="2068"/>
      <c r="G74" s="1191"/>
      <c r="H74" s="2077"/>
      <c r="I74" s="479"/>
    </row>
    <row r="75" spans="1:9" s="355" customFormat="1">
      <c r="A75" s="2065"/>
      <c r="B75" s="1821"/>
      <c r="C75" s="1565"/>
      <c r="D75" s="1559"/>
      <c r="E75" s="1261"/>
      <c r="F75" s="2068"/>
      <c r="G75" s="1191"/>
      <c r="H75" s="2077"/>
      <c r="I75" s="479"/>
    </row>
    <row r="76" spans="1:9" s="355" customFormat="1">
      <c r="A76" s="2065"/>
      <c r="B76" s="1821"/>
      <c r="C76" s="1565"/>
      <c r="D76" s="1559"/>
      <c r="E76" s="1261"/>
      <c r="F76" s="2068"/>
      <c r="G76" s="1191"/>
      <c r="H76" s="2077"/>
      <c r="I76" s="479"/>
    </row>
    <row r="77" spans="1:9" s="355" customFormat="1">
      <c r="A77" s="2065"/>
      <c r="B77" s="1821"/>
      <c r="C77" s="1565"/>
      <c r="D77" s="1559"/>
      <c r="E77" s="1261"/>
      <c r="F77" s="2068"/>
      <c r="G77" s="1529"/>
      <c r="H77" s="2077"/>
      <c r="I77" s="479"/>
    </row>
    <row r="78" spans="1:9">
      <c r="A78" s="1975"/>
      <c r="B78" s="788"/>
      <c r="C78" s="794"/>
      <c r="D78" s="795"/>
      <c r="E78" s="788"/>
      <c r="F78" s="796"/>
      <c r="G78" s="2085"/>
      <c r="H78" s="2086"/>
      <c r="I78" s="486"/>
    </row>
    <row r="79" spans="1:9">
      <c r="A79" s="798"/>
      <c r="B79" s="316"/>
      <c r="C79" s="490"/>
      <c r="D79" s="491" t="s">
        <v>881</v>
      </c>
      <c r="E79" s="316"/>
      <c r="F79" s="492"/>
      <c r="G79" s="792"/>
      <c r="H79" s="2087">
        <f>SUM(H3:H77)</f>
        <v>311886</v>
      </c>
      <c r="I79" s="487"/>
    </row>
    <row r="81" spans="7:8">
      <c r="G81" s="509"/>
      <c r="H81" s="509"/>
    </row>
  </sheetData>
  <sheetProtection algorithmName="SHA-512" hashValue="C1vvs4DbX7jLvSgwkIy4uUxvvgzlsKV6uqmzbu5NFMdrxgKSQf/v0q4gOl0dabq8QowTQOkK2r0CPZnnGXfLPA==" saltValue="KSe2tV3xEB3rkAUUhe4ieA==" spinCount="100000" sheet="1" objects="1" scenarios="1"/>
  <mergeCells count="1">
    <mergeCell ref="A1:H1"/>
  </mergeCells>
  <phoneticPr fontId="33" type="noConversion"/>
  <pageMargins left="0.59055118110236227" right="0.59055118110236227" top="1.1023622047244095" bottom="0.78740157480314965" header="0.27559055118110237" footer="0.27559055118110237"/>
  <pageSetup paperSize="9" scale="64" firstPageNumber="71" fitToHeight="0" orientation="portrait" useFirstPageNumber="1" r:id="rId1"/>
  <headerFooter alignWithMargins="0">
    <oddHeader>&amp;L&amp;G&amp;CContract JW 14425
Bushkoppie Wastewater Treatment Works:
Infrastructure Renewal Plan
Volume 1 
C 2.2 Bill of Quantities&amp;R&amp;G</oddHeader>
    <oddFooter>&amp;C&amp;12
&amp;G
C.&amp;P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D25CB-5B60-49F3-B043-884590E09CB2}">
  <sheetPr codeName="Sheet5">
    <pageSetUpPr fitToPage="1"/>
  </sheetPr>
  <dimension ref="A1:J78"/>
  <sheetViews>
    <sheetView view="pageBreakPreview" zoomScaleNormal="100" zoomScaleSheetLayoutView="100" workbookViewId="0">
      <selection activeCell="L8" sqref="L8"/>
    </sheetView>
  </sheetViews>
  <sheetFormatPr defaultColWidth="6.109375" defaultRowHeight="13.2"/>
  <cols>
    <col min="1" max="1" width="9.109375" style="8" customWidth="1"/>
    <col min="2" max="2" width="8.88671875" style="9" customWidth="1"/>
    <col min="3" max="3" width="9.88671875" style="2" customWidth="1"/>
    <col min="4" max="4" width="58.88671875" style="2" customWidth="1"/>
    <col min="5" max="5" width="8.88671875" style="9" customWidth="1"/>
    <col min="6" max="6" width="10.88671875" style="25" customWidth="1"/>
    <col min="7" max="7" width="14.88671875" style="2" customWidth="1"/>
    <col min="8" max="8" width="20.88671875" style="2" customWidth="1"/>
    <col min="9" max="9" width="4.5546875" style="1194" customWidth="1"/>
    <col min="10" max="10" width="10.5546875" style="2" customWidth="1"/>
    <col min="11" max="15" width="6.109375" style="2" customWidth="1"/>
    <col min="16" max="16384" width="6.109375" style="2"/>
  </cols>
  <sheetData>
    <row r="1" spans="1:9" s="5" customFormat="1" ht="15">
      <c r="A1" s="3007" t="s">
        <v>882</v>
      </c>
      <c r="B1" s="3008"/>
      <c r="C1" s="3008"/>
      <c r="D1" s="3008"/>
      <c r="E1" s="3008"/>
      <c r="F1" s="3008"/>
      <c r="G1" s="3008"/>
      <c r="H1" s="3009"/>
      <c r="I1" s="1192"/>
    </row>
    <row r="2" spans="1:9" s="32" customFormat="1" ht="25.5" customHeight="1">
      <c r="A2" s="453" t="s">
        <v>541</v>
      </c>
      <c r="B2" s="2013" t="s">
        <v>217</v>
      </c>
      <c r="C2" s="2014" t="s">
        <v>218</v>
      </c>
      <c r="D2" s="1756" t="s">
        <v>219</v>
      </c>
      <c r="E2" s="2015" t="s">
        <v>220</v>
      </c>
      <c r="F2" s="2016" t="s">
        <v>221</v>
      </c>
      <c r="G2" s="790" t="s">
        <v>222</v>
      </c>
      <c r="H2" s="683" t="s">
        <v>223</v>
      </c>
      <c r="I2" s="1193"/>
    </row>
    <row r="3" spans="1:9">
      <c r="A3" s="2019"/>
      <c r="B3" s="2020"/>
      <c r="C3" s="2021"/>
      <c r="D3" s="2022"/>
      <c r="E3" s="2023"/>
      <c r="F3" s="2024"/>
      <c r="G3" s="2080"/>
      <c r="H3" s="1509"/>
    </row>
    <row r="4" spans="1:9" s="489" customFormat="1" ht="13.8">
      <c r="A4" s="2027">
        <v>6</v>
      </c>
      <c r="B4" s="2028">
        <v>1</v>
      </c>
      <c r="C4" s="793"/>
      <c r="D4" s="1801" t="s">
        <v>883</v>
      </c>
      <c r="E4" s="1802"/>
      <c r="F4" s="1802"/>
      <c r="G4" s="1511"/>
      <c r="H4" s="2088"/>
      <c r="I4" s="1195"/>
    </row>
    <row r="5" spans="1:9">
      <c r="A5" s="2019"/>
      <c r="B5" s="1667"/>
      <c r="C5" s="2029"/>
      <c r="D5" s="2030"/>
      <c r="E5" s="1669"/>
      <c r="F5" s="1816"/>
      <c r="G5" s="1512"/>
      <c r="H5" s="2089"/>
    </row>
    <row r="6" spans="1:9">
      <c r="A6" s="2019"/>
      <c r="B6" s="1766" t="s">
        <v>543</v>
      </c>
      <c r="C6" s="2032" t="s">
        <v>673</v>
      </c>
      <c r="D6" s="2033" t="s">
        <v>864</v>
      </c>
      <c r="E6" s="1783"/>
      <c r="F6" s="2034"/>
      <c r="G6" s="1512"/>
      <c r="H6" s="2089"/>
    </row>
    <row r="7" spans="1:9">
      <c r="A7" s="2019"/>
      <c r="B7" s="1783"/>
      <c r="C7" s="1557"/>
      <c r="D7" s="2035"/>
      <c r="E7" s="1783"/>
      <c r="F7" s="2034"/>
      <c r="G7" s="1512"/>
      <c r="H7" s="2089"/>
    </row>
    <row r="8" spans="1:9" ht="15.6">
      <c r="A8" s="2019">
        <f>$A$4</f>
        <v>6</v>
      </c>
      <c r="B8" s="1783">
        <v>1.1000000000000001</v>
      </c>
      <c r="C8" s="2036"/>
      <c r="D8" s="2037" t="s">
        <v>865</v>
      </c>
      <c r="E8" s="1550" t="s">
        <v>631</v>
      </c>
      <c r="F8" s="1558">
        <v>155</v>
      </c>
      <c r="G8" s="1189"/>
      <c r="H8" s="2082">
        <f t="shared" ref="H8:H62" si="0">IF(E8="","",ROUND(F8*G8,2))</f>
        <v>0</v>
      </c>
    </row>
    <row r="9" spans="1:9">
      <c r="A9" s="2019"/>
      <c r="B9" s="1783"/>
      <c r="C9" s="1557"/>
      <c r="D9" s="2035"/>
      <c r="E9" s="1783"/>
      <c r="F9" s="2034"/>
      <c r="G9" s="1512"/>
      <c r="H9" s="2082" t="str">
        <f t="shared" si="0"/>
        <v/>
      </c>
    </row>
    <row r="10" spans="1:9" ht="15.6">
      <c r="A10" s="2019">
        <f>$A$4</f>
        <v>6</v>
      </c>
      <c r="B10" s="1783">
        <v>1.2</v>
      </c>
      <c r="C10" s="2036"/>
      <c r="D10" s="2037" t="s">
        <v>884</v>
      </c>
      <c r="E10" s="1550" t="s">
        <v>631</v>
      </c>
      <c r="F10" s="1558">
        <v>155</v>
      </c>
      <c r="G10" s="1189"/>
      <c r="H10" s="2082">
        <f t="shared" si="0"/>
        <v>0</v>
      </c>
    </row>
    <row r="11" spans="1:9">
      <c r="A11" s="2019"/>
      <c r="B11" s="1783"/>
      <c r="C11" s="1557"/>
      <c r="D11" s="2035"/>
      <c r="E11" s="1783"/>
      <c r="F11" s="1558"/>
      <c r="G11" s="1512"/>
      <c r="H11" s="2082" t="str">
        <f t="shared" si="0"/>
        <v/>
      </c>
    </row>
    <row r="12" spans="1:9" ht="15.6">
      <c r="A12" s="2019">
        <f>$A$4</f>
        <v>6</v>
      </c>
      <c r="B12" s="1783">
        <v>1.3</v>
      </c>
      <c r="C12" s="2036"/>
      <c r="D12" s="2035" t="s">
        <v>866</v>
      </c>
      <c r="E12" s="1550" t="s">
        <v>565</v>
      </c>
      <c r="F12" s="1558">
        <v>1377.5255467460524</v>
      </c>
      <c r="G12" s="1190"/>
      <c r="H12" s="2082">
        <f t="shared" si="0"/>
        <v>0</v>
      </c>
    </row>
    <row r="13" spans="1:9">
      <c r="A13" s="2019"/>
      <c r="B13" s="1783"/>
      <c r="C13" s="2036"/>
      <c r="D13" s="2035"/>
      <c r="E13" s="1550"/>
      <c r="F13" s="1558"/>
      <c r="G13" s="1191"/>
      <c r="H13" s="2082" t="str">
        <f t="shared" si="0"/>
        <v/>
      </c>
    </row>
    <row r="14" spans="1:9">
      <c r="A14" s="2019">
        <f>$A$4</f>
        <v>6</v>
      </c>
      <c r="B14" s="1783">
        <v>1.4</v>
      </c>
      <c r="C14" s="2036"/>
      <c r="D14" s="2035" t="s">
        <v>885</v>
      </c>
      <c r="E14" s="1550" t="s">
        <v>561</v>
      </c>
      <c r="F14" s="1823">
        <v>1972</v>
      </c>
      <c r="G14" s="1191"/>
      <c r="H14" s="2082">
        <f t="shared" si="0"/>
        <v>0</v>
      </c>
    </row>
    <row r="15" spans="1:9">
      <c r="A15" s="2019"/>
      <c r="B15" s="1783"/>
      <c r="C15" s="1557"/>
      <c r="D15" s="2035"/>
      <c r="E15" s="1783"/>
      <c r="F15" s="2034"/>
      <c r="G15" s="1512"/>
      <c r="H15" s="2082" t="str">
        <f t="shared" si="0"/>
        <v/>
      </c>
    </row>
    <row r="16" spans="1:9" ht="24.75" customHeight="1">
      <c r="A16" s="2019"/>
      <c r="B16" s="2038" t="s">
        <v>549</v>
      </c>
      <c r="C16" s="2039" t="s">
        <v>581</v>
      </c>
      <c r="D16" s="1982" t="s">
        <v>636</v>
      </c>
      <c r="E16" s="1981"/>
      <c r="F16" s="2040"/>
      <c r="G16" s="1512"/>
      <c r="H16" s="2082" t="str">
        <f t="shared" si="0"/>
        <v/>
      </c>
    </row>
    <row r="17" spans="1:10">
      <c r="A17" s="2019"/>
      <c r="B17" s="2041"/>
      <c r="C17" s="1554"/>
      <c r="D17" s="2042"/>
      <c r="E17" s="1981"/>
      <c r="F17" s="2040"/>
      <c r="G17" s="1512"/>
      <c r="H17" s="2082" t="str">
        <f t="shared" si="0"/>
        <v/>
      </c>
    </row>
    <row r="18" spans="1:10" ht="30" customHeight="1">
      <c r="A18" s="2019">
        <f>$A$4</f>
        <v>6</v>
      </c>
      <c r="B18" s="2029">
        <v>1.5</v>
      </c>
      <c r="C18" s="1876" t="s">
        <v>868</v>
      </c>
      <c r="D18" s="1771" t="s">
        <v>728</v>
      </c>
      <c r="E18" s="1550" t="s">
        <v>561</v>
      </c>
      <c r="F18" s="1266">
        <v>150</v>
      </c>
      <c r="G18" s="1513"/>
      <c r="H18" s="2082">
        <f t="shared" si="0"/>
        <v>0</v>
      </c>
      <c r="J18" s="354"/>
    </row>
    <row r="19" spans="1:10">
      <c r="A19" s="2019"/>
      <c r="B19" s="2041"/>
      <c r="C19" s="2043"/>
      <c r="D19" s="2044" t="s">
        <v>11</v>
      </c>
      <c r="E19" s="1667"/>
      <c r="F19" s="1816"/>
      <c r="G19" s="1514"/>
      <c r="H19" s="2082" t="str">
        <f t="shared" si="0"/>
        <v/>
      </c>
    </row>
    <row r="20" spans="1:10" ht="15.6">
      <c r="A20" s="2019">
        <f>$A$4</f>
        <v>6</v>
      </c>
      <c r="B20" s="2029">
        <v>1.6</v>
      </c>
      <c r="C20" s="1550"/>
      <c r="D20" s="1840" t="s">
        <v>745</v>
      </c>
      <c r="E20" s="1550" t="s">
        <v>565</v>
      </c>
      <c r="F20" s="25">
        <v>2656.6564115816723</v>
      </c>
      <c r="G20" s="1515"/>
      <c r="H20" s="2082">
        <f t="shared" si="0"/>
        <v>0</v>
      </c>
    </row>
    <row r="21" spans="1:10">
      <c r="A21" s="2019"/>
      <c r="B21" s="2045"/>
      <c r="C21" s="1550"/>
      <c r="D21" s="1783"/>
      <c r="E21" s="1550"/>
      <c r="F21" s="2090"/>
      <c r="G21" s="1516"/>
      <c r="H21" s="2082" t="str">
        <f t="shared" si="0"/>
        <v/>
      </c>
    </row>
    <row r="22" spans="1:10">
      <c r="A22" s="2019"/>
      <c r="B22" s="1575"/>
      <c r="C22" s="2047" t="s">
        <v>709</v>
      </c>
      <c r="D22" s="2048" t="s">
        <v>161</v>
      </c>
      <c r="E22" s="1906"/>
      <c r="F22" s="1967"/>
      <c r="G22" s="1512"/>
      <c r="H22" s="2082" t="str">
        <f t="shared" si="0"/>
        <v/>
      </c>
    </row>
    <row r="23" spans="1:10">
      <c r="A23" s="2019"/>
      <c r="B23" s="1575"/>
      <c r="C23" s="2047"/>
      <c r="D23" s="2049"/>
      <c r="E23" s="1906"/>
      <c r="F23" s="1967"/>
      <c r="G23" s="1512"/>
      <c r="H23" s="2082" t="str">
        <f t="shared" si="0"/>
        <v/>
      </c>
    </row>
    <row r="24" spans="1:10">
      <c r="A24" s="2019"/>
      <c r="B24" s="1575"/>
      <c r="C24" s="2050"/>
      <c r="D24" s="2048" t="s">
        <v>720</v>
      </c>
      <c r="E24" s="1906"/>
      <c r="F24" s="1967"/>
      <c r="G24" s="1512"/>
      <c r="H24" s="2082" t="str">
        <f t="shared" si="0"/>
        <v/>
      </c>
    </row>
    <row r="25" spans="1:10">
      <c r="A25" s="2019"/>
      <c r="B25" s="1575"/>
      <c r="C25" s="2047"/>
      <c r="D25" s="2049"/>
      <c r="E25" s="1906"/>
      <c r="F25" s="1967"/>
      <c r="G25" s="1512"/>
      <c r="H25" s="2082" t="str">
        <f t="shared" si="0"/>
        <v/>
      </c>
    </row>
    <row r="26" spans="1:10">
      <c r="A26" s="2019">
        <f>$A$4</f>
        <v>6</v>
      </c>
      <c r="B26" s="1575">
        <v>1.7</v>
      </c>
      <c r="C26" s="2047"/>
      <c r="D26" s="2051" t="s">
        <v>748</v>
      </c>
      <c r="E26" s="1271" t="s">
        <v>561</v>
      </c>
      <c r="F26" s="1967">
        <v>1805</v>
      </c>
      <c r="G26" s="1517"/>
      <c r="H26" s="2082">
        <f t="shared" si="0"/>
        <v>0</v>
      </c>
    </row>
    <row r="27" spans="1:10">
      <c r="A27" s="2019"/>
      <c r="B27" s="1575"/>
      <c r="C27" s="2047"/>
      <c r="D27" s="2051"/>
      <c r="E27" s="1271"/>
      <c r="F27" s="1967"/>
      <c r="G27" s="1518"/>
      <c r="H27" s="2082" t="str">
        <f t="shared" si="0"/>
        <v/>
      </c>
    </row>
    <row r="28" spans="1:10">
      <c r="A28" s="2019">
        <f>$A$4</f>
        <v>6</v>
      </c>
      <c r="B28" s="1575">
        <v>1.8</v>
      </c>
      <c r="C28" s="2047"/>
      <c r="D28" s="2051" t="s">
        <v>869</v>
      </c>
      <c r="E28" s="1271" t="s">
        <v>561</v>
      </c>
      <c r="F28" s="1967">
        <v>1805</v>
      </c>
      <c r="G28" s="1517"/>
      <c r="H28" s="2082">
        <f t="shared" si="0"/>
        <v>0</v>
      </c>
    </row>
    <row r="29" spans="1:10">
      <c r="A29" s="2019"/>
      <c r="B29" s="1575"/>
      <c r="C29" s="2047"/>
      <c r="D29" s="2051"/>
      <c r="E29" s="1271"/>
      <c r="F29" s="1967"/>
      <c r="G29" s="1518"/>
      <c r="H29" s="2082" t="str">
        <f t="shared" si="0"/>
        <v/>
      </c>
    </row>
    <row r="30" spans="1:10" s="12" customFormat="1">
      <c r="A30" s="2019">
        <f>$A$4</f>
        <v>6</v>
      </c>
      <c r="B30" s="1575">
        <v>1.9</v>
      </c>
      <c r="C30" s="1876"/>
      <c r="D30" s="1778" t="s">
        <v>870</v>
      </c>
      <c r="E30" s="1271" t="s">
        <v>561</v>
      </c>
      <c r="F30" s="1967">
        <v>1805</v>
      </c>
      <c r="G30" s="1519"/>
      <c r="H30" s="2082">
        <f t="shared" si="0"/>
        <v>0</v>
      </c>
      <c r="I30" s="1196"/>
    </row>
    <row r="31" spans="1:10">
      <c r="A31" s="2019"/>
      <c r="B31" s="1575"/>
      <c r="C31" s="2047"/>
      <c r="D31" s="2051"/>
      <c r="E31" s="1271"/>
      <c r="F31" s="1967"/>
      <c r="G31" s="1519"/>
      <c r="H31" s="2082" t="str">
        <f t="shared" si="0"/>
        <v/>
      </c>
    </row>
    <row r="32" spans="1:10">
      <c r="A32" s="2019">
        <f>$A$4</f>
        <v>6</v>
      </c>
      <c r="B32" s="1951">
        <v>1.1000000000000001</v>
      </c>
      <c r="C32" s="2047"/>
      <c r="D32" s="2051" t="s">
        <v>725</v>
      </c>
      <c r="E32" s="1271" t="s">
        <v>561</v>
      </c>
      <c r="F32" s="1967">
        <v>1805</v>
      </c>
      <c r="G32" s="1517"/>
      <c r="H32" s="2082">
        <f t="shared" si="0"/>
        <v>0</v>
      </c>
    </row>
    <row r="33" spans="1:9">
      <c r="A33" s="2019"/>
      <c r="B33" s="1575"/>
      <c r="C33" s="2047"/>
      <c r="D33" s="2049"/>
      <c r="E33" s="1906"/>
      <c r="F33" s="1967"/>
      <c r="G33" s="1518"/>
      <c r="H33" s="2082" t="str">
        <f t="shared" si="0"/>
        <v/>
      </c>
    </row>
    <row r="34" spans="1:9" s="326" customFormat="1">
      <c r="A34" s="2019">
        <f>$A$4</f>
        <v>6</v>
      </c>
      <c r="B34" s="1575">
        <v>1.1100000000000001</v>
      </c>
      <c r="C34" s="2050"/>
      <c r="D34" s="2052" t="s">
        <v>871</v>
      </c>
      <c r="E34" s="1906" t="s">
        <v>273</v>
      </c>
      <c r="F34" s="1967">
        <v>360</v>
      </c>
      <c r="G34" s="1520"/>
      <c r="H34" s="2082">
        <f t="shared" si="0"/>
        <v>0</v>
      </c>
      <c r="I34" s="1194"/>
    </row>
    <row r="35" spans="1:9" s="326" customFormat="1">
      <c r="A35" s="2053"/>
      <c r="B35" s="2054"/>
      <c r="C35" s="2050"/>
      <c r="D35" s="2055"/>
      <c r="E35" s="1906"/>
      <c r="F35" s="1967"/>
      <c r="G35" s="1521"/>
      <c r="H35" s="2082" t="str">
        <f t="shared" si="0"/>
        <v/>
      </c>
      <c r="I35" s="1194"/>
    </row>
    <row r="36" spans="1:9">
      <c r="A36" s="2019"/>
      <c r="B36" s="1575"/>
      <c r="C36" s="1551" t="s">
        <v>663</v>
      </c>
      <c r="D36" s="2056" t="s">
        <v>664</v>
      </c>
      <c r="E36" s="1550"/>
      <c r="F36" s="2057"/>
      <c r="G36" s="1512"/>
      <c r="H36" s="2082" t="str">
        <f t="shared" si="0"/>
        <v/>
      </c>
    </row>
    <row r="37" spans="1:9">
      <c r="A37" s="2019"/>
      <c r="B37" s="1575"/>
      <c r="C37" s="1551"/>
      <c r="D37" s="1552"/>
      <c r="E37" s="1550"/>
      <c r="F37" s="2057"/>
      <c r="G37" s="1512"/>
      <c r="H37" s="2082" t="str">
        <f t="shared" si="0"/>
        <v/>
      </c>
    </row>
    <row r="38" spans="1:9" s="355" customFormat="1">
      <c r="A38" s="2019">
        <f>$A$4</f>
        <v>6</v>
      </c>
      <c r="B38" s="2058">
        <v>1.1200000000000001</v>
      </c>
      <c r="C38" s="1565"/>
      <c r="D38" s="2059" t="s">
        <v>872</v>
      </c>
      <c r="E38" s="1550" t="s">
        <v>691</v>
      </c>
      <c r="F38" s="2057">
        <v>12</v>
      </c>
      <c r="G38" s="1190"/>
      <c r="H38" s="2082">
        <f t="shared" si="0"/>
        <v>0</v>
      </c>
      <c r="I38" s="1194"/>
    </row>
    <row r="39" spans="1:9">
      <c r="A39" s="2019"/>
      <c r="B39" s="1575"/>
      <c r="C39" s="1551"/>
      <c r="D39" s="1552"/>
      <c r="E39" s="1550"/>
      <c r="F39" s="2057"/>
      <c r="G39" s="1522"/>
      <c r="H39" s="2082" t="str">
        <f t="shared" si="0"/>
        <v/>
      </c>
    </row>
    <row r="40" spans="1:9" ht="26.4">
      <c r="A40" s="2019"/>
      <c r="B40" s="1575"/>
      <c r="C40" s="1845" t="s">
        <v>665</v>
      </c>
      <c r="D40" s="2061" t="s">
        <v>666</v>
      </c>
      <c r="E40" s="1550"/>
      <c r="F40" s="2057"/>
      <c r="G40" s="1522"/>
      <c r="H40" s="2082" t="str">
        <f t="shared" si="0"/>
        <v/>
      </c>
    </row>
    <row r="41" spans="1:9">
      <c r="A41" s="2019"/>
      <c r="B41" s="1667"/>
      <c r="C41" s="1551"/>
      <c r="D41" s="2062"/>
      <c r="E41" s="1550"/>
      <c r="F41" s="2063"/>
      <c r="G41" s="1522"/>
      <c r="H41" s="2082" t="str">
        <f t="shared" si="0"/>
        <v/>
      </c>
    </row>
    <row r="42" spans="1:9" s="355" customFormat="1" ht="15.6">
      <c r="A42" s="2019">
        <f>$A$4</f>
        <v>6</v>
      </c>
      <c r="B42" s="1821">
        <v>1.1299999999999999</v>
      </c>
      <c r="C42" s="1565" t="s">
        <v>667</v>
      </c>
      <c r="D42" s="1559" t="s">
        <v>873</v>
      </c>
      <c r="E42" s="1261" t="s">
        <v>657</v>
      </c>
      <c r="F42" s="2064">
        <v>0.5</v>
      </c>
      <c r="G42" s="1191"/>
      <c r="H42" s="2082">
        <f t="shared" si="0"/>
        <v>0</v>
      </c>
      <c r="I42" s="1194"/>
    </row>
    <row r="43" spans="1:9" s="355" customFormat="1">
      <c r="A43" s="2065"/>
      <c r="B43" s="1667"/>
      <c r="C43" s="1565"/>
      <c r="D43" s="2066"/>
      <c r="E43" s="1261"/>
      <c r="F43" s="1823"/>
      <c r="G43" s="1523"/>
      <c r="H43" s="2082" t="str">
        <f t="shared" si="0"/>
        <v/>
      </c>
      <c r="I43" s="1194"/>
    </row>
    <row r="44" spans="1:9" s="355" customFormat="1" ht="15.6">
      <c r="A44" s="2019">
        <f>$A$4</f>
        <v>6</v>
      </c>
      <c r="B44" s="1821">
        <v>1.1399999999999999</v>
      </c>
      <c r="C44" s="1565" t="s">
        <v>669</v>
      </c>
      <c r="D44" s="1559" t="s">
        <v>670</v>
      </c>
      <c r="E44" s="1261" t="s">
        <v>657</v>
      </c>
      <c r="F44" s="2064">
        <v>0.5</v>
      </c>
      <c r="G44" s="1191"/>
      <c r="H44" s="2082">
        <f t="shared" si="0"/>
        <v>0</v>
      </c>
      <c r="I44" s="1194"/>
    </row>
    <row r="45" spans="1:9" s="355" customFormat="1">
      <c r="A45" s="2065"/>
      <c r="B45" s="1667"/>
      <c r="C45" s="1565"/>
      <c r="D45" s="1559"/>
      <c r="E45" s="1261"/>
      <c r="F45" s="2068"/>
      <c r="G45" s="1191"/>
      <c r="H45" s="2082" t="str">
        <f t="shared" si="0"/>
        <v/>
      </c>
      <c r="I45" s="1194"/>
    </row>
    <row r="46" spans="1:9" s="355" customFormat="1" ht="52.8">
      <c r="A46" s="2019">
        <f>$A$4</f>
        <v>6</v>
      </c>
      <c r="B46" s="1821">
        <v>1.1499999999999999</v>
      </c>
      <c r="C46" s="1565"/>
      <c r="D46" s="1559" t="s">
        <v>880</v>
      </c>
      <c r="E46" s="1261" t="s">
        <v>561</v>
      </c>
      <c r="F46" s="1823">
        <v>1972</v>
      </c>
      <c r="G46" s="1524"/>
      <c r="H46" s="2082">
        <f t="shared" si="0"/>
        <v>0</v>
      </c>
      <c r="I46" s="1194"/>
    </row>
    <row r="47" spans="1:9" s="355" customFormat="1">
      <c r="A47" s="2065"/>
      <c r="B47" s="1821"/>
      <c r="C47" s="1565"/>
      <c r="D47" s="1559"/>
      <c r="E47" s="1261"/>
      <c r="F47" s="1823"/>
      <c r="G47" s="1524"/>
      <c r="H47" s="2082" t="str">
        <f t="shared" si="0"/>
        <v/>
      </c>
      <c r="I47" s="1194"/>
    </row>
    <row r="48" spans="1:9" s="355" customFormat="1">
      <c r="A48" s="2019">
        <f>$A$4</f>
        <v>6</v>
      </c>
      <c r="B48" s="1821">
        <v>1.1599999999999999</v>
      </c>
      <c r="C48" s="1565"/>
      <c r="D48" s="1780" t="s">
        <v>567</v>
      </c>
      <c r="E48" s="1261" t="s">
        <v>252</v>
      </c>
      <c r="F48" s="1781">
        <v>1</v>
      </c>
      <c r="G48" s="1525">
        <v>462728</v>
      </c>
      <c r="H48" s="2082">
        <f t="shared" si="0"/>
        <v>462728</v>
      </c>
      <c r="I48" s="1194"/>
    </row>
    <row r="49" spans="1:9" ht="12" customHeight="1">
      <c r="A49" s="2019"/>
      <c r="B49" s="1575"/>
      <c r="C49" s="1876"/>
      <c r="D49" s="2000"/>
      <c r="E49" s="1906"/>
      <c r="F49" s="2057"/>
      <c r="G49" s="1512"/>
      <c r="H49" s="2082" t="str">
        <f t="shared" si="0"/>
        <v/>
      </c>
    </row>
    <row r="50" spans="1:9" s="6" customFormat="1">
      <c r="A50" s="2019">
        <f>$A$4</f>
        <v>6</v>
      </c>
      <c r="B50" s="2091">
        <v>2</v>
      </c>
      <c r="C50" s="2070"/>
      <c r="D50" s="2070" t="s">
        <v>886</v>
      </c>
      <c r="E50" s="2070"/>
      <c r="F50" s="2070"/>
      <c r="G50" s="1526"/>
      <c r="H50" s="2082" t="str">
        <f t="shared" si="0"/>
        <v/>
      </c>
      <c r="I50" s="1197"/>
    </row>
    <row r="51" spans="1:9">
      <c r="A51" s="2019"/>
      <c r="B51" s="1575"/>
      <c r="C51" s="1876"/>
      <c r="D51" s="2000"/>
      <c r="E51" s="1906"/>
      <c r="F51" s="2057"/>
      <c r="G51" s="1512"/>
      <c r="H51" s="2082" t="str">
        <f t="shared" si="0"/>
        <v/>
      </c>
    </row>
    <row r="52" spans="1:9" s="12" customFormat="1">
      <c r="A52" s="2019">
        <f>$A$4</f>
        <v>6</v>
      </c>
      <c r="B52" s="1575">
        <v>2.1</v>
      </c>
      <c r="C52" s="1876"/>
      <c r="D52" s="1564" t="s">
        <v>887</v>
      </c>
      <c r="E52" s="1261" t="s">
        <v>252</v>
      </c>
      <c r="F52" s="2057">
        <v>1</v>
      </c>
      <c r="G52" s="1527">
        <v>1000000</v>
      </c>
      <c r="H52" s="2082">
        <f t="shared" si="0"/>
        <v>1000000</v>
      </c>
      <c r="I52" s="1196"/>
    </row>
    <row r="53" spans="1:9">
      <c r="A53" s="2019"/>
      <c r="B53" s="1575"/>
      <c r="C53" s="1876"/>
      <c r="D53" s="2000"/>
      <c r="E53" s="1906"/>
      <c r="F53" s="2057"/>
      <c r="G53" s="1512"/>
      <c r="H53" s="2082" t="str">
        <f t="shared" si="0"/>
        <v/>
      </c>
    </row>
    <row r="54" spans="1:9">
      <c r="A54" s="2019"/>
      <c r="B54" s="1575"/>
      <c r="C54" s="1551" t="s">
        <v>663</v>
      </c>
      <c r="D54" s="2056" t="s">
        <v>664</v>
      </c>
      <c r="E54" s="1550"/>
      <c r="F54" s="2057"/>
      <c r="G54" s="1512"/>
      <c r="H54" s="2082" t="str">
        <f t="shared" si="0"/>
        <v/>
      </c>
    </row>
    <row r="55" spans="1:9">
      <c r="A55" s="2019"/>
      <c r="B55" s="1575"/>
      <c r="C55" s="1551"/>
      <c r="D55" s="1552"/>
      <c r="E55" s="1550"/>
      <c r="F55" s="2057"/>
      <c r="G55" s="1512"/>
      <c r="H55" s="2082" t="str">
        <f t="shared" si="0"/>
        <v/>
      </c>
    </row>
    <row r="56" spans="1:9" s="355" customFormat="1" ht="28.8">
      <c r="A56" s="2019">
        <f>$A$4</f>
        <v>6</v>
      </c>
      <c r="B56" s="2058">
        <v>2.2000000000000002</v>
      </c>
      <c r="C56" s="1565"/>
      <c r="D56" s="2071" t="s">
        <v>888</v>
      </c>
      <c r="E56" s="1261" t="s">
        <v>691</v>
      </c>
      <c r="F56" s="2072">
        <v>20</v>
      </c>
      <c r="G56" s="1528"/>
      <c r="H56" s="2082">
        <f t="shared" si="0"/>
        <v>0</v>
      </c>
      <c r="I56" s="1194"/>
    </row>
    <row r="57" spans="1:9">
      <c r="A57" s="2019"/>
      <c r="B57" s="1575"/>
      <c r="C57" s="1551"/>
      <c r="D57" s="1552"/>
      <c r="E57" s="1550"/>
      <c r="F57" s="2074"/>
      <c r="G57" s="1522"/>
      <c r="H57" s="2082" t="str">
        <f t="shared" si="0"/>
        <v/>
      </c>
    </row>
    <row r="58" spans="1:9" ht="26.4">
      <c r="A58" s="2019"/>
      <c r="B58" s="1575"/>
      <c r="C58" s="1845" t="s">
        <v>665</v>
      </c>
      <c r="D58" s="2061" t="s">
        <v>666</v>
      </c>
      <c r="E58" s="1550"/>
      <c r="F58" s="2074"/>
      <c r="G58" s="1522"/>
      <c r="H58" s="2082" t="str">
        <f t="shared" si="0"/>
        <v/>
      </c>
    </row>
    <row r="59" spans="1:9" s="355" customFormat="1">
      <c r="A59" s="2065"/>
      <c r="B59" s="1821"/>
      <c r="C59" s="1565"/>
      <c r="D59" s="2066"/>
      <c r="E59" s="1261"/>
      <c r="F59" s="1823"/>
      <c r="G59" s="1523"/>
      <c r="H59" s="2082" t="str">
        <f t="shared" si="0"/>
        <v/>
      </c>
      <c r="I59" s="1194"/>
    </row>
    <row r="60" spans="1:9" s="355" customFormat="1" ht="15.6">
      <c r="A60" s="2019">
        <f>$A$4</f>
        <v>6</v>
      </c>
      <c r="B60" s="1821">
        <v>2.2999999999999998</v>
      </c>
      <c r="C60" s="1565" t="s">
        <v>667</v>
      </c>
      <c r="D60" s="1559" t="s">
        <v>873</v>
      </c>
      <c r="E60" s="1261" t="s">
        <v>657</v>
      </c>
      <c r="F60" s="2064">
        <v>0.5</v>
      </c>
      <c r="G60" s="1191"/>
      <c r="H60" s="2082">
        <f t="shared" si="0"/>
        <v>0</v>
      </c>
      <c r="I60" s="1194"/>
    </row>
    <row r="61" spans="1:9" s="355" customFormat="1">
      <c r="A61" s="2065"/>
      <c r="B61" s="1821"/>
      <c r="C61" s="1565"/>
      <c r="D61" s="2066"/>
      <c r="E61" s="1261"/>
      <c r="F61" s="1823"/>
      <c r="G61" s="1523"/>
      <c r="H61" s="2082" t="str">
        <f t="shared" si="0"/>
        <v/>
      </c>
      <c r="I61" s="1194"/>
    </row>
    <row r="62" spans="1:9" s="355" customFormat="1" ht="15.6">
      <c r="A62" s="2019">
        <f>$A$4</f>
        <v>6</v>
      </c>
      <c r="B62" s="1821">
        <v>2.4</v>
      </c>
      <c r="C62" s="1565" t="s">
        <v>669</v>
      </c>
      <c r="D62" s="1559" t="s">
        <v>670</v>
      </c>
      <c r="E62" s="1261" t="s">
        <v>657</v>
      </c>
      <c r="F62" s="2064">
        <v>0.5</v>
      </c>
      <c r="G62" s="1191"/>
      <c r="H62" s="2082">
        <f t="shared" si="0"/>
        <v>0</v>
      </c>
      <c r="I62" s="1194"/>
    </row>
    <row r="63" spans="1:9" s="355" customFormat="1">
      <c r="A63" s="2019"/>
      <c r="B63" s="1821"/>
      <c r="C63" s="1565"/>
      <c r="D63" s="1559"/>
      <c r="E63" s="1261"/>
      <c r="F63" s="2064"/>
      <c r="G63" s="1191"/>
      <c r="H63" s="2092"/>
      <c r="I63" s="1194"/>
    </row>
    <row r="64" spans="1:9" s="355" customFormat="1">
      <c r="A64" s="2019"/>
      <c r="B64" s="1821"/>
      <c r="C64" s="1565"/>
      <c r="D64" s="1559"/>
      <c r="E64" s="1261"/>
      <c r="F64" s="2064"/>
      <c r="G64" s="1191"/>
      <c r="H64" s="2092"/>
      <c r="I64" s="1194"/>
    </row>
    <row r="65" spans="1:9" s="355" customFormat="1">
      <c r="A65" s="2019"/>
      <c r="B65" s="1821"/>
      <c r="C65" s="1565"/>
      <c r="D65" s="1559"/>
      <c r="E65" s="1261"/>
      <c r="F65" s="2064"/>
      <c r="G65" s="1191"/>
      <c r="H65" s="2092"/>
      <c r="I65" s="1194"/>
    </row>
    <row r="66" spans="1:9" s="355" customFormat="1">
      <c r="A66" s="2019"/>
      <c r="B66" s="1821"/>
      <c r="C66" s="1565"/>
      <c r="D66" s="1559"/>
      <c r="E66" s="1261"/>
      <c r="F66" s="2064"/>
      <c r="G66" s="1191"/>
      <c r="H66" s="2092"/>
      <c r="I66" s="1194"/>
    </row>
    <row r="67" spans="1:9" s="355" customFormat="1">
      <c r="A67" s="2019"/>
      <c r="B67" s="1821"/>
      <c r="C67" s="1565"/>
      <c r="D67" s="1559"/>
      <c r="E67" s="1261"/>
      <c r="F67" s="2064"/>
      <c r="G67" s="1191"/>
      <c r="H67" s="2092"/>
      <c r="I67" s="1194"/>
    </row>
    <row r="68" spans="1:9" s="355" customFormat="1">
      <c r="A68" s="2019"/>
      <c r="B68" s="1821"/>
      <c r="C68" s="1565"/>
      <c r="D68" s="1559"/>
      <c r="E68" s="1261"/>
      <c r="F68" s="2064"/>
      <c r="G68" s="1191"/>
      <c r="H68" s="2092"/>
      <c r="I68" s="1194"/>
    </row>
    <row r="69" spans="1:9" s="355" customFormat="1">
      <c r="A69" s="2019"/>
      <c r="B69" s="1821"/>
      <c r="C69" s="1565"/>
      <c r="D69" s="1559"/>
      <c r="E69" s="1261"/>
      <c r="F69" s="2064"/>
      <c r="G69" s="1191"/>
      <c r="H69" s="2092"/>
      <c r="I69" s="1194"/>
    </row>
    <row r="70" spans="1:9" s="355" customFormat="1">
      <c r="A70" s="2019"/>
      <c r="B70" s="1821"/>
      <c r="C70" s="1565"/>
      <c r="D70" s="1559"/>
      <c r="E70" s="1261"/>
      <c r="F70" s="2064"/>
      <c r="G70" s="1191"/>
      <c r="H70" s="2092"/>
      <c r="I70" s="1194"/>
    </row>
    <row r="71" spans="1:9" s="355" customFormat="1">
      <c r="A71" s="2065"/>
      <c r="B71" s="1821"/>
      <c r="C71" s="1565"/>
      <c r="D71" s="1559"/>
      <c r="E71" s="1261"/>
      <c r="F71" s="2068"/>
      <c r="G71" s="1191"/>
      <c r="H71" s="2093"/>
      <c r="I71" s="1194"/>
    </row>
    <row r="72" spans="1:9" s="355" customFormat="1">
      <c r="A72" s="2065"/>
      <c r="B72" s="1821"/>
      <c r="C72" s="1565"/>
      <c r="D72" s="1559"/>
      <c r="E72" s="1261"/>
      <c r="F72" s="2068"/>
      <c r="G72" s="1191"/>
      <c r="H72" s="2093"/>
      <c r="I72" s="1194"/>
    </row>
    <row r="73" spans="1:9" s="355" customFormat="1">
      <c r="A73" s="2065"/>
      <c r="B73" s="1821"/>
      <c r="C73" s="1565"/>
      <c r="D73" s="1559"/>
      <c r="E73" s="1261"/>
      <c r="F73" s="2068"/>
      <c r="G73" s="1191"/>
      <c r="H73" s="2093"/>
      <c r="I73" s="1194"/>
    </row>
    <row r="74" spans="1:9" s="355" customFormat="1">
      <c r="A74" s="2065"/>
      <c r="B74" s="1821"/>
      <c r="C74" s="1565"/>
      <c r="D74" s="1559"/>
      <c r="E74" s="1261"/>
      <c r="F74" s="2068"/>
      <c r="G74" s="1529"/>
      <c r="H74" s="2093"/>
      <c r="I74" s="1194"/>
    </row>
    <row r="75" spans="1:9" s="355" customFormat="1">
      <c r="A75" s="1975"/>
      <c r="B75" s="788"/>
      <c r="C75" s="794"/>
      <c r="D75" s="795"/>
      <c r="E75" s="788"/>
      <c r="F75" s="796"/>
      <c r="G75" s="1279"/>
      <c r="H75" s="2086"/>
      <c r="I75" s="1194"/>
    </row>
    <row r="76" spans="1:9" s="355" customFormat="1">
      <c r="A76" s="798"/>
      <c r="B76" s="316"/>
      <c r="C76" s="490"/>
      <c r="D76" s="491" t="s">
        <v>889</v>
      </c>
      <c r="E76" s="316"/>
      <c r="F76" s="492"/>
      <c r="G76" s="567"/>
      <c r="H76" s="1278">
        <f>SUM(H3:H74)</f>
        <v>1462728</v>
      </c>
      <c r="I76" s="1194"/>
    </row>
    <row r="78" spans="1:9">
      <c r="G78" s="509"/>
      <c r="H78" s="509"/>
    </row>
  </sheetData>
  <sheetProtection algorithmName="SHA-512" hashValue="6Bi0Tg1Z8T3XCYsTEAKU7vdYONV+5AODds2UzBolKlgLJMGeQQXX+f0EtRfcVfggxbct+Rbn9Qskjev2zwvQDw==" saltValue="p4l5hq5cD2idI3Lr8qSpvA==" spinCount="100000" sheet="1" objects="1" scenarios="1"/>
  <mergeCells count="1">
    <mergeCell ref="A1:H1"/>
  </mergeCells>
  <phoneticPr fontId="33" type="noConversion"/>
  <pageMargins left="0.59055118110236227" right="0.59055118110236227" top="1.1023622047244095" bottom="0.78740157480314965" header="0.27559055118110237" footer="0.27559055118110237"/>
  <pageSetup paperSize="9" scale="64" firstPageNumber="72" fitToHeight="0" orientation="portrait" useFirstPageNumber="1" r:id="rId1"/>
  <headerFooter alignWithMargins="0">
    <oddHeader>&amp;L&amp;G&amp;CContract JW 14425
Bushkoppie Wastewater Treatment Works:
Infrastructure Renewal Plan
Volume 1 
C 2.2 Bill of Quantities&amp;R&amp;G</oddHeader>
    <oddFooter>&amp;C&amp;12
&amp;G
C.&amp;P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EACE9-6168-4566-97B0-B4CF7C1A5121}">
  <sheetPr codeName="Sheet6">
    <pageSetUpPr fitToPage="1"/>
  </sheetPr>
  <dimension ref="A1:H313"/>
  <sheetViews>
    <sheetView view="pageBreakPreview" zoomScaleNormal="100" zoomScaleSheetLayoutView="100" workbookViewId="0">
      <selection activeCell="J18" sqref="J18"/>
    </sheetView>
  </sheetViews>
  <sheetFormatPr defaultColWidth="6.109375" defaultRowHeight="13.2"/>
  <cols>
    <col min="1" max="1" width="9.109375" style="8" customWidth="1"/>
    <col min="2" max="2" width="8.88671875" style="9" customWidth="1"/>
    <col min="3" max="3" width="9.88671875" style="9" customWidth="1"/>
    <col min="4" max="4" width="58.88671875" style="2" customWidth="1"/>
    <col min="5" max="5" width="8.88671875" style="9" customWidth="1"/>
    <col min="6" max="6" width="10.88671875" style="9" customWidth="1"/>
    <col min="7" max="7" width="14.88671875" style="319" customWidth="1"/>
    <col min="8" max="8" width="20.88671875" style="2" customWidth="1"/>
    <col min="9" max="9" width="6.109375" style="2" customWidth="1"/>
    <col min="10" max="10" width="10.44140625" style="2" customWidth="1"/>
    <col min="11" max="16384" width="6.109375" style="2"/>
  </cols>
  <sheetData>
    <row r="1" spans="1:8" s="5" customFormat="1" ht="15">
      <c r="A1" s="3007" t="s">
        <v>890</v>
      </c>
      <c r="B1" s="3008"/>
      <c r="C1" s="3008"/>
      <c r="D1" s="3008"/>
      <c r="E1" s="3008"/>
      <c r="F1" s="3008"/>
      <c r="G1" s="3008"/>
      <c r="H1" s="3009"/>
    </row>
    <row r="2" spans="1:8" s="32" customFormat="1" ht="25.5" customHeight="1">
      <c r="A2" s="488" t="s">
        <v>541</v>
      </c>
      <c r="B2" s="452" t="s">
        <v>217</v>
      </c>
      <c r="C2" s="453" t="s">
        <v>218</v>
      </c>
      <c r="D2" s="417" t="s">
        <v>219</v>
      </c>
      <c r="E2" s="414" t="s">
        <v>220</v>
      </c>
      <c r="F2" s="415" t="s">
        <v>221</v>
      </c>
      <c r="G2" s="455" t="s">
        <v>222</v>
      </c>
      <c r="H2" s="494" t="s">
        <v>223</v>
      </c>
    </row>
    <row r="3" spans="1:8">
      <c r="A3" s="2019"/>
      <c r="B3" s="1667"/>
      <c r="C3" s="1667"/>
      <c r="D3" s="2030"/>
      <c r="E3" s="1669"/>
      <c r="F3" s="1670"/>
      <c r="G3" s="1188"/>
      <c r="H3" s="2031"/>
    </row>
    <row r="4" spans="1:8" s="6" customFormat="1" ht="13.8">
      <c r="A4" s="2069">
        <v>7</v>
      </c>
      <c r="B4" s="1753">
        <v>1</v>
      </c>
      <c r="C4" s="1753"/>
      <c r="D4" s="2094" t="s">
        <v>891</v>
      </c>
      <c r="E4" s="2095"/>
      <c r="F4" s="2096"/>
      <c r="G4" s="2097"/>
      <c r="H4" s="2098"/>
    </row>
    <row r="5" spans="1:8">
      <c r="A5" s="2019"/>
      <c r="B5" s="1667"/>
      <c r="C5" s="1667"/>
      <c r="D5" s="2030"/>
      <c r="E5" s="1669"/>
      <c r="F5" s="1670"/>
      <c r="G5" s="1188"/>
      <c r="H5" s="2031"/>
    </row>
    <row r="6" spans="1:8" s="374" customFormat="1" ht="26.4">
      <c r="A6" s="1886"/>
      <c r="B6" s="1753" t="s">
        <v>543</v>
      </c>
      <c r="C6" s="1766" t="s">
        <v>892</v>
      </c>
      <c r="D6" s="1773" t="s">
        <v>893</v>
      </c>
      <c r="E6" s="2095"/>
      <c r="F6" s="2096"/>
      <c r="G6" s="2099"/>
      <c r="H6" s="2100"/>
    </row>
    <row r="7" spans="1:8">
      <c r="A7" s="2019"/>
      <c r="B7" s="1667"/>
      <c r="C7" s="2029"/>
      <c r="D7" s="2030"/>
      <c r="E7" s="1669"/>
      <c r="F7" s="1670"/>
      <c r="G7" s="1188"/>
      <c r="H7" s="2031"/>
    </row>
    <row r="8" spans="1:8" ht="15.6">
      <c r="A8" s="2019">
        <f>$A$4</f>
        <v>7</v>
      </c>
      <c r="B8" s="1667">
        <v>1.1000000000000001</v>
      </c>
      <c r="C8" s="2029" t="s">
        <v>546</v>
      </c>
      <c r="D8" s="2030" t="s">
        <v>894</v>
      </c>
      <c r="E8" s="1550" t="s">
        <v>565</v>
      </c>
      <c r="F8" s="1670">
        <v>205</v>
      </c>
      <c r="G8" s="1189"/>
      <c r="H8" s="2082">
        <f t="shared" ref="H8:H71" si="0">IF(E8="","",ROUND(F8*G8,2))</f>
        <v>0</v>
      </c>
    </row>
    <row r="9" spans="1:8">
      <c r="A9" s="2019"/>
      <c r="B9" s="1667"/>
      <c r="C9" s="2029"/>
      <c r="D9" s="2030"/>
      <c r="E9" s="1669"/>
      <c r="F9" s="1670"/>
      <c r="G9" s="1188"/>
      <c r="H9" s="2082" t="str">
        <f t="shared" si="0"/>
        <v/>
      </c>
    </row>
    <row r="10" spans="1:8" s="395" customFormat="1" ht="26.4">
      <c r="A10" s="2069"/>
      <c r="B10" s="1753" t="s">
        <v>549</v>
      </c>
      <c r="C10" s="2032" t="s">
        <v>895</v>
      </c>
      <c r="D10" s="1815" t="s">
        <v>627</v>
      </c>
      <c r="E10" s="1766"/>
      <c r="F10" s="2096"/>
      <c r="G10" s="2101"/>
      <c r="H10" s="2082" t="str">
        <f t="shared" si="0"/>
        <v/>
      </c>
    </row>
    <row r="11" spans="1:8">
      <c r="A11" s="2019"/>
      <c r="B11" s="1667"/>
      <c r="C11" s="1557"/>
      <c r="D11" s="2102"/>
      <c r="E11" s="1783"/>
      <c r="F11" s="1670"/>
      <c r="G11" s="1188"/>
      <c r="H11" s="2082" t="str">
        <f t="shared" si="0"/>
        <v/>
      </c>
    </row>
    <row r="12" spans="1:8">
      <c r="A12" s="2019"/>
      <c r="B12" s="1667"/>
      <c r="C12" s="2103" t="s">
        <v>896</v>
      </c>
      <c r="D12" s="1998" t="s">
        <v>48</v>
      </c>
      <c r="E12" s="1962"/>
      <c r="F12" s="1670"/>
      <c r="G12" s="1188"/>
      <c r="H12" s="2082" t="str">
        <f t="shared" si="0"/>
        <v/>
      </c>
    </row>
    <row r="13" spans="1:8">
      <c r="A13" s="2019"/>
      <c r="B13" s="1667"/>
      <c r="C13" s="2103"/>
      <c r="D13" s="1998"/>
      <c r="E13" s="1962"/>
      <c r="F13" s="1670"/>
      <c r="G13" s="1188"/>
      <c r="H13" s="2082" t="str">
        <f t="shared" si="0"/>
        <v/>
      </c>
    </row>
    <row r="14" spans="1:8" ht="26.4">
      <c r="A14" s="2019"/>
      <c r="B14" s="1667"/>
      <c r="C14" s="1550" t="s">
        <v>775</v>
      </c>
      <c r="D14" s="1771" t="s">
        <v>776</v>
      </c>
      <c r="E14" s="1550"/>
      <c r="F14" s="1271"/>
      <c r="G14" s="1541"/>
      <c r="H14" s="2082" t="str">
        <f t="shared" si="0"/>
        <v/>
      </c>
    </row>
    <row r="15" spans="1:8">
      <c r="A15" s="2019"/>
      <c r="B15" s="1667"/>
      <c r="C15" s="1550"/>
      <c r="D15" s="1771"/>
      <c r="E15" s="1271"/>
      <c r="F15" s="1271"/>
      <c r="G15" s="2104"/>
      <c r="H15" s="2082" t="str">
        <f t="shared" si="0"/>
        <v/>
      </c>
    </row>
    <row r="16" spans="1:8">
      <c r="A16" s="2019">
        <f>$A$4</f>
        <v>7</v>
      </c>
      <c r="B16" s="1667">
        <v>1.2</v>
      </c>
      <c r="C16" s="1550"/>
      <c r="D16" s="1771" t="s">
        <v>777</v>
      </c>
      <c r="E16" s="1550" t="s">
        <v>508</v>
      </c>
      <c r="F16" s="1961">
        <v>265</v>
      </c>
      <c r="G16" s="2104"/>
      <c r="H16" s="2082">
        <f t="shared" si="0"/>
        <v>0</v>
      </c>
    </row>
    <row r="17" spans="1:8">
      <c r="A17" s="2019"/>
      <c r="B17" s="1667"/>
      <c r="C17" s="1550"/>
      <c r="D17" s="1771"/>
      <c r="E17" s="1271"/>
      <c r="F17" s="1271"/>
      <c r="G17" s="2104"/>
      <c r="H17" s="2082" t="str">
        <f t="shared" si="0"/>
        <v/>
      </c>
    </row>
    <row r="18" spans="1:8" ht="26.4">
      <c r="A18" s="2019"/>
      <c r="B18" s="1783"/>
      <c r="C18" s="1616" t="s">
        <v>897</v>
      </c>
      <c r="D18" s="2105" t="s">
        <v>898</v>
      </c>
      <c r="E18" s="1550"/>
      <c r="F18" s="1550"/>
      <c r="G18" s="1538"/>
      <c r="H18" s="2082" t="str">
        <f t="shared" si="0"/>
        <v/>
      </c>
    </row>
    <row r="19" spans="1:8">
      <c r="A19" s="2019"/>
      <c r="B19" s="1550"/>
      <c r="C19" s="1551"/>
      <c r="D19" s="2106"/>
      <c r="E19" s="1550"/>
      <c r="F19" s="1550"/>
      <c r="G19" s="1538"/>
      <c r="H19" s="2082" t="str">
        <f t="shared" si="0"/>
        <v/>
      </c>
    </row>
    <row r="20" spans="1:8" ht="15.6">
      <c r="A20" s="2019">
        <f>$A$4</f>
        <v>7</v>
      </c>
      <c r="B20" s="1550">
        <v>1.3</v>
      </c>
      <c r="C20" s="1551"/>
      <c r="D20" s="2106" t="s">
        <v>634</v>
      </c>
      <c r="E20" s="1550" t="s">
        <v>631</v>
      </c>
      <c r="F20" s="1550">
        <v>80</v>
      </c>
      <c r="G20" s="2107"/>
      <c r="H20" s="2082">
        <f t="shared" si="0"/>
        <v>0</v>
      </c>
    </row>
    <row r="21" spans="1:8">
      <c r="A21" s="2019"/>
      <c r="B21" s="1550"/>
      <c r="C21" s="1551"/>
      <c r="D21" s="2106"/>
      <c r="E21" s="1550"/>
      <c r="F21" s="1550"/>
      <c r="G21" s="2107"/>
      <c r="H21" s="2082" t="str">
        <f t="shared" si="0"/>
        <v/>
      </c>
    </row>
    <row r="22" spans="1:8" ht="15.6">
      <c r="A22" s="2019">
        <f>$A$4</f>
        <v>7</v>
      </c>
      <c r="B22" s="1550">
        <v>1.4</v>
      </c>
      <c r="C22" s="1551"/>
      <c r="D22" s="2106" t="s">
        <v>635</v>
      </c>
      <c r="E22" s="1550" t="s">
        <v>631</v>
      </c>
      <c r="F22" s="1550">
        <v>53</v>
      </c>
      <c r="G22" s="2107"/>
      <c r="H22" s="2082">
        <f t="shared" si="0"/>
        <v>0</v>
      </c>
    </row>
    <row r="23" spans="1:8">
      <c r="A23" s="2019"/>
      <c r="B23" s="1550"/>
      <c r="C23" s="1551"/>
      <c r="D23" s="2106"/>
      <c r="E23" s="1550"/>
      <c r="F23" s="1550"/>
      <c r="G23" s="1538"/>
      <c r="H23" s="2082" t="str">
        <f t="shared" si="0"/>
        <v/>
      </c>
    </row>
    <row r="24" spans="1:8" s="6" customFormat="1" ht="22.5" customHeight="1">
      <c r="A24" s="2069"/>
      <c r="B24" s="1765" t="s">
        <v>558</v>
      </c>
      <c r="C24" s="1766" t="s">
        <v>581</v>
      </c>
      <c r="D24" s="1806" t="s">
        <v>636</v>
      </c>
      <c r="E24" s="1774"/>
      <c r="F24" s="1774"/>
      <c r="G24" s="2108"/>
      <c r="H24" s="2082" t="str">
        <f t="shared" si="0"/>
        <v/>
      </c>
    </row>
    <row r="25" spans="1:8">
      <c r="A25" s="2019"/>
      <c r="B25" s="1551"/>
      <c r="C25" s="1550"/>
      <c r="D25" s="2109"/>
      <c r="E25" s="1550"/>
      <c r="F25" s="1550"/>
      <c r="G25" s="1538"/>
      <c r="H25" s="2082" t="str">
        <f t="shared" si="0"/>
        <v/>
      </c>
    </row>
    <row r="26" spans="1:8" ht="12" customHeight="1">
      <c r="A26" s="2019"/>
      <c r="B26" s="1551"/>
      <c r="C26" s="1550">
        <v>8.1999999999999993</v>
      </c>
      <c r="D26" s="2109" t="s">
        <v>637</v>
      </c>
      <c r="E26" s="1550"/>
      <c r="F26" s="1550"/>
      <c r="G26" s="1538"/>
      <c r="H26" s="2082" t="str">
        <f t="shared" si="0"/>
        <v/>
      </c>
    </row>
    <row r="27" spans="1:8">
      <c r="A27" s="2019"/>
      <c r="B27" s="1551"/>
      <c r="C27" s="1550"/>
      <c r="D27" s="2044"/>
      <c r="E27" s="1550"/>
      <c r="F27" s="1550"/>
      <c r="G27" s="1538"/>
      <c r="H27" s="2082" t="str">
        <f t="shared" si="0"/>
        <v/>
      </c>
    </row>
    <row r="28" spans="1:8">
      <c r="A28" s="2019"/>
      <c r="B28" s="1551"/>
      <c r="C28" s="1550" t="s">
        <v>590</v>
      </c>
      <c r="D28" s="2044" t="s">
        <v>638</v>
      </c>
      <c r="E28" s="1550"/>
      <c r="F28" s="1550"/>
      <c r="G28" s="1538"/>
      <c r="H28" s="2082" t="str">
        <f t="shared" si="0"/>
        <v/>
      </c>
    </row>
    <row r="29" spans="1:8">
      <c r="A29" s="2019"/>
      <c r="B29" s="1551"/>
      <c r="C29" s="1550"/>
      <c r="D29" s="2035"/>
      <c r="E29" s="1550"/>
      <c r="F29" s="1550"/>
      <c r="G29" s="1538"/>
      <c r="H29" s="2082" t="str">
        <f t="shared" si="0"/>
        <v/>
      </c>
    </row>
    <row r="30" spans="1:8">
      <c r="A30" s="2019"/>
      <c r="B30" s="1616"/>
      <c r="C30" s="1550"/>
      <c r="D30" s="2102" t="s">
        <v>639</v>
      </c>
      <c r="E30" s="1550"/>
      <c r="F30" s="1550"/>
      <c r="G30" s="1538"/>
      <c r="H30" s="2082" t="str">
        <f t="shared" si="0"/>
        <v/>
      </c>
    </row>
    <row r="31" spans="1:8">
      <c r="A31" s="2019"/>
      <c r="B31" s="2029"/>
      <c r="C31" s="2029"/>
      <c r="D31" s="2030"/>
      <c r="E31" s="1667"/>
      <c r="F31" s="1816"/>
      <c r="G31" s="1539"/>
      <c r="H31" s="2082" t="str">
        <f t="shared" si="0"/>
        <v/>
      </c>
    </row>
    <row r="32" spans="1:8" s="355" customFormat="1" ht="15.6">
      <c r="A32" s="2019">
        <f>$A$4</f>
        <v>7</v>
      </c>
      <c r="B32" s="2110">
        <v>1.5</v>
      </c>
      <c r="C32" s="2110"/>
      <c r="D32" s="2105" t="s">
        <v>899</v>
      </c>
      <c r="E32" s="1261" t="s">
        <v>641</v>
      </c>
      <c r="F32" s="1823">
        <v>115</v>
      </c>
      <c r="G32" s="1540"/>
      <c r="H32" s="2082">
        <f t="shared" si="0"/>
        <v>0</v>
      </c>
    </row>
    <row r="33" spans="1:8" s="355" customFormat="1">
      <c r="A33" s="2065"/>
      <c r="B33" s="2029"/>
      <c r="C33" s="2110"/>
      <c r="D33" s="2111"/>
      <c r="E33" s="1821"/>
      <c r="F33" s="1823"/>
      <c r="G33" s="2112"/>
      <c r="H33" s="2082" t="str">
        <f t="shared" si="0"/>
        <v/>
      </c>
    </row>
    <row r="34" spans="1:8" s="355" customFormat="1" ht="15.6">
      <c r="A34" s="2019">
        <f>$A$4</f>
        <v>7</v>
      </c>
      <c r="B34" s="2110">
        <v>1.6</v>
      </c>
      <c r="C34" s="1261"/>
      <c r="D34" s="2105" t="s">
        <v>900</v>
      </c>
      <c r="E34" s="1261" t="s">
        <v>641</v>
      </c>
      <c r="F34" s="1261">
        <v>15</v>
      </c>
      <c r="G34" s="1542"/>
      <c r="H34" s="2082">
        <f t="shared" si="0"/>
        <v>0</v>
      </c>
    </row>
    <row r="35" spans="1:8">
      <c r="A35" s="2019"/>
      <c r="B35" s="1550"/>
      <c r="C35" s="1551"/>
      <c r="D35" s="2106"/>
      <c r="E35" s="1550"/>
      <c r="F35" s="1550"/>
      <c r="G35" s="1538"/>
      <c r="H35" s="2082" t="str">
        <f t="shared" si="0"/>
        <v/>
      </c>
    </row>
    <row r="36" spans="1:8" ht="15.6">
      <c r="A36" s="2019">
        <f>$A$4</f>
        <v>7</v>
      </c>
      <c r="B36" s="1550">
        <v>1.7</v>
      </c>
      <c r="C36" s="1551"/>
      <c r="D36" s="2106" t="s">
        <v>901</v>
      </c>
      <c r="E36" s="1550" t="s">
        <v>641</v>
      </c>
      <c r="F36" s="1550">
        <v>15</v>
      </c>
      <c r="G36" s="1538"/>
      <c r="H36" s="2082">
        <f t="shared" si="0"/>
        <v>0</v>
      </c>
    </row>
    <row r="37" spans="1:8">
      <c r="A37" s="2019"/>
      <c r="B37" s="1616"/>
      <c r="C37" s="1550"/>
      <c r="D37" s="2035"/>
      <c r="E37" s="1550"/>
      <c r="F37" s="1550"/>
      <c r="G37" s="1538"/>
      <c r="H37" s="2082" t="str">
        <f t="shared" si="0"/>
        <v/>
      </c>
    </row>
    <row r="38" spans="1:8">
      <c r="A38" s="2019"/>
      <c r="B38" s="1616"/>
      <c r="C38" s="2046" t="s">
        <v>624</v>
      </c>
      <c r="D38" s="2102" t="s">
        <v>642</v>
      </c>
      <c r="E38" s="1550"/>
      <c r="F38" s="1550"/>
      <c r="G38" s="1548"/>
      <c r="H38" s="2082" t="str">
        <f t="shared" si="0"/>
        <v/>
      </c>
    </row>
    <row r="39" spans="1:8">
      <c r="A39" s="2019"/>
      <c r="B39" s="1616"/>
      <c r="C39" s="2046"/>
      <c r="D39" s="2102"/>
      <c r="E39" s="1550"/>
      <c r="F39" s="1550"/>
      <c r="G39" s="1548"/>
      <c r="H39" s="2082" t="str">
        <f t="shared" si="0"/>
        <v/>
      </c>
    </row>
    <row r="40" spans="1:8" s="355" customFormat="1">
      <c r="A40" s="2019">
        <f>$A$4</f>
        <v>7</v>
      </c>
      <c r="B40" s="1818">
        <v>1.8</v>
      </c>
      <c r="C40" s="2113"/>
      <c r="D40" s="2114" t="s">
        <v>902</v>
      </c>
      <c r="E40" s="1821" t="s">
        <v>644</v>
      </c>
      <c r="F40" s="1823">
        <v>40</v>
      </c>
      <c r="G40" s="1534"/>
      <c r="H40" s="2082">
        <f t="shared" si="0"/>
        <v>0</v>
      </c>
    </row>
    <row r="41" spans="1:8" s="326" customFormat="1" ht="12" customHeight="1">
      <c r="A41" s="2053"/>
      <c r="B41" s="2115"/>
      <c r="C41" s="2116"/>
      <c r="D41" s="2117"/>
      <c r="E41" s="2118"/>
      <c r="F41" s="2063"/>
      <c r="G41" s="1549"/>
      <c r="H41" s="2082" t="str">
        <f t="shared" si="0"/>
        <v/>
      </c>
    </row>
    <row r="42" spans="1:8" s="355" customFormat="1">
      <c r="A42" s="2019">
        <f>$A$4</f>
        <v>7</v>
      </c>
      <c r="B42" s="2119">
        <v>1.9</v>
      </c>
      <c r="C42" s="2120"/>
      <c r="D42" s="2114" t="s">
        <v>903</v>
      </c>
      <c r="E42" s="1821" t="s">
        <v>644</v>
      </c>
      <c r="F42" s="1823">
        <v>10</v>
      </c>
      <c r="G42" s="1191"/>
      <c r="H42" s="2082">
        <f t="shared" si="0"/>
        <v>0</v>
      </c>
    </row>
    <row r="43" spans="1:8" ht="12" customHeight="1">
      <c r="A43" s="2019"/>
      <c r="B43" s="2121"/>
      <c r="C43" s="2122"/>
      <c r="D43" s="2123"/>
      <c r="E43" s="1667"/>
      <c r="F43" s="1816"/>
      <c r="G43" s="1188"/>
      <c r="H43" s="2082" t="str">
        <f t="shared" si="0"/>
        <v/>
      </c>
    </row>
    <row r="44" spans="1:8" s="355" customFormat="1" ht="12" customHeight="1">
      <c r="A44" s="2019">
        <f>$A$4</f>
        <v>7</v>
      </c>
      <c r="B44" s="2124">
        <v>1.1000000000000001</v>
      </c>
      <c r="C44" s="2120"/>
      <c r="D44" s="2114" t="s">
        <v>904</v>
      </c>
      <c r="E44" s="1821" t="s">
        <v>644</v>
      </c>
      <c r="F44" s="1823">
        <v>10</v>
      </c>
      <c r="G44" s="1191"/>
      <c r="H44" s="2082">
        <f t="shared" si="0"/>
        <v>0</v>
      </c>
    </row>
    <row r="45" spans="1:8" s="355" customFormat="1">
      <c r="A45" s="2065"/>
      <c r="B45" s="2115"/>
      <c r="C45" s="1261"/>
      <c r="D45" s="2125"/>
      <c r="E45" s="1261"/>
      <c r="F45" s="1261"/>
      <c r="G45" s="1544"/>
      <c r="H45" s="2082" t="str">
        <f t="shared" si="0"/>
        <v/>
      </c>
    </row>
    <row r="46" spans="1:8" s="355" customFormat="1">
      <c r="A46" s="2019">
        <f>$A$4</f>
        <v>7</v>
      </c>
      <c r="B46" s="2119">
        <v>1.1100000000000001</v>
      </c>
      <c r="C46" s="1261"/>
      <c r="D46" s="2114" t="s">
        <v>905</v>
      </c>
      <c r="E46" s="1821" t="s">
        <v>644</v>
      </c>
      <c r="F46" s="1823">
        <v>5</v>
      </c>
      <c r="G46" s="1542"/>
      <c r="H46" s="2082">
        <f t="shared" si="0"/>
        <v>0</v>
      </c>
    </row>
    <row r="47" spans="1:8">
      <c r="A47" s="2019"/>
      <c r="B47" s="2029"/>
      <c r="C47" s="2029"/>
      <c r="D47" s="2123"/>
      <c r="E47" s="1667"/>
      <c r="F47" s="1816"/>
      <c r="G47" s="1539"/>
      <c r="H47" s="2082" t="str">
        <f t="shared" si="0"/>
        <v/>
      </c>
    </row>
    <row r="48" spans="1:8" s="355" customFormat="1">
      <c r="A48" s="2065"/>
      <c r="B48" s="2126"/>
      <c r="C48" s="2127" t="s">
        <v>766</v>
      </c>
      <c r="D48" s="2128" t="s">
        <v>906</v>
      </c>
      <c r="E48" s="2129"/>
      <c r="F48" s="2130"/>
      <c r="G48" s="2131"/>
      <c r="H48" s="2082" t="str">
        <f t="shared" si="0"/>
        <v/>
      </c>
    </row>
    <row r="49" spans="1:8" s="355" customFormat="1">
      <c r="A49" s="2065"/>
      <c r="B49" s="2110"/>
      <c r="C49" s="2110"/>
      <c r="D49" s="2114"/>
      <c r="E49" s="1821"/>
      <c r="F49" s="1823"/>
      <c r="G49" s="2112"/>
      <c r="H49" s="2082" t="str">
        <f t="shared" si="0"/>
        <v/>
      </c>
    </row>
    <row r="50" spans="1:8" s="355" customFormat="1">
      <c r="A50" s="2065"/>
      <c r="B50" s="2110"/>
      <c r="C50" s="2110" t="s">
        <v>907</v>
      </c>
      <c r="D50" s="2128" t="s">
        <v>908</v>
      </c>
      <c r="E50" s="2132"/>
      <c r="F50" s="2133"/>
      <c r="G50" s="2134"/>
      <c r="H50" s="2082" t="str">
        <f t="shared" si="0"/>
        <v/>
      </c>
    </row>
    <row r="51" spans="1:8" s="355" customFormat="1">
      <c r="A51" s="2065"/>
      <c r="B51" s="2110"/>
      <c r="C51" s="2110"/>
      <c r="D51" s="2114"/>
      <c r="E51" s="1821"/>
      <c r="F51" s="1823"/>
      <c r="G51" s="2112"/>
      <c r="H51" s="2082" t="str">
        <f t="shared" si="0"/>
        <v/>
      </c>
    </row>
    <row r="52" spans="1:8" s="355" customFormat="1">
      <c r="A52" s="2065"/>
      <c r="B52" s="2110"/>
      <c r="C52" s="2110" t="s">
        <v>909</v>
      </c>
      <c r="D52" s="2128" t="s">
        <v>910</v>
      </c>
      <c r="E52" s="1821"/>
      <c r="F52" s="1823"/>
      <c r="G52" s="2112"/>
      <c r="H52" s="2082" t="str">
        <f t="shared" si="0"/>
        <v/>
      </c>
    </row>
    <row r="53" spans="1:8" s="355" customFormat="1">
      <c r="A53" s="2065"/>
      <c r="B53" s="2110"/>
      <c r="C53" s="2110"/>
      <c r="D53" s="2128"/>
      <c r="E53" s="1821"/>
      <c r="F53" s="1823"/>
      <c r="G53" s="2112"/>
      <c r="H53" s="2082" t="str">
        <f t="shared" si="0"/>
        <v/>
      </c>
    </row>
    <row r="54" spans="1:8" s="355" customFormat="1">
      <c r="A54" s="2065"/>
      <c r="B54" s="2110"/>
      <c r="C54" s="2110"/>
      <c r="D54" s="2128" t="s">
        <v>911</v>
      </c>
      <c r="E54" s="1821"/>
      <c r="F54" s="1823"/>
      <c r="G54" s="2112"/>
      <c r="H54" s="2082" t="str">
        <f t="shared" si="0"/>
        <v/>
      </c>
    </row>
    <row r="55" spans="1:8" s="355" customFormat="1">
      <c r="A55" s="2065"/>
      <c r="B55" s="2135"/>
      <c r="C55" s="2135"/>
      <c r="D55" s="2135"/>
      <c r="E55" s="2135"/>
      <c r="F55" s="2135"/>
      <c r="G55" s="2136"/>
      <c r="H55" s="2082" t="str">
        <f t="shared" si="0"/>
        <v/>
      </c>
    </row>
    <row r="56" spans="1:8" s="355" customFormat="1">
      <c r="A56" s="2019">
        <f>$A$4</f>
        <v>7</v>
      </c>
      <c r="B56" s="2110">
        <v>1.1200000000000001</v>
      </c>
      <c r="C56" s="2110"/>
      <c r="D56" s="2114" t="s">
        <v>912</v>
      </c>
      <c r="E56" s="1821" t="s">
        <v>273</v>
      </c>
      <c r="F56" s="1816">
        <v>1</v>
      </c>
      <c r="G56" s="2137"/>
      <c r="H56" s="2082">
        <f t="shared" si="0"/>
        <v>0</v>
      </c>
    </row>
    <row r="57" spans="1:8" s="355" customFormat="1">
      <c r="A57" s="2065"/>
      <c r="B57" s="2135"/>
      <c r="C57" s="2135"/>
      <c r="D57" s="2135"/>
      <c r="E57" s="2135"/>
      <c r="F57" s="2138"/>
      <c r="G57" s="2136"/>
      <c r="H57" s="2082" t="str">
        <f t="shared" si="0"/>
        <v/>
      </c>
    </row>
    <row r="58" spans="1:8" s="355" customFormat="1">
      <c r="A58" s="2019">
        <f>$A$4</f>
        <v>7</v>
      </c>
      <c r="B58" s="2110">
        <v>1.1299999999999999</v>
      </c>
      <c r="C58" s="2110"/>
      <c r="D58" s="2114" t="s">
        <v>913</v>
      </c>
      <c r="E58" s="1821" t="s">
        <v>273</v>
      </c>
      <c r="F58" s="1816">
        <v>1</v>
      </c>
      <c r="G58" s="2137"/>
      <c r="H58" s="2082">
        <f t="shared" si="0"/>
        <v>0</v>
      </c>
    </row>
    <row r="59" spans="1:8" s="326" customFormat="1">
      <c r="A59" s="2053"/>
      <c r="B59" s="2139"/>
      <c r="C59" s="2139"/>
      <c r="D59" s="2117"/>
      <c r="E59" s="2118"/>
      <c r="F59" s="2063"/>
      <c r="G59" s="2140"/>
      <c r="H59" s="2082" t="str">
        <f t="shared" si="0"/>
        <v/>
      </c>
    </row>
    <row r="60" spans="1:8" s="355" customFormat="1">
      <c r="A60" s="2065"/>
      <c r="B60" s="2110"/>
      <c r="C60" s="2110" t="s">
        <v>914</v>
      </c>
      <c r="D60" s="2128" t="s">
        <v>915</v>
      </c>
      <c r="E60" s="1821"/>
      <c r="F60" s="1823"/>
      <c r="G60" s="2112"/>
      <c r="H60" s="2082" t="str">
        <f t="shared" si="0"/>
        <v/>
      </c>
    </row>
    <row r="61" spans="1:8" s="355" customFormat="1">
      <c r="A61" s="2065"/>
      <c r="B61" s="2110"/>
      <c r="C61" s="2110"/>
      <c r="D61" s="2114"/>
      <c r="E61" s="1821"/>
      <c r="F61" s="1823"/>
      <c r="G61" s="2112"/>
      <c r="H61" s="2082" t="str">
        <f t="shared" si="0"/>
        <v/>
      </c>
    </row>
    <row r="62" spans="1:8" s="355" customFormat="1" ht="14.4">
      <c r="A62" s="2065"/>
      <c r="B62" s="2126">
        <v>1.1399999999999999</v>
      </c>
      <c r="C62" s="2141"/>
      <c r="D62" s="2114" t="s">
        <v>916</v>
      </c>
      <c r="E62" s="2142" t="s">
        <v>561</v>
      </c>
      <c r="F62" s="2129">
        <v>45</v>
      </c>
      <c r="G62" s="2143"/>
      <c r="H62" s="2082">
        <f t="shared" si="0"/>
        <v>0</v>
      </c>
    </row>
    <row r="63" spans="1:8" s="326" customFormat="1">
      <c r="A63" s="2053"/>
      <c r="B63" s="2144"/>
      <c r="C63" s="1882"/>
      <c r="D63" s="2145"/>
      <c r="E63" s="1882"/>
      <c r="F63" s="1882"/>
      <c r="G63" s="1546"/>
      <c r="H63" s="2082" t="str">
        <f t="shared" si="0"/>
        <v/>
      </c>
    </row>
    <row r="64" spans="1:8" s="355" customFormat="1">
      <c r="A64" s="2065"/>
      <c r="B64" s="2146"/>
      <c r="C64" s="2147"/>
      <c r="D64" s="1827" t="s">
        <v>645</v>
      </c>
      <c r="E64" s="1261"/>
      <c r="F64" s="1532"/>
      <c r="G64" s="1535"/>
      <c r="H64" s="2082" t="str">
        <f t="shared" si="0"/>
        <v/>
      </c>
    </row>
    <row r="65" spans="1:8" s="355" customFormat="1">
      <c r="A65" s="2065"/>
      <c r="B65" s="1530"/>
      <c r="C65" s="1530"/>
      <c r="D65" s="2148"/>
      <c r="E65" s="1261"/>
      <c r="F65" s="1532"/>
      <c r="G65" s="1535"/>
      <c r="H65" s="2082" t="str">
        <f t="shared" si="0"/>
        <v/>
      </c>
    </row>
    <row r="66" spans="1:8" s="355" customFormat="1">
      <c r="A66" s="2065"/>
      <c r="B66" s="1530"/>
      <c r="C66" s="1530" t="s">
        <v>226</v>
      </c>
      <c r="D66" s="2149" t="s">
        <v>646</v>
      </c>
      <c r="E66" s="1261"/>
      <c r="F66" s="1532"/>
      <c r="G66" s="1535"/>
      <c r="H66" s="2082" t="str">
        <f t="shared" si="0"/>
        <v/>
      </c>
    </row>
    <row r="67" spans="1:8" s="355" customFormat="1">
      <c r="A67" s="2065"/>
      <c r="B67" s="1530"/>
      <c r="C67" s="1530"/>
      <c r="D67" s="2148"/>
      <c r="E67" s="1261"/>
      <c r="F67" s="1532"/>
      <c r="G67" s="1535"/>
      <c r="H67" s="2082" t="str">
        <f t="shared" si="0"/>
        <v/>
      </c>
    </row>
    <row r="68" spans="1:8" s="355" customFormat="1">
      <c r="A68" s="2019">
        <f>$A$4</f>
        <v>7</v>
      </c>
      <c r="B68" s="1530">
        <v>1.1499999999999999</v>
      </c>
      <c r="C68" s="1530" t="s">
        <v>647</v>
      </c>
      <c r="D68" s="2148" t="s">
        <v>648</v>
      </c>
      <c r="E68" s="1261" t="s">
        <v>649</v>
      </c>
      <c r="F68" s="1532">
        <v>3.4</v>
      </c>
      <c r="G68" s="1191"/>
      <c r="H68" s="2082">
        <f t="shared" si="0"/>
        <v>0</v>
      </c>
    </row>
    <row r="69" spans="1:8" s="326" customFormat="1">
      <c r="A69" s="2053"/>
      <c r="B69" s="2144"/>
      <c r="C69" s="1882"/>
      <c r="D69" s="2145"/>
      <c r="E69" s="1882"/>
      <c r="F69" s="1882"/>
      <c r="G69" s="1546"/>
      <c r="H69" s="2082" t="str">
        <f t="shared" si="0"/>
        <v/>
      </c>
    </row>
    <row r="70" spans="1:8">
      <c r="A70" s="2019"/>
      <c r="B70" s="1530"/>
      <c r="C70" s="2150" t="s">
        <v>226</v>
      </c>
      <c r="D70" s="2151" t="s">
        <v>650</v>
      </c>
      <c r="E70" s="1832"/>
      <c r="F70" s="1270"/>
      <c r="G70" s="1533"/>
      <c r="H70" s="2082" t="str">
        <f t="shared" si="0"/>
        <v/>
      </c>
    </row>
    <row r="71" spans="1:8">
      <c r="A71" s="2019"/>
      <c r="B71" s="1530"/>
      <c r="C71" s="2150"/>
      <c r="D71" s="2152"/>
      <c r="E71" s="1832"/>
      <c r="F71" s="1270"/>
      <c r="G71" s="1533"/>
      <c r="H71" s="2082" t="str">
        <f t="shared" si="0"/>
        <v/>
      </c>
    </row>
    <row r="72" spans="1:8" s="355" customFormat="1">
      <c r="A72" s="2019">
        <f>$A$4</f>
        <v>7</v>
      </c>
      <c r="B72" s="1530">
        <v>1.1599999999999999</v>
      </c>
      <c r="C72" s="2150" t="s">
        <v>647</v>
      </c>
      <c r="D72" s="2153" t="s">
        <v>682</v>
      </c>
      <c r="E72" s="1261" t="s">
        <v>649</v>
      </c>
      <c r="F72" s="1270">
        <v>0.5</v>
      </c>
      <c r="G72" s="1533"/>
      <c r="H72" s="2082">
        <f t="shared" ref="H72:H78" si="1">IF(E72="","",ROUND(F72*G72,2))</f>
        <v>0</v>
      </c>
    </row>
    <row r="73" spans="1:8" s="355" customFormat="1">
      <c r="A73" s="2065"/>
      <c r="B73" s="1530"/>
      <c r="C73" s="1530"/>
      <c r="D73" s="2148"/>
      <c r="E73" s="1261"/>
      <c r="F73" s="1270"/>
      <c r="G73" s="1533"/>
      <c r="H73" s="2082" t="str">
        <f t="shared" si="1"/>
        <v/>
      </c>
    </row>
    <row r="74" spans="1:8" s="355" customFormat="1">
      <c r="A74" s="2065"/>
      <c r="B74" s="1530"/>
      <c r="C74" s="1530" t="s">
        <v>732</v>
      </c>
      <c r="D74" s="2154" t="s">
        <v>817</v>
      </c>
      <c r="E74" s="1261"/>
      <c r="F74" s="1532"/>
      <c r="G74" s="1534"/>
      <c r="H74" s="2082" t="str">
        <f t="shared" si="1"/>
        <v/>
      </c>
    </row>
    <row r="75" spans="1:8" s="355" customFormat="1">
      <c r="A75" s="2065"/>
      <c r="B75" s="1530"/>
      <c r="C75" s="1530"/>
      <c r="D75" s="2155"/>
      <c r="E75" s="1261"/>
      <c r="F75" s="1532"/>
      <c r="G75" s="1535"/>
      <c r="H75" s="2082" t="str">
        <f t="shared" si="1"/>
        <v/>
      </c>
    </row>
    <row r="76" spans="1:8" s="355" customFormat="1" ht="15.6">
      <c r="A76" s="2019">
        <f>$A$4</f>
        <v>7</v>
      </c>
      <c r="B76" s="1530">
        <v>1.17</v>
      </c>
      <c r="C76" s="1530"/>
      <c r="D76" s="2155" t="s">
        <v>917</v>
      </c>
      <c r="E76" s="1261" t="s">
        <v>641</v>
      </c>
      <c r="F76" s="1532">
        <v>70</v>
      </c>
      <c r="G76" s="1536"/>
      <c r="H76" s="2082">
        <f t="shared" si="1"/>
        <v>0</v>
      </c>
    </row>
    <row r="77" spans="1:8">
      <c r="A77" s="2019"/>
      <c r="B77" s="1530"/>
      <c r="C77" s="1530"/>
      <c r="D77" s="2155"/>
      <c r="E77" s="1261"/>
      <c r="F77" s="1532"/>
      <c r="G77" s="1535"/>
      <c r="H77" s="2082" t="str">
        <f t="shared" si="1"/>
        <v/>
      </c>
    </row>
    <row r="78" spans="1:8" ht="15.6">
      <c r="A78" s="2019">
        <f>$A$4</f>
        <v>7</v>
      </c>
      <c r="B78" s="1530">
        <v>1.18</v>
      </c>
      <c r="C78" s="1530"/>
      <c r="D78" s="1531" t="s">
        <v>918</v>
      </c>
      <c r="E78" s="1261" t="s">
        <v>641</v>
      </c>
      <c r="F78" s="1532">
        <v>200</v>
      </c>
      <c r="G78" s="1191"/>
      <c r="H78" s="2082">
        <f t="shared" si="1"/>
        <v>0</v>
      </c>
    </row>
    <row r="79" spans="1:8">
      <c r="A79" s="2019"/>
      <c r="B79" s="1530"/>
      <c r="C79" s="1530"/>
      <c r="D79" s="1531"/>
      <c r="E79" s="1261"/>
      <c r="F79" s="1532"/>
      <c r="G79" s="1191"/>
      <c r="H79" s="2082"/>
    </row>
    <row r="80" spans="1:8" s="326" customFormat="1">
      <c r="A80" s="2053"/>
      <c r="B80" s="2144"/>
      <c r="C80" s="1882"/>
      <c r="D80" s="2145"/>
      <c r="E80" s="1882"/>
      <c r="F80" s="1882"/>
      <c r="G80" s="1546"/>
      <c r="H80" s="2075"/>
    </row>
    <row r="81" spans="1:8">
      <c r="A81" s="2156"/>
      <c r="B81" s="806"/>
      <c r="C81" s="872"/>
      <c r="D81" s="872"/>
      <c r="E81" s="800"/>
      <c r="F81" s="800"/>
      <c r="G81" s="2157"/>
      <c r="H81" s="2158"/>
    </row>
    <row r="82" spans="1:8" s="326" customFormat="1">
      <c r="A82" s="813"/>
      <c r="B82" s="807"/>
      <c r="C82" s="423"/>
      <c r="D82" s="413" t="s">
        <v>289</v>
      </c>
      <c r="E82" s="425"/>
      <c r="F82" s="425"/>
      <c r="G82" s="1298"/>
      <c r="H82" s="2159">
        <f>SUM(H4:H80)</f>
        <v>0</v>
      </c>
    </row>
    <row r="83" spans="1:8">
      <c r="A83" s="2019"/>
      <c r="B83" s="2160"/>
      <c r="C83" s="2161"/>
      <c r="D83" s="2162" t="s">
        <v>290</v>
      </c>
      <c r="E83" s="1788"/>
      <c r="F83" s="1788"/>
      <c r="G83" s="2163"/>
      <c r="H83" s="2164">
        <f>H82</f>
        <v>0</v>
      </c>
    </row>
    <row r="84" spans="1:8">
      <c r="A84" s="2019"/>
      <c r="B84" s="1550"/>
      <c r="C84" s="1551"/>
      <c r="D84" s="2165"/>
      <c r="E84" s="1550"/>
      <c r="F84" s="1550"/>
      <c r="G84" s="1538"/>
      <c r="H84" s="2166"/>
    </row>
    <row r="85" spans="1:8">
      <c r="A85" s="2019"/>
      <c r="B85" s="1550"/>
      <c r="C85" s="1550" t="s">
        <v>919</v>
      </c>
      <c r="D85" s="2102" t="s">
        <v>652</v>
      </c>
      <c r="E85" s="1550"/>
      <c r="F85" s="1550"/>
      <c r="G85" s="1538"/>
      <c r="H85" s="2166"/>
    </row>
    <row r="86" spans="1:8">
      <c r="A86" s="2019"/>
      <c r="B86" s="1550"/>
      <c r="C86" s="1550"/>
      <c r="D86" s="2109"/>
      <c r="E86" s="1550"/>
      <c r="F86" s="1550"/>
      <c r="G86" s="1538"/>
      <c r="H86" s="2166"/>
    </row>
    <row r="87" spans="1:8" s="355" customFormat="1">
      <c r="A87" s="2065"/>
      <c r="B87" s="1550"/>
      <c r="C87" s="1550" t="s">
        <v>337</v>
      </c>
      <c r="D87" s="2061" t="s">
        <v>653</v>
      </c>
      <c r="E87" s="1550"/>
      <c r="F87" s="1550"/>
      <c r="G87" s="1538"/>
      <c r="H87" s="2166"/>
    </row>
    <row r="88" spans="1:8">
      <c r="A88" s="2019"/>
      <c r="B88" s="1550"/>
      <c r="C88" s="1550"/>
      <c r="D88" s="2109"/>
      <c r="E88" s="1550"/>
      <c r="F88" s="1550"/>
      <c r="G88" s="1538"/>
      <c r="H88" s="2166"/>
    </row>
    <row r="89" spans="1:8" ht="15.6">
      <c r="A89" s="2019">
        <f>$A$4</f>
        <v>7</v>
      </c>
      <c r="B89" s="1261">
        <v>1.19</v>
      </c>
      <c r="C89" s="1261"/>
      <c r="D89" s="1559" t="s">
        <v>920</v>
      </c>
      <c r="E89" s="1261" t="s">
        <v>641</v>
      </c>
      <c r="F89" s="1261">
        <v>210</v>
      </c>
      <c r="G89" s="1542"/>
      <c r="H89" s="2082">
        <f t="shared" ref="H89:H152" si="2">IF(E89="","",ROUND(F89*G89,2))</f>
        <v>0</v>
      </c>
    </row>
    <row r="90" spans="1:8">
      <c r="A90" s="2019"/>
      <c r="B90" s="1550"/>
      <c r="C90" s="1550"/>
      <c r="D90" s="2109"/>
      <c r="E90" s="1550"/>
      <c r="F90" s="1550"/>
      <c r="G90" s="1538"/>
      <c r="H90" s="2082" t="str">
        <f t="shared" si="2"/>
        <v/>
      </c>
    </row>
    <row r="91" spans="1:8" s="355" customFormat="1" ht="13.5" customHeight="1">
      <c r="A91" s="2065"/>
      <c r="B91" s="1550"/>
      <c r="C91" s="1550"/>
      <c r="D91" s="2061" t="s">
        <v>655</v>
      </c>
      <c r="E91" s="1550"/>
      <c r="F91" s="1550"/>
      <c r="G91" s="1538"/>
      <c r="H91" s="2082" t="str">
        <f t="shared" si="2"/>
        <v/>
      </c>
    </row>
    <row r="92" spans="1:8">
      <c r="A92" s="2019"/>
      <c r="B92" s="1550"/>
      <c r="C92" s="1551"/>
      <c r="D92" s="2062"/>
      <c r="E92" s="1550"/>
      <c r="F92" s="1550"/>
      <c r="G92" s="1538"/>
      <c r="H92" s="2082" t="str">
        <f t="shared" si="2"/>
        <v/>
      </c>
    </row>
    <row r="93" spans="1:8" s="355" customFormat="1" ht="15.6">
      <c r="A93" s="2019">
        <f>$A$4</f>
        <v>7</v>
      </c>
      <c r="B93" s="1836">
        <v>1.2</v>
      </c>
      <c r="C93" s="1565"/>
      <c r="D93" s="2148" t="s">
        <v>921</v>
      </c>
      <c r="E93" s="1261" t="s">
        <v>657</v>
      </c>
      <c r="F93" s="1532">
        <v>20</v>
      </c>
      <c r="G93" s="1542"/>
      <c r="H93" s="2082">
        <f t="shared" si="2"/>
        <v>0</v>
      </c>
    </row>
    <row r="94" spans="1:8">
      <c r="A94" s="2019"/>
      <c r="B94" s="1550"/>
      <c r="C94" s="1551"/>
      <c r="D94" s="2167"/>
      <c r="E94" s="1550"/>
      <c r="F94" s="1550"/>
      <c r="G94" s="1538"/>
      <c r="H94" s="2082" t="str">
        <f t="shared" si="2"/>
        <v/>
      </c>
    </row>
    <row r="95" spans="1:8" s="355" customFormat="1" ht="15.6">
      <c r="A95" s="2019">
        <f>$A$4</f>
        <v>7</v>
      </c>
      <c r="B95" s="1261">
        <v>1.21</v>
      </c>
      <c r="C95" s="1565"/>
      <c r="D95" s="2148" t="s">
        <v>922</v>
      </c>
      <c r="E95" s="1261" t="s">
        <v>657</v>
      </c>
      <c r="F95" s="1261">
        <v>30</v>
      </c>
      <c r="G95" s="1542"/>
      <c r="H95" s="2082">
        <f t="shared" si="2"/>
        <v>0</v>
      </c>
    </row>
    <row r="96" spans="1:8">
      <c r="A96" s="2019"/>
      <c r="B96" s="1550"/>
      <c r="C96" s="1551"/>
      <c r="D96" s="2062"/>
      <c r="E96" s="1550"/>
      <c r="F96" s="1550"/>
      <c r="G96" s="1538"/>
      <c r="H96" s="2082" t="str">
        <f t="shared" si="2"/>
        <v/>
      </c>
    </row>
    <row r="97" spans="1:8" s="355" customFormat="1" ht="15.6">
      <c r="A97" s="2019">
        <f>$A$4</f>
        <v>7</v>
      </c>
      <c r="B97" s="1261">
        <v>1.22</v>
      </c>
      <c r="C97" s="1565"/>
      <c r="D97" s="1559" t="s">
        <v>923</v>
      </c>
      <c r="E97" s="1261" t="s">
        <v>657</v>
      </c>
      <c r="F97" s="1261">
        <v>5</v>
      </c>
      <c r="G97" s="1542"/>
      <c r="H97" s="2082">
        <f t="shared" si="2"/>
        <v>0</v>
      </c>
    </row>
    <row r="98" spans="1:8" s="326" customFormat="1">
      <c r="A98" s="2053"/>
      <c r="B98" s="1550"/>
      <c r="C98" s="1551"/>
      <c r="D98" s="2165"/>
      <c r="E98" s="1550"/>
      <c r="F98" s="1550"/>
      <c r="G98" s="1538"/>
      <c r="H98" s="2082" t="str">
        <f t="shared" si="2"/>
        <v/>
      </c>
    </row>
    <row r="99" spans="1:8" s="355" customFormat="1" ht="11.25" customHeight="1">
      <c r="A99" s="2019">
        <f>$A$4</f>
        <v>7</v>
      </c>
      <c r="B99" s="1261">
        <v>1.23</v>
      </c>
      <c r="C99" s="1565"/>
      <c r="D99" s="1559" t="s">
        <v>924</v>
      </c>
      <c r="E99" s="1261" t="s">
        <v>657</v>
      </c>
      <c r="F99" s="1261">
        <v>20</v>
      </c>
      <c r="G99" s="1542"/>
      <c r="H99" s="2082">
        <f t="shared" si="2"/>
        <v>0</v>
      </c>
    </row>
    <row r="100" spans="1:8" s="355" customFormat="1" ht="11.25" customHeight="1">
      <c r="A100" s="2065"/>
      <c r="B100" s="1550"/>
      <c r="C100" s="2168"/>
      <c r="D100" s="2169"/>
      <c r="E100" s="1882"/>
      <c r="F100" s="1550"/>
      <c r="G100" s="1546"/>
      <c r="H100" s="2082" t="str">
        <f t="shared" si="2"/>
        <v/>
      </c>
    </row>
    <row r="101" spans="1:8" s="326" customFormat="1" ht="15.6">
      <c r="A101" s="2019">
        <f>$A$4</f>
        <v>7</v>
      </c>
      <c r="B101" s="1261">
        <v>1.24</v>
      </c>
      <c r="C101" s="1565"/>
      <c r="D101" s="1559" t="s">
        <v>925</v>
      </c>
      <c r="E101" s="1261" t="s">
        <v>657</v>
      </c>
      <c r="F101" s="1550">
        <v>10</v>
      </c>
      <c r="G101" s="1545"/>
      <c r="H101" s="2082">
        <f t="shared" si="2"/>
        <v>0</v>
      </c>
    </row>
    <row r="102" spans="1:8" s="355" customFormat="1" ht="11.25" customHeight="1">
      <c r="A102" s="2065"/>
      <c r="B102" s="1550"/>
      <c r="C102" s="1565"/>
      <c r="D102" s="1559"/>
      <c r="E102" s="1261"/>
      <c r="F102" s="1550"/>
      <c r="G102" s="1542"/>
      <c r="H102" s="2082" t="str">
        <f t="shared" si="2"/>
        <v/>
      </c>
    </row>
    <row r="103" spans="1:8" s="326" customFormat="1" ht="15.6">
      <c r="A103" s="2019">
        <f>$A$4</f>
        <v>7</v>
      </c>
      <c r="B103" s="1261">
        <v>1.25</v>
      </c>
      <c r="C103" s="2168"/>
      <c r="D103" s="1559" t="s">
        <v>926</v>
      </c>
      <c r="E103" s="1261" t="s">
        <v>657</v>
      </c>
      <c r="F103" s="1550">
        <v>15</v>
      </c>
      <c r="G103" s="1542"/>
      <c r="H103" s="2082">
        <f t="shared" si="2"/>
        <v>0</v>
      </c>
    </row>
    <row r="104" spans="1:8" s="355" customFormat="1">
      <c r="A104" s="2065"/>
      <c r="B104" s="1261"/>
      <c r="C104" s="1565"/>
      <c r="D104" s="1559"/>
      <c r="E104" s="1261"/>
      <c r="F104" s="1550"/>
      <c r="G104" s="1542"/>
      <c r="H104" s="2082" t="str">
        <f t="shared" si="2"/>
        <v/>
      </c>
    </row>
    <row r="105" spans="1:8" s="355" customFormat="1">
      <c r="A105" s="2065"/>
      <c r="B105" s="1882"/>
      <c r="C105" s="2168"/>
      <c r="D105" s="2169"/>
      <c r="E105" s="1882"/>
      <c r="F105" s="1882"/>
      <c r="G105" s="1546"/>
      <c r="H105" s="2082" t="str">
        <f t="shared" si="2"/>
        <v/>
      </c>
    </row>
    <row r="106" spans="1:8" s="355" customFormat="1">
      <c r="A106" s="2065"/>
      <c r="B106" s="1261"/>
      <c r="C106" s="1261" t="s">
        <v>659</v>
      </c>
      <c r="D106" s="2170" t="s">
        <v>660</v>
      </c>
      <c r="E106" s="1261"/>
      <c r="F106" s="1261"/>
      <c r="G106" s="1544"/>
      <c r="H106" s="2082" t="str">
        <f t="shared" si="2"/>
        <v/>
      </c>
    </row>
    <row r="107" spans="1:8" s="355" customFormat="1">
      <c r="A107" s="2065"/>
      <c r="B107" s="1261"/>
      <c r="C107" s="1565"/>
      <c r="D107" s="2066"/>
      <c r="E107" s="1261"/>
      <c r="F107" s="1261"/>
      <c r="G107" s="1544"/>
      <c r="H107" s="2082" t="str">
        <f t="shared" si="2"/>
        <v/>
      </c>
    </row>
    <row r="108" spans="1:8" s="355" customFormat="1" ht="15.6">
      <c r="A108" s="2019">
        <f>$A$4</f>
        <v>7</v>
      </c>
      <c r="B108" s="1261">
        <v>1.26</v>
      </c>
      <c r="C108" s="1565"/>
      <c r="D108" s="1559" t="s">
        <v>927</v>
      </c>
      <c r="E108" s="1261" t="s">
        <v>641</v>
      </c>
      <c r="F108" s="1261">
        <v>250</v>
      </c>
      <c r="G108" s="1536"/>
      <c r="H108" s="2082">
        <f t="shared" si="2"/>
        <v>0</v>
      </c>
    </row>
    <row r="109" spans="1:8">
      <c r="A109" s="2019"/>
      <c r="B109" s="1261"/>
      <c r="C109" s="1565"/>
      <c r="D109" s="2066"/>
      <c r="E109" s="1261"/>
      <c r="F109" s="1261"/>
      <c r="G109" s="1544"/>
      <c r="H109" s="2082" t="str">
        <f t="shared" si="2"/>
        <v/>
      </c>
    </row>
    <row r="110" spans="1:8" s="355" customFormat="1" ht="15.6">
      <c r="A110" s="2019">
        <f>$A$4</f>
        <v>7</v>
      </c>
      <c r="B110" s="1261">
        <v>1.27</v>
      </c>
      <c r="C110" s="1565"/>
      <c r="D110" s="1559" t="s">
        <v>928</v>
      </c>
      <c r="E110" s="1261" t="s">
        <v>641</v>
      </c>
      <c r="F110" s="1261">
        <v>250</v>
      </c>
      <c r="G110" s="1536"/>
      <c r="H110" s="2082">
        <f t="shared" si="2"/>
        <v>0</v>
      </c>
    </row>
    <row r="111" spans="1:8">
      <c r="A111" s="2019"/>
      <c r="B111" s="1261"/>
      <c r="C111" s="1551"/>
      <c r="D111" s="2165"/>
      <c r="E111" s="1550"/>
      <c r="F111" s="1550"/>
      <c r="G111" s="1538"/>
      <c r="H111" s="2082" t="str">
        <f t="shared" si="2"/>
        <v/>
      </c>
    </row>
    <row r="112" spans="1:8" ht="15.6">
      <c r="A112" s="2019">
        <f>$A$4</f>
        <v>7</v>
      </c>
      <c r="B112" s="1261">
        <v>1.28</v>
      </c>
      <c r="C112" s="1565"/>
      <c r="D112" s="1559" t="s">
        <v>662</v>
      </c>
      <c r="E112" s="1261" t="s">
        <v>641</v>
      </c>
      <c r="F112" s="1261">
        <v>45</v>
      </c>
      <c r="G112" s="1536"/>
      <c r="H112" s="2082">
        <f t="shared" si="2"/>
        <v>0</v>
      </c>
    </row>
    <row r="113" spans="1:8" s="320" customFormat="1">
      <c r="A113" s="2171"/>
      <c r="B113" s="1550"/>
      <c r="C113" s="1551"/>
      <c r="D113" s="1552"/>
      <c r="E113" s="1550"/>
      <c r="F113" s="1550"/>
      <c r="G113" s="1538"/>
      <c r="H113" s="2082" t="str">
        <f t="shared" si="2"/>
        <v/>
      </c>
    </row>
    <row r="114" spans="1:8" s="355" customFormat="1">
      <c r="A114" s="2065"/>
      <c r="B114" s="1550"/>
      <c r="C114" s="1551" t="s">
        <v>663</v>
      </c>
      <c r="D114" s="2056" t="s">
        <v>664</v>
      </c>
      <c r="E114" s="1550"/>
      <c r="F114" s="1550"/>
      <c r="G114" s="1538"/>
      <c r="H114" s="2082" t="str">
        <f t="shared" si="2"/>
        <v/>
      </c>
    </row>
    <row r="115" spans="1:8" s="355" customFormat="1">
      <c r="A115" s="2065"/>
      <c r="B115" s="1842"/>
      <c r="C115" s="2172"/>
      <c r="D115" s="2173"/>
      <c r="E115" s="1842"/>
      <c r="F115" s="1842"/>
      <c r="G115" s="2174"/>
      <c r="H115" s="2082" t="str">
        <f t="shared" si="2"/>
        <v/>
      </c>
    </row>
    <row r="116" spans="1:8" s="355" customFormat="1" ht="26.4">
      <c r="A116" s="2065"/>
      <c r="B116" s="1261"/>
      <c r="C116" s="2175" t="s">
        <v>665</v>
      </c>
      <c r="D116" s="2176" t="s">
        <v>666</v>
      </c>
      <c r="E116" s="1261"/>
      <c r="F116" s="1261"/>
      <c r="G116" s="1544"/>
      <c r="H116" s="2082" t="str">
        <f t="shared" si="2"/>
        <v/>
      </c>
    </row>
    <row r="117" spans="1:8" s="355" customFormat="1">
      <c r="A117" s="2065"/>
      <c r="B117" s="1261"/>
      <c r="C117" s="1565"/>
      <c r="D117" s="2066"/>
      <c r="E117" s="1261"/>
      <c r="F117" s="1261"/>
      <c r="G117" s="1544"/>
      <c r="H117" s="2082" t="str">
        <f t="shared" si="2"/>
        <v/>
      </c>
    </row>
    <row r="118" spans="1:8" s="355" customFormat="1" ht="15.6">
      <c r="A118" s="2019">
        <f>$A$4</f>
        <v>7</v>
      </c>
      <c r="B118" s="1261">
        <v>1.29</v>
      </c>
      <c r="C118" s="1565" t="s">
        <v>667</v>
      </c>
      <c r="D118" s="1559" t="s">
        <v>668</v>
      </c>
      <c r="E118" s="1261" t="s">
        <v>657</v>
      </c>
      <c r="F118" s="1261">
        <v>0.5</v>
      </c>
      <c r="G118" s="1542"/>
      <c r="H118" s="2082">
        <f t="shared" si="2"/>
        <v>0</v>
      </c>
    </row>
    <row r="119" spans="1:8" s="355" customFormat="1">
      <c r="A119" s="2065"/>
      <c r="B119" s="1261"/>
      <c r="C119" s="1565"/>
      <c r="D119" s="2066"/>
      <c r="E119" s="1261"/>
      <c r="F119" s="1261"/>
      <c r="G119" s="1544"/>
      <c r="H119" s="2082" t="str">
        <f t="shared" si="2"/>
        <v/>
      </c>
    </row>
    <row r="120" spans="1:8" s="355" customFormat="1" ht="15.6">
      <c r="A120" s="2019">
        <f>$A$4</f>
        <v>7</v>
      </c>
      <c r="B120" s="1836">
        <v>1.3</v>
      </c>
      <c r="C120" s="1565" t="s">
        <v>669</v>
      </c>
      <c r="D120" s="1559" t="s">
        <v>670</v>
      </c>
      <c r="E120" s="1261" t="s">
        <v>657</v>
      </c>
      <c r="F120" s="1261">
        <v>0.5</v>
      </c>
      <c r="G120" s="1542"/>
      <c r="H120" s="2082">
        <f t="shared" si="2"/>
        <v>0</v>
      </c>
    </row>
    <row r="121" spans="1:8" s="355" customFormat="1">
      <c r="A121" s="2065"/>
      <c r="B121" s="1261"/>
      <c r="C121" s="1565"/>
      <c r="D121" s="1559"/>
      <c r="E121" s="1261"/>
      <c r="F121" s="1261"/>
      <c r="G121" s="1544"/>
      <c r="H121" s="2082" t="str">
        <f t="shared" si="2"/>
        <v/>
      </c>
    </row>
    <row r="122" spans="1:8" s="355" customFormat="1">
      <c r="A122" s="2065"/>
      <c r="B122" s="1261"/>
      <c r="C122" s="2177" t="s">
        <v>709</v>
      </c>
      <c r="D122" s="2178" t="s">
        <v>161</v>
      </c>
      <c r="E122" s="1261"/>
      <c r="F122" s="1261"/>
      <c r="G122" s="1544"/>
      <c r="H122" s="2082" t="str">
        <f t="shared" si="2"/>
        <v/>
      </c>
    </row>
    <row r="123" spans="1:8" s="355" customFormat="1">
      <c r="A123" s="2065"/>
      <c r="B123" s="1261"/>
      <c r="C123" s="2177"/>
      <c r="D123" s="2052"/>
      <c r="E123" s="1261"/>
      <c r="F123" s="1261"/>
      <c r="G123" s="1544"/>
      <c r="H123" s="2082" t="str">
        <f t="shared" si="2"/>
        <v/>
      </c>
    </row>
    <row r="124" spans="1:8" s="355" customFormat="1">
      <c r="A124" s="2065"/>
      <c r="B124" s="1261"/>
      <c r="C124" s="2177" t="s">
        <v>746</v>
      </c>
      <c r="D124" s="2179" t="s">
        <v>929</v>
      </c>
      <c r="E124" s="1261"/>
      <c r="F124" s="1261"/>
      <c r="G124" s="1544"/>
      <c r="H124" s="2082" t="str">
        <f t="shared" si="2"/>
        <v/>
      </c>
    </row>
    <row r="125" spans="1:8" s="355" customFormat="1">
      <c r="A125" s="2065"/>
      <c r="B125" s="1261"/>
      <c r="C125" s="2177"/>
      <c r="D125" s="1569"/>
      <c r="E125" s="1261"/>
      <c r="F125" s="1261"/>
      <c r="G125" s="1544"/>
      <c r="H125" s="2082" t="str">
        <f t="shared" si="2"/>
        <v/>
      </c>
    </row>
    <row r="126" spans="1:8" s="355" customFormat="1" ht="39.6">
      <c r="A126" s="2065"/>
      <c r="B126" s="1261"/>
      <c r="C126" s="2177"/>
      <c r="D126" s="2178" t="s">
        <v>712</v>
      </c>
      <c r="E126" s="1261"/>
      <c r="F126" s="1261"/>
      <c r="G126" s="1544"/>
      <c r="H126" s="2082" t="str">
        <f t="shared" si="2"/>
        <v/>
      </c>
    </row>
    <row r="127" spans="1:8" s="326" customFormat="1">
      <c r="A127" s="2053"/>
      <c r="B127" s="1261"/>
      <c r="C127" s="1565"/>
      <c r="D127" s="1559"/>
      <c r="E127" s="1261"/>
      <c r="F127" s="1261"/>
      <c r="G127" s="1544"/>
      <c r="H127" s="2082" t="str">
        <f t="shared" si="2"/>
        <v/>
      </c>
    </row>
    <row r="128" spans="1:8" s="326" customFormat="1">
      <c r="A128" s="2019">
        <f>$A$4</f>
        <v>7</v>
      </c>
      <c r="B128" s="1261">
        <v>1.31</v>
      </c>
      <c r="C128" s="1565"/>
      <c r="D128" s="1569" t="s">
        <v>930</v>
      </c>
      <c r="E128" s="1261" t="s">
        <v>561</v>
      </c>
      <c r="F128" s="1261">
        <v>60</v>
      </c>
      <c r="G128" s="1545"/>
      <c r="H128" s="2082">
        <f t="shared" si="2"/>
        <v>0</v>
      </c>
    </row>
    <row r="129" spans="1:8" s="355" customFormat="1" ht="11.25" customHeight="1">
      <c r="A129" s="2065"/>
      <c r="B129" s="1261"/>
      <c r="C129" s="2168"/>
      <c r="D129" s="2169"/>
      <c r="E129" s="1882"/>
      <c r="F129" s="1882"/>
      <c r="G129" s="1546"/>
      <c r="H129" s="2082" t="str">
        <f t="shared" si="2"/>
        <v/>
      </c>
    </row>
    <row r="130" spans="1:8" s="355" customFormat="1">
      <c r="A130" s="2019">
        <f>$A$4</f>
        <v>7</v>
      </c>
      <c r="B130" s="1261">
        <v>1.32</v>
      </c>
      <c r="C130" s="1565"/>
      <c r="D130" s="2155" t="s">
        <v>931</v>
      </c>
      <c r="E130" s="1261" t="s">
        <v>561</v>
      </c>
      <c r="F130" s="1261">
        <v>160</v>
      </c>
      <c r="G130" s="1542"/>
      <c r="H130" s="2082">
        <f t="shared" si="2"/>
        <v>0</v>
      </c>
    </row>
    <row r="131" spans="1:8" s="355" customFormat="1">
      <c r="A131" s="2065"/>
      <c r="B131" s="1261"/>
      <c r="C131" s="1565"/>
      <c r="D131" s="1559"/>
      <c r="E131" s="1261"/>
      <c r="F131" s="1882"/>
      <c r="G131" s="1542"/>
      <c r="H131" s="2082" t="str">
        <f t="shared" si="2"/>
        <v/>
      </c>
    </row>
    <row r="132" spans="1:8" s="355" customFormat="1">
      <c r="A132" s="2065"/>
      <c r="B132" s="1261"/>
      <c r="C132" s="1565" t="s">
        <v>747</v>
      </c>
      <c r="D132" s="2179" t="s">
        <v>716</v>
      </c>
      <c r="E132" s="1261"/>
      <c r="F132" s="1261"/>
      <c r="G132" s="1544"/>
      <c r="H132" s="2082" t="str">
        <f t="shared" si="2"/>
        <v/>
      </c>
    </row>
    <row r="133" spans="1:8" s="355" customFormat="1">
      <c r="A133" s="2065"/>
      <c r="B133" s="1261"/>
      <c r="C133" s="1565"/>
      <c r="D133" s="1569"/>
      <c r="E133" s="1261"/>
      <c r="F133" s="1261"/>
      <c r="G133" s="1544"/>
      <c r="H133" s="2082" t="str">
        <f t="shared" si="2"/>
        <v/>
      </c>
    </row>
    <row r="134" spans="1:8" s="355" customFormat="1" ht="39.6">
      <c r="A134" s="2065"/>
      <c r="B134" s="1261"/>
      <c r="C134" s="1565"/>
      <c r="D134" s="2179" t="s">
        <v>717</v>
      </c>
      <c r="E134" s="1261"/>
      <c r="F134" s="1261"/>
      <c r="G134" s="1544"/>
      <c r="H134" s="2082" t="str">
        <f t="shared" si="2"/>
        <v/>
      </c>
    </row>
    <row r="135" spans="1:8" s="355" customFormat="1" ht="11.25" customHeight="1">
      <c r="A135" s="2065"/>
      <c r="B135" s="1261"/>
      <c r="C135" s="1565"/>
      <c r="D135" s="1559"/>
      <c r="E135" s="1261"/>
      <c r="F135" s="1261"/>
      <c r="G135" s="1544"/>
      <c r="H135" s="2082" t="str">
        <f t="shared" si="2"/>
        <v/>
      </c>
    </row>
    <row r="136" spans="1:8" s="355" customFormat="1">
      <c r="A136" s="2019">
        <f>$A$4</f>
        <v>7</v>
      </c>
      <c r="B136" s="1261">
        <v>1.33</v>
      </c>
      <c r="C136" s="1565"/>
      <c r="D136" s="2155" t="s">
        <v>719</v>
      </c>
      <c r="E136" s="1261" t="s">
        <v>561</v>
      </c>
      <c r="F136" s="1261">
        <v>60</v>
      </c>
      <c r="G136" s="1542"/>
      <c r="H136" s="2082">
        <f t="shared" si="2"/>
        <v>0</v>
      </c>
    </row>
    <row r="137" spans="1:8" s="355" customFormat="1" ht="11.25" customHeight="1">
      <c r="A137" s="2065"/>
      <c r="B137" s="1261"/>
      <c r="C137" s="1565"/>
      <c r="D137" s="1559"/>
      <c r="E137" s="1261"/>
      <c r="F137" s="1882"/>
      <c r="G137" s="1542"/>
      <c r="H137" s="2082" t="str">
        <f t="shared" si="2"/>
        <v/>
      </c>
    </row>
    <row r="138" spans="1:8" s="355" customFormat="1" ht="11.25" customHeight="1">
      <c r="A138" s="2019">
        <f>$A$4</f>
        <v>7</v>
      </c>
      <c r="B138" s="1261">
        <v>1.34</v>
      </c>
      <c r="C138" s="1565"/>
      <c r="D138" s="2155" t="s">
        <v>932</v>
      </c>
      <c r="E138" s="1261" t="s">
        <v>561</v>
      </c>
      <c r="F138" s="1261">
        <v>160</v>
      </c>
      <c r="G138" s="1542"/>
      <c r="H138" s="2082">
        <f t="shared" si="2"/>
        <v>0</v>
      </c>
    </row>
    <row r="139" spans="1:8" s="355" customFormat="1">
      <c r="A139" s="2065"/>
      <c r="B139" s="1882"/>
      <c r="C139" s="2168"/>
      <c r="D139" s="2169"/>
      <c r="E139" s="1882"/>
      <c r="F139" s="1882"/>
      <c r="G139" s="1546"/>
      <c r="H139" s="2082" t="str">
        <f t="shared" si="2"/>
        <v/>
      </c>
    </row>
    <row r="140" spans="1:8" s="381" customFormat="1">
      <c r="A140" s="1820"/>
      <c r="B140" s="1550"/>
      <c r="C140" s="1783"/>
      <c r="D140" s="1815" t="s">
        <v>933</v>
      </c>
      <c r="E140" s="1550"/>
      <c r="F140" s="1550"/>
      <c r="G140" s="1538"/>
      <c r="H140" s="2082" t="str">
        <f t="shared" si="2"/>
        <v/>
      </c>
    </row>
    <row r="141" spans="1:8" s="326" customFormat="1">
      <c r="A141" s="2053"/>
      <c r="B141" s="1550"/>
      <c r="C141" s="1550"/>
      <c r="D141" s="2061"/>
      <c r="E141" s="1550"/>
      <c r="F141" s="1550"/>
      <c r="G141" s="1538"/>
      <c r="H141" s="2082" t="str">
        <f t="shared" si="2"/>
        <v/>
      </c>
    </row>
    <row r="142" spans="1:8" s="355" customFormat="1" ht="26.4">
      <c r="A142" s="2065"/>
      <c r="B142" s="1866" t="s">
        <v>562</v>
      </c>
      <c r="C142" s="2180" t="s">
        <v>934</v>
      </c>
      <c r="D142" s="2181" t="s">
        <v>935</v>
      </c>
      <c r="E142" s="2182"/>
      <c r="F142" s="2183"/>
      <c r="G142" s="1547"/>
      <c r="H142" s="2082" t="str">
        <f t="shared" si="2"/>
        <v/>
      </c>
    </row>
    <row r="143" spans="1:8" s="355" customFormat="1">
      <c r="A143" s="2065"/>
      <c r="B143" s="1530"/>
      <c r="C143" s="1530"/>
      <c r="D143" s="2184"/>
      <c r="E143" s="1530"/>
      <c r="F143" s="2185"/>
      <c r="G143" s="1544"/>
      <c r="H143" s="2082" t="str">
        <f t="shared" si="2"/>
        <v/>
      </c>
    </row>
    <row r="144" spans="1:8" s="357" customFormat="1" ht="26.4">
      <c r="A144" s="1763">
        <f>$A$4</f>
        <v>7</v>
      </c>
      <c r="B144" s="1261">
        <v>1.35</v>
      </c>
      <c r="C144" s="1818" t="s">
        <v>936</v>
      </c>
      <c r="D144" s="1780" t="s">
        <v>937</v>
      </c>
      <c r="E144" s="1821" t="s">
        <v>644</v>
      </c>
      <c r="F144" s="1532">
        <v>210</v>
      </c>
      <c r="G144" s="1536"/>
      <c r="H144" s="2082">
        <f t="shared" si="2"/>
        <v>0</v>
      </c>
    </row>
    <row r="145" spans="1:8" s="326" customFormat="1">
      <c r="A145" s="2053"/>
      <c r="B145" s="1882"/>
      <c r="C145" s="1882"/>
      <c r="D145" s="2186"/>
      <c r="E145" s="1882"/>
      <c r="F145" s="1882"/>
      <c r="G145" s="1546"/>
      <c r="H145" s="2082" t="str">
        <f t="shared" si="2"/>
        <v/>
      </c>
    </row>
    <row r="146" spans="1:8" s="355" customFormat="1" ht="26.4">
      <c r="A146" s="2065"/>
      <c r="B146" s="1866" t="s">
        <v>580</v>
      </c>
      <c r="C146" s="1865" t="s">
        <v>938</v>
      </c>
      <c r="D146" s="1846" t="s">
        <v>939</v>
      </c>
      <c r="E146" s="1261"/>
      <c r="F146" s="1261"/>
      <c r="G146" s="1544"/>
      <c r="H146" s="2082" t="str">
        <f t="shared" si="2"/>
        <v/>
      </c>
    </row>
    <row r="147" spans="1:8" s="355" customFormat="1">
      <c r="A147" s="2065"/>
      <c r="B147" s="1261"/>
      <c r="C147" s="1565"/>
      <c r="D147" s="2187"/>
      <c r="E147" s="1261"/>
      <c r="F147" s="1261"/>
      <c r="G147" s="1544"/>
      <c r="H147" s="2082" t="str">
        <f t="shared" si="2"/>
        <v/>
      </c>
    </row>
    <row r="148" spans="1:8" s="357" customFormat="1" ht="15.6">
      <c r="A148" s="1763">
        <f>$A$4</f>
        <v>7</v>
      </c>
      <c r="B148" s="1261">
        <v>1.36</v>
      </c>
      <c r="C148" s="1565" t="s">
        <v>940</v>
      </c>
      <c r="D148" s="1780" t="s">
        <v>941</v>
      </c>
      <c r="E148" s="1261" t="s">
        <v>641</v>
      </c>
      <c r="F148" s="1261">
        <v>350</v>
      </c>
      <c r="G148" s="1536"/>
      <c r="H148" s="2082">
        <f t="shared" si="2"/>
        <v>0</v>
      </c>
    </row>
    <row r="149" spans="1:8" s="357" customFormat="1">
      <c r="A149" s="1763"/>
      <c r="B149" s="1261"/>
      <c r="C149" s="1565"/>
      <c r="D149" s="1780"/>
      <c r="E149" s="1261"/>
      <c r="F149" s="1261"/>
      <c r="G149" s="1536"/>
      <c r="H149" s="2082" t="str">
        <f t="shared" si="2"/>
        <v/>
      </c>
    </row>
    <row r="150" spans="1:8">
      <c r="A150" s="2019"/>
      <c r="B150" s="1563"/>
      <c r="C150" s="1563"/>
      <c r="D150" s="2179" t="s">
        <v>942</v>
      </c>
      <c r="E150" s="2188"/>
      <c r="F150" s="2188"/>
      <c r="G150" s="1544"/>
      <c r="H150" s="2082" t="str">
        <f t="shared" si="2"/>
        <v/>
      </c>
    </row>
    <row r="151" spans="1:8">
      <c r="A151" s="2019"/>
      <c r="B151" s="1563"/>
      <c r="C151" s="1563"/>
      <c r="D151" s="2179"/>
      <c r="E151" s="2188"/>
      <c r="F151" s="2188"/>
      <c r="G151" s="1544"/>
      <c r="H151" s="2082" t="str">
        <f t="shared" si="2"/>
        <v/>
      </c>
    </row>
    <row r="152" spans="1:8">
      <c r="A152" s="2019">
        <f>$A$4</f>
        <v>7</v>
      </c>
      <c r="B152" s="1563">
        <v>1.37</v>
      </c>
      <c r="C152" s="1563"/>
      <c r="D152" s="1569" t="s">
        <v>943</v>
      </c>
      <c r="E152" s="2188" t="s">
        <v>273</v>
      </c>
      <c r="F152" s="2188">
        <v>6</v>
      </c>
      <c r="G152" s="1542"/>
      <c r="H152" s="2082">
        <f t="shared" si="2"/>
        <v>0</v>
      </c>
    </row>
    <row r="153" spans="1:8">
      <c r="A153" s="2019"/>
      <c r="B153" s="1563"/>
      <c r="C153" s="1563"/>
      <c r="D153" s="1569"/>
      <c r="E153" s="2188"/>
      <c r="F153" s="2188"/>
      <c r="G153" s="1542"/>
      <c r="H153" s="2082" t="str">
        <f t="shared" ref="H153" si="3">IF(E153="","",ROUND(F153*G153,2))</f>
        <v/>
      </c>
    </row>
    <row r="154" spans="1:8" s="355" customFormat="1">
      <c r="A154" s="2065"/>
      <c r="B154" s="1882"/>
      <c r="C154" s="1882"/>
      <c r="D154" s="2186"/>
      <c r="E154" s="1882"/>
      <c r="F154" s="1882"/>
      <c r="G154" s="1546"/>
      <c r="H154" s="2189"/>
    </row>
    <row r="155" spans="1:8" s="326" customFormat="1">
      <c r="A155" s="2053"/>
      <c r="B155" s="1261"/>
      <c r="C155" s="1565"/>
      <c r="D155" s="1559"/>
      <c r="E155" s="1261"/>
      <c r="F155" s="1882"/>
      <c r="G155" s="1542"/>
      <c r="H155" s="2190"/>
    </row>
    <row r="156" spans="1:8">
      <c r="A156" s="2156"/>
      <c r="B156" s="806"/>
      <c r="C156" s="872"/>
      <c r="D156" s="872"/>
      <c r="E156" s="800"/>
      <c r="F156" s="800"/>
      <c r="G156" s="2157"/>
      <c r="H156" s="2158"/>
    </row>
    <row r="157" spans="1:8">
      <c r="A157" s="813"/>
      <c r="B157" s="807"/>
      <c r="C157" s="423"/>
      <c r="D157" s="413" t="s">
        <v>289</v>
      </c>
      <c r="E157" s="425"/>
      <c r="F157" s="425"/>
      <c r="G157" s="1298"/>
      <c r="H157" s="2159">
        <f>SUM(H83:H155)</f>
        <v>0</v>
      </c>
    </row>
    <row r="158" spans="1:8" s="396" customFormat="1">
      <c r="A158" s="2191"/>
      <c r="B158" s="2192"/>
      <c r="C158" s="2193"/>
      <c r="D158" s="2162" t="s">
        <v>290</v>
      </c>
      <c r="E158" s="2192"/>
      <c r="F158" s="2192"/>
      <c r="G158" s="2194"/>
      <c r="H158" s="2195">
        <f>H157</f>
        <v>0</v>
      </c>
    </row>
    <row r="159" spans="1:8" s="396" customFormat="1">
      <c r="A159" s="2191"/>
      <c r="B159" s="1550"/>
      <c r="C159" s="1551"/>
      <c r="D159" s="1552"/>
      <c r="E159" s="2196"/>
      <c r="F159" s="1550"/>
      <c r="G159" s="2197"/>
      <c r="H159" s="1553"/>
    </row>
    <row r="160" spans="1:8">
      <c r="A160" s="2019"/>
      <c r="B160" s="2103"/>
      <c r="C160" s="1550">
        <v>8.8000000000000007</v>
      </c>
      <c r="D160" s="2109" t="s">
        <v>944</v>
      </c>
      <c r="E160" s="2196"/>
      <c r="F160" s="1550"/>
      <c r="G160" s="2197"/>
      <c r="H160" s="2166"/>
    </row>
    <row r="161" spans="1:8">
      <c r="A161" s="2019"/>
      <c r="B161" s="2103"/>
      <c r="C161" s="1551"/>
      <c r="D161" s="2061"/>
      <c r="E161" s="2196"/>
      <c r="F161" s="1550"/>
      <c r="G161" s="2197"/>
      <c r="H161" s="2166"/>
    </row>
    <row r="162" spans="1:8" s="12" customFormat="1">
      <c r="A162" s="1763"/>
      <c r="B162" s="2103"/>
      <c r="C162" s="1551" t="s">
        <v>945</v>
      </c>
      <c r="D162" s="2198" t="s">
        <v>946</v>
      </c>
      <c r="E162" s="2196"/>
      <c r="F162" s="1550"/>
      <c r="G162" s="2197"/>
      <c r="H162" s="2166"/>
    </row>
    <row r="163" spans="1:8" s="12" customFormat="1">
      <c r="A163" s="1763"/>
      <c r="B163" s="2103"/>
      <c r="C163" s="1551"/>
      <c r="D163" s="2061"/>
      <c r="E163" s="2196"/>
      <c r="F163" s="1550"/>
      <c r="G163" s="2197"/>
      <c r="H163" s="2166"/>
    </row>
    <row r="164" spans="1:8" s="12" customFormat="1">
      <c r="A164" s="1763"/>
      <c r="B164" s="2103"/>
      <c r="C164" s="1551"/>
      <c r="D164" s="2061" t="s">
        <v>947</v>
      </c>
      <c r="E164" s="2196"/>
      <c r="F164" s="1550"/>
      <c r="G164" s="2197"/>
      <c r="H164" s="2166"/>
    </row>
    <row r="165" spans="1:8" s="12" customFormat="1">
      <c r="A165" s="1763"/>
      <c r="B165" s="2103"/>
      <c r="C165" s="1551"/>
      <c r="D165" s="2061"/>
      <c r="E165" s="2196"/>
      <c r="F165" s="1550"/>
      <c r="G165" s="2197"/>
      <c r="H165" s="2166"/>
    </row>
    <row r="166" spans="1:8" s="12" customFormat="1">
      <c r="A166" s="2019">
        <f>$A$4</f>
        <v>7</v>
      </c>
      <c r="B166" s="1550">
        <v>1.38</v>
      </c>
      <c r="C166" s="1962" t="s">
        <v>948</v>
      </c>
      <c r="D166" s="1564" t="s">
        <v>949</v>
      </c>
      <c r="E166" s="2196" t="s">
        <v>273</v>
      </c>
      <c r="F166" s="1550">
        <v>2</v>
      </c>
      <c r="G166" s="2199"/>
      <c r="H166" s="1501">
        <f t="shared" ref="H166:H227" si="4">IF(E166="","",ROUND(F166*G166,2))</f>
        <v>0</v>
      </c>
    </row>
    <row r="167" spans="1:8" s="12" customFormat="1">
      <c r="A167" s="1763"/>
      <c r="B167" s="2103"/>
      <c r="C167" s="1962"/>
      <c r="D167" s="1840"/>
      <c r="E167" s="2196"/>
      <c r="F167" s="1550"/>
      <c r="G167" s="2200"/>
      <c r="H167" s="1501" t="str">
        <f t="shared" si="4"/>
        <v/>
      </c>
    </row>
    <row r="168" spans="1:8" s="12" customFormat="1">
      <c r="A168" s="2019">
        <f>$A$4</f>
        <v>7</v>
      </c>
      <c r="B168" s="1550">
        <v>1.39</v>
      </c>
      <c r="C168" s="1962" t="s">
        <v>948</v>
      </c>
      <c r="D168" s="1564" t="s">
        <v>950</v>
      </c>
      <c r="E168" s="2196" t="s">
        <v>273</v>
      </c>
      <c r="F168" s="1550">
        <v>1</v>
      </c>
      <c r="G168" s="1516"/>
      <c r="H168" s="1501">
        <f t="shared" si="4"/>
        <v>0</v>
      </c>
    </row>
    <row r="169" spans="1:8" s="12" customFormat="1">
      <c r="A169" s="1763"/>
      <c r="B169" s="2103"/>
      <c r="C169" s="1962"/>
      <c r="D169" s="1564"/>
      <c r="E169" s="2196"/>
      <c r="F169" s="1550"/>
      <c r="G169" s="2200"/>
      <c r="H169" s="1501" t="str">
        <f t="shared" si="4"/>
        <v/>
      </c>
    </row>
    <row r="170" spans="1:8" s="12" customFormat="1">
      <c r="A170" s="2019">
        <f>$A$4</f>
        <v>7</v>
      </c>
      <c r="B170" s="1782">
        <v>1.4</v>
      </c>
      <c r="C170" s="1962" t="s">
        <v>948</v>
      </c>
      <c r="D170" s="1564" t="s">
        <v>951</v>
      </c>
      <c r="E170" s="2196" t="s">
        <v>273</v>
      </c>
      <c r="F170" s="1550">
        <v>1</v>
      </c>
      <c r="G170" s="2199"/>
      <c r="H170" s="1501">
        <f t="shared" si="4"/>
        <v>0</v>
      </c>
    </row>
    <row r="171" spans="1:8" s="320" customFormat="1">
      <c r="A171" s="2171"/>
      <c r="B171" s="2103"/>
      <c r="C171" s="1551"/>
      <c r="D171" s="1815"/>
      <c r="E171" s="2196"/>
      <c r="F171" s="1550"/>
      <c r="G171" s="2200"/>
      <c r="H171" s="1501" t="str">
        <f t="shared" si="4"/>
        <v/>
      </c>
    </row>
    <row r="172" spans="1:8" s="355" customFormat="1">
      <c r="A172" s="2019">
        <f>$A$4</f>
        <v>7</v>
      </c>
      <c r="B172" s="1550">
        <v>1.41</v>
      </c>
      <c r="C172" s="1962" t="s">
        <v>952</v>
      </c>
      <c r="D172" s="1564" t="s">
        <v>953</v>
      </c>
      <c r="E172" s="2196" t="s">
        <v>954</v>
      </c>
      <c r="F172" s="1550">
        <v>7</v>
      </c>
      <c r="G172" s="2199"/>
      <c r="H172" s="1501">
        <f t="shared" si="4"/>
        <v>0</v>
      </c>
    </row>
    <row r="173" spans="1:8" s="326" customFormat="1">
      <c r="A173" s="2053"/>
      <c r="B173" s="1551"/>
      <c r="C173" s="1551"/>
      <c r="D173" s="1815"/>
      <c r="E173" s="2196"/>
      <c r="F173" s="1550"/>
      <c r="G173" s="2200"/>
      <c r="H173" s="1501" t="str">
        <f t="shared" si="4"/>
        <v/>
      </c>
    </row>
    <row r="174" spans="1:8" s="355" customFormat="1">
      <c r="A174" s="2065"/>
      <c r="B174" s="1551"/>
      <c r="C174" s="1962">
        <v>8.9</v>
      </c>
      <c r="D174" s="1879" t="s">
        <v>955</v>
      </c>
      <c r="E174" s="2201"/>
      <c r="F174" s="2202"/>
      <c r="G174" s="2200"/>
      <c r="H174" s="1501" t="str">
        <f t="shared" si="4"/>
        <v/>
      </c>
    </row>
    <row r="175" spans="1:8" s="355" customFormat="1">
      <c r="A175" s="2065"/>
      <c r="B175" s="2172"/>
      <c r="C175" s="528"/>
      <c r="D175" s="529"/>
      <c r="E175" s="2203"/>
      <c r="F175" s="2204"/>
      <c r="G175" s="1300"/>
      <c r="H175" s="1501" t="str">
        <f t="shared" si="4"/>
        <v/>
      </c>
    </row>
    <row r="176" spans="1:8" s="355" customFormat="1" ht="39.6">
      <c r="A176" s="2065"/>
      <c r="B176" s="1565"/>
      <c r="C176" s="1563" t="s">
        <v>956</v>
      </c>
      <c r="D176" s="2154" t="s">
        <v>957</v>
      </c>
      <c r="E176" s="2205" t="s">
        <v>230</v>
      </c>
      <c r="F176" s="2206">
        <v>1</v>
      </c>
      <c r="G176" s="1301"/>
      <c r="H176" s="1501">
        <f t="shared" si="4"/>
        <v>0</v>
      </c>
    </row>
    <row r="177" spans="1:8" s="355" customFormat="1">
      <c r="A177" s="2065"/>
      <c r="B177" s="2168"/>
      <c r="C177" s="360"/>
      <c r="D177" s="378"/>
      <c r="E177" s="1021"/>
      <c r="F177" s="342"/>
      <c r="G177" s="1302"/>
      <c r="H177" s="1501" t="str">
        <f t="shared" si="4"/>
        <v/>
      </c>
    </row>
    <row r="178" spans="1:8" s="355" customFormat="1">
      <c r="A178" s="2065"/>
      <c r="B178" s="1563"/>
      <c r="C178" s="1563">
        <v>8.1199999999999992</v>
      </c>
      <c r="D178" s="2179" t="s">
        <v>958</v>
      </c>
      <c r="E178" s="2188"/>
      <c r="F178" s="2188"/>
      <c r="G178" s="1303"/>
      <c r="H178" s="1501" t="str">
        <f t="shared" si="4"/>
        <v/>
      </c>
    </row>
    <row r="179" spans="1:8" s="355" customFormat="1">
      <c r="A179" s="2065"/>
      <c r="B179" s="1563"/>
      <c r="C179" s="1563"/>
      <c r="D179" s="1569"/>
      <c r="E179" s="2188"/>
      <c r="F179" s="2188"/>
      <c r="G179" s="1303"/>
      <c r="H179" s="1501" t="str">
        <f t="shared" si="4"/>
        <v/>
      </c>
    </row>
    <row r="180" spans="1:8" s="355" customFormat="1">
      <c r="A180" s="2019">
        <f>$A$4</f>
        <v>7</v>
      </c>
      <c r="B180" s="1261">
        <v>1.42</v>
      </c>
      <c r="C180" s="1563" t="s">
        <v>959</v>
      </c>
      <c r="D180" s="1569" t="s">
        <v>960</v>
      </c>
      <c r="E180" s="2188" t="s">
        <v>644</v>
      </c>
      <c r="F180" s="2188">
        <v>300</v>
      </c>
      <c r="G180" s="1304"/>
      <c r="H180" s="1501">
        <f t="shared" si="4"/>
        <v>0</v>
      </c>
    </row>
    <row r="181" spans="1:8">
      <c r="A181" s="2019"/>
      <c r="B181" s="1563"/>
      <c r="C181" s="1563"/>
      <c r="D181" s="1569"/>
      <c r="E181" s="2188"/>
      <c r="F181" s="2188"/>
      <c r="G181" s="1304"/>
      <c r="H181" s="1501" t="str">
        <f t="shared" si="4"/>
        <v/>
      </c>
    </row>
    <row r="182" spans="1:8" s="397" customFormat="1">
      <c r="A182" s="2019">
        <f>$A$4</f>
        <v>7</v>
      </c>
      <c r="B182" s="1261">
        <v>1.43</v>
      </c>
      <c r="C182" s="1563"/>
      <c r="D182" s="1569" t="s">
        <v>961</v>
      </c>
      <c r="E182" s="2188" t="s">
        <v>561</v>
      </c>
      <c r="F182" s="2188">
        <v>35</v>
      </c>
      <c r="G182" s="1304"/>
      <c r="H182" s="1501">
        <f t="shared" si="4"/>
        <v>0</v>
      </c>
    </row>
    <row r="183" spans="1:8" s="8" customFormat="1">
      <c r="A183" s="2019"/>
      <c r="B183" s="1563"/>
      <c r="C183" s="1563"/>
      <c r="D183" s="1569"/>
      <c r="E183" s="2188"/>
      <c r="F183" s="2188"/>
      <c r="G183" s="1304"/>
      <c r="H183" s="1501" t="str">
        <f t="shared" si="4"/>
        <v/>
      </c>
    </row>
    <row r="184" spans="1:8" s="8" customFormat="1">
      <c r="A184" s="2019">
        <f>$A$4</f>
        <v>7</v>
      </c>
      <c r="B184" s="1261">
        <v>1.44</v>
      </c>
      <c r="C184" s="1563"/>
      <c r="D184" s="1569" t="s">
        <v>962</v>
      </c>
      <c r="E184" s="2188" t="s">
        <v>561</v>
      </c>
      <c r="F184" s="2188">
        <v>45</v>
      </c>
      <c r="G184" s="1304"/>
      <c r="H184" s="1501">
        <f t="shared" si="4"/>
        <v>0</v>
      </c>
    </row>
    <row r="185" spans="1:8" s="8" customFormat="1">
      <c r="A185" s="2019"/>
      <c r="B185" s="2103"/>
      <c r="C185" s="1551"/>
      <c r="D185" s="2061"/>
      <c r="E185" s="2196"/>
      <c r="F185" s="1550"/>
      <c r="G185" s="2197"/>
      <c r="H185" s="1501" t="str">
        <f t="shared" si="4"/>
        <v/>
      </c>
    </row>
    <row r="186" spans="1:8" s="8" customFormat="1" ht="26.4">
      <c r="A186" s="2019"/>
      <c r="B186" s="434" t="s">
        <v>586</v>
      </c>
      <c r="C186" s="532" t="s">
        <v>963</v>
      </c>
      <c r="D186" s="533" t="s">
        <v>964</v>
      </c>
      <c r="E186" s="2095"/>
      <c r="F186" s="2096"/>
      <c r="G186" s="1305"/>
      <c r="H186" s="1501" t="str">
        <f t="shared" si="4"/>
        <v/>
      </c>
    </row>
    <row r="187" spans="1:8">
      <c r="A187" s="2019"/>
      <c r="B187" s="2121"/>
      <c r="C187" s="439"/>
      <c r="D187" s="535"/>
      <c r="E187" s="536"/>
      <c r="F187" s="537"/>
      <c r="G187" s="1306"/>
      <c r="H187" s="1501" t="str">
        <f t="shared" si="4"/>
        <v/>
      </c>
    </row>
    <row r="188" spans="1:8" s="355" customFormat="1">
      <c r="A188" s="2065"/>
      <c r="B188" s="2121"/>
      <c r="C188" s="2121" t="s">
        <v>590</v>
      </c>
      <c r="D188" s="538" t="s">
        <v>965</v>
      </c>
      <c r="E188" s="536"/>
      <c r="F188" s="537"/>
      <c r="G188" s="1306"/>
      <c r="H188" s="1501" t="str">
        <f t="shared" si="4"/>
        <v/>
      </c>
    </row>
    <row r="189" spans="1:8" s="355" customFormat="1">
      <c r="A189" s="2065"/>
      <c r="B189" s="2121"/>
      <c r="C189" s="2121"/>
      <c r="D189" s="535"/>
      <c r="E189" s="536"/>
      <c r="F189" s="537"/>
      <c r="G189" s="1306"/>
      <c r="H189" s="1501" t="str">
        <f t="shared" si="4"/>
        <v/>
      </c>
    </row>
    <row r="190" spans="1:8" s="355" customFormat="1">
      <c r="A190" s="2019">
        <f>$A$4</f>
        <v>7</v>
      </c>
      <c r="B190" s="2121">
        <v>1.45</v>
      </c>
      <c r="C190" s="2121"/>
      <c r="D190" s="967" t="s">
        <v>966</v>
      </c>
      <c r="E190" s="539" t="s">
        <v>644</v>
      </c>
      <c r="F190" s="2046">
        <v>215</v>
      </c>
      <c r="G190" s="2107"/>
      <c r="H190" s="1501">
        <f t="shared" si="4"/>
        <v>0</v>
      </c>
    </row>
    <row r="191" spans="1:8" s="355" customFormat="1">
      <c r="A191" s="2065"/>
      <c r="B191" s="2103"/>
      <c r="C191" s="1551"/>
      <c r="D191" s="2061"/>
      <c r="E191" s="2196"/>
      <c r="F191" s="1550"/>
      <c r="G191" s="2197"/>
      <c r="H191" s="1501" t="str">
        <f t="shared" si="4"/>
        <v/>
      </c>
    </row>
    <row r="192" spans="1:8" s="355" customFormat="1">
      <c r="A192" s="2065"/>
      <c r="B192" s="1565"/>
      <c r="C192" s="1563">
        <v>8.1300000000000008</v>
      </c>
      <c r="D192" s="2179" t="s">
        <v>967</v>
      </c>
      <c r="E192" s="2188"/>
      <c r="F192" s="2188"/>
      <c r="G192" s="1303"/>
      <c r="H192" s="1501" t="str">
        <f t="shared" si="4"/>
        <v/>
      </c>
    </row>
    <row r="193" spans="1:8" s="355" customFormat="1">
      <c r="A193" s="2065"/>
      <c r="B193" s="1565"/>
      <c r="C193" s="1563"/>
      <c r="D193" s="1569"/>
      <c r="E193" s="2188"/>
      <c r="F193" s="2188"/>
      <c r="G193" s="1303"/>
      <c r="H193" s="1501" t="str">
        <f t="shared" si="4"/>
        <v/>
      </c>
    </row>
    <row r="194" spans="1:8" s="326" customFormat="1">
      <c r="A194" s="2019">
        <f>$A$4</f>
        <v>7</v>
      </c>
      <c r="B194" s="1261">
        <v>1.46</v>
      </c>
      <c r="C194" s="1563" t="s">
        <v>968</v>
      </c>
      <c r="D194" s="1569" t="s">
        <v>969</v>
      </c>
      <c r="E194" s="2188" t="s">
        <v>561</v>
      </c>
      <c r="F194" s="2188">
        <v>35</v>
      </c>
      <c r="G194" s="1304"/>
      <c r="H194" s="1501">
        <f t="shared" si="4"/>
        <v>0</v>
      </c>
    </row>
    <row r="195" spans="1:8" s="6" customFormat="1">
      <c r="A195" s="2069"/>
      <c r="B195" s="1565"/>
      <c r="C195" s="1563"/>
      <c r="D195" s="1569"/>
      <c r="E195" s="995"/>
      <c r="F195" s="2188"/>
      <c r="G195" s="1304"/>
      <c r="H195" s="1501" t="str">
        <f t="shared" si="4"/>
        <v/>
      </c>
    </row>
    <row r="196" spans="1:8">
      <c r="A196" s="2019">
        <f>$A$4</f>
        <v>7</v>
      </c>
      <c r="B196" s="1261">
        <v>1.47</v>
      </c>
      <c r="C196" s="1563" t="s">
        <v>970</v>
      </c>
      <c r="D196" s="1569" t="s">
        <v>971</v>
      </c>
      <c r="E196" s="1261" t="s">
        <v>273</v>
      </c>
      <c r="F196" s="2188">
        <v>4</v>
      </c>
      <c r="G196" s="1304"/>
      <c r="H196" s="1501">
        <f t="shared" si="4"/>
        <v>0</v>
      </c>
    </row>
    <row r="197" spans="1:8">
      <c r="A197" s="2019"/>
      <c r="B197" s="2168"/>
      <c r="C197" s="360"/>
      <c r="D197" s="378"/>
      <c r="E197" s="342"/>
      <c r="F197" s="342"/>
      <c r="G197" s="1302"/>
      <c r="H197" s="1501" t="str">
        <f t="shared" si="4"/>
        <v/>
      </c>
    </row>
    <row r="198" spans="1:8" s="12" customFormat="1" ht="13.8">
      <c r="A198" s="2019">
        <f>$A$4</f>
        <v>7</v>
      </c>
      <c r="B198" s="1753">
        <v>2</v>
      </c>
      <c r="C198" s="1753"/>
      <c r="D198" s="2094" t="s">
        <v>972</v>
      </c>
      <c r="E198" s="2095"/>
      <c r="F198" s="2096"/>
      <c r="G198" s="2097"/>
      <c r="H198" s="1501" t="str">
        <f t="shared" si="4"/>
        <v/>
      </c>
    </row>
    <row r="199" spans="1:8" s="355" customFormat="1">
      <c r="A199" s="2065"/>
      <c r="B199" s="2168"/>
      <c r="C199" s="360"/>
      <c r="D199" s="1022"/>
      <c r="E199" s="342"/>
      <c r="F199" s="342"/>
      <c r="G199" s="1307"/>
      <c r="H199" s="1501" t="str">
        <f t="shared" si="4"/>
        <v/>
      </c>
    </row>
    <row r="200" spans="1:8" s="355" customFormat="1">
      <c r="A200" s="2065"/>
      <c r="B200" s="541" t="s">
        <v>543</v>
      </c>
      <c r="C200" s="2032" t="s">
        <v>673</v>
      </c>
      <c r="D200" s="1806" t="s">
        <v>672</v>
      </c>
      <c r="E200" s="1550"/>
      <c r="F200" s="1550"/>
      <c r="G200" s="1288"/>
      <c r="H200" s="1501" t="str">
        <f t="shared" si="4"/>
        <v/>
      </c>
    </row>
    <row r="201" spans="1:8" s="355" customFormat="1">
      <c r="A201" s="2065"/>
      <c r="B201" s="544"/>
      <c r="C201" s="1550"/>
      <c r="D201" s="2106"/>
      <c r="E201" s="1550"/>
      <c r="F201" s="1550"/>
      <c r="G201" s="1288"/>
      <c r="H201" s="1501" t="str">
        <f t="shared" si="4"/>
        <v/>
      </c>
    </row>
    <row r="202" spans="1:8" s="357" customFormat="1" ht="26.4">
      <c r="A202" s="1763">
        <f>$A$4</f>
        <v>7</v>
      </c>
      <c r="B202" s="1550">
        <v>2.1</v>
      </c>
      <c r="C202" s="1550"/>
      <c r="D202" s="369" t="s">
        <v>973</v>
      </c>
      <c r="E202" s="1550" t="s">
        <v>691</v>
      </c>
      <c r="F202" s="1550">
        <v>5</v>
      </c>
      <c r="G202" s="1308"/>
      <c r="H202" s="1501">
        <f t="shared" si="4"/>
        <v>0</v>
      </c>
    </row>
    <row r="203" spans="1:8" s="357" customFormat="1">
      <c r="A203" s="1820"/>
      <c r="B203" s="1551"/>
      <c r="C203" s="809"/>
      <c r="D203" s="460"/>
      <c r="E203" s="549"/>
      <c r="F203" s="1023"/>
      <c r="G203" s="1309"/>
      <c r="H203" s="1501" t="str">
        <f t="shared" si="4"/>
        <v/>
      </c>
    </row>
    <row r="204" spans="1:8" s="357" customFormat="1" ht="26.4">
      <c r="A204" s="1763">
        <f>$A$4</f>
        <v>7</v>
      </c>
      <c r="B204" s="1261">
        <v>2.2000000000000002</v>
      </c>
      <c r="C204" s="810"/>
      <c r="D204" s="1024" t="s">
        <v>974</v>
      </c>
      <c r="E204" s="1961" t="s">
        <v>691</v>
      </c>
      <c r="F204" s="1025">
        <v>60</v>
      </c>
      <c r="G204" s="1310"/>
      <c r="H204" s="1501">
        <f t="shared" si="4"/>
        <v>0</v>
      </c>
    </row>
    <row r="205" spans="1:8">
      <c r="A205" s="2019"/>
      <c r="B205" s="548"/>
      <c r="C205" s="2135"/>
      <c r="D205" s="1024"/>
      <c r="E205" s="1961"/>
      <c r="F205" s="1025"/>
      <c r="G205" s="1310"/>
      <c r="H205" s="1501" t="str">
        <f t="shared" si="4"/>
        <v/>
      </c>
    </row>
    <row r="206" spans="1:8" s="12" customFormat="1" ht="26.4">
      <c r="A206" s="1763">
        <f>$A$4</f>
        <v>7</v>
      </c>
      <c r="B206" s="1261">
        <v>2.2999999999999998</v>
      </c>
      <c r="C206" s="810"/>
      <c r="D206" s="1024" t="s">
        <v>975</v>
      </c>
      <c r="E206" s="1961" t="s">
        <v>976</v>
      </c>
      <c r="F206" s="1025">
        <v>1</v>
      </c>
      <c r="G206" s="1310"/>
      <c r="H206" s="1501">
        <f t="shared" si="4"/>
        <v>0</v>
      </c>
    </row>
    <row r="207" spans="1:8" s="12" customFormat="1">
      <c r="A207" s="1763"/>
      <c r="B207" s="1565"/>
      <c r="C207" s="810"/>
      <c r="D207" s="1024"/>
      <c r="E207" s="1961"/>
      <c r="F207" s="1025"/>
      <c r="G207" s="1310"/>
      <c r="H207" s="1501" t="str">
        <f t="shared" si="4"/>
        <v/>
      </c>
    </row>
    <row r="208" spans="1:8" s="12" customFormat="1">
      <c r="A208" s="1763">
        <f>$A$4</f>
        <v>7</v>
      </c>
      <c r="B208" s="1261">
        <v>2.4</v>
      </c>
      <c r="C208" s="1565"/>
      <c r="D208" s="1780" t="s">
        <v>567</v>
      </c>
      <c r="E208" s="1261" t="s">
        <v>252</v>
      </c>
      <c r="F208" s="1025">
        <v>1</v>
      </c>
      <c r="G208" s="373">
        <v>285059</v>
      </c>
      <c r="H208" s="1501">
        <f t="shared" si="4"/>
        <v>285059</v>
      </c>
    </row>
    <row r="209" spans="1:8">
      <c r="A209" s="2019"/>
      <c r="B209" s="1551"/>
      <c r="C209" s="545"/>
      <c r="D209" s="10"/>
      <c r="E209" s="549"/>
      <c r="F209" s="1023"/>
      <c r="G209" s="1309"/>
      <c r="H209" s="1501" t="str">
        <f t="shared" si="4"/>
        <v/>
      </c>
    </row>
    <row r="210" spans="1:8" ht="26.4">
      <c r="A210" s="2019"/>
      <c r="B210" s="1753" t="s">
        <v>549</v>
      </c>
      <c r="C210" s="2032" t="s">
        <v>895</v>
      </c>
      <c r="D210" s="1815" t="s">
        <v>627</v>
      </c>
      <c r="E210" s="1766"/>
      <c r="F210" s="2096"/>
      <c r="G210" s="2101"/>
      <c r="H210" s="1501" t="str">
        <f t="shared" si="4"/>
        <v/>
      </c>
    </row>
    <row r="211" spans="1:8">
      <c r="A211" s="2019"/>
      <c r="B211" s="1667"/>
      <c r="C211" s="1557"/>
      <c r="D211" s="2102"/>
      <c r="E211" s="1783"/>
      <c r="F211" s="1670"/>
      <c r="G211" s="1188"/>
      <c r="H211" s="1501" t="str">
        <f t="shared" si="4"/>
        <v/>
      </c>
    </row>
    <row r="212" spans="1:8" ht="12" customHeight="1">
      <c r="A212" s="2019"/>
      <c r="B212" s="1667"/>
      <c r="C212" s="2103" t="s">
        <v>896</v>
      </c>
      <c r="D212" s="1998" t="s">
        <v>48</v>
      </c>
      <c r="E212" s="1962"/>
      <c r="F212" s="1670"/>
      <c r="G212" s="1188"/>
      <c r="H212" s="1501" t="str">
        <f t="shared" si="4"/>
        <v/>
      </c>
    </row>
    <row r="213" spans="1:8">
      <c r="A213" s="2019"/>
      <c r="B213" s="1667"/>
      <c r="C213" s="2103"/>
      <c r="D213" s="1998"/>
      <c r="E213" s="1962"/>
      <c r="F213" s="1670"/>
      <c r="G213" s="1188"/>
      <c r="H213" s="1501" t="str">
        <f t="shared" si="4"/>
        <v/>
      </c>
    </row>
    <row r="214" spans="1:8" ht="26.4">
      <c r="A214" s="2019"/>
      <c r="B214" s="1667"/>
      <c r="C214" s="1550" t="s">
        <v>775</v>
      </c>
      <c r="D214" s="1771" t="s">
        <v>776</v>
      </c>
      <c r="E214" s="1550"/>
      <c r="F214" s="1271"/>
      <c r="G214" s="1541"/>
      <c r="H214" s="1501" t="str">
        <f t="shared" si="4"/>
        <v/>
      </c>
    </row>
    <row r="215" spans="1:8">
      <c r="A215" s="2019"/>
      <c r="B215" s="1667"/>
      <c r="C215" s="1550"/>
      <c r="D215" s="1771"/>
      <c r="E215" s="1271"/>
      <c r="F215" s="1271"/>
      <c r="G215" s="2104"/>
      <c r="H215" s="1501" t="str">
        <f t="shared" si="4"/>
        <v/>
      </c>
    </row>
    <row r="216" spans="1:8">
      <c r="A216" s="2019">
        <f>$A$4</f>
        <v>7</v>
      </c>
      <c r="B216" s="1667">
        <v>2.5</v>
      </c>
      <c r="C216" s="1550"/>
      <c r="D216" s="1771" t="s">
        <v>777</v>
      </c>
      <c r="E216" s="1550" t="s">
        <v>508</v>
      </c>
      <c r="F216" s="1961">
        <v>5</v>
      </c>
      <c r="G216" s="2104"/>
      <c r="H216" s="1501">
        <f t="shared" si="4"/>
        <v>0</v>
      </c>
    </row>
    <row r="217" spans="1:8">
      <c r="A217" s="2019"/>
      <c r="B217" s="544"/>
      <c r="C217" s="1550"/>
      <c r="D217" s="2106"/>
      <c r="E217" s="1550"/>
      <c r="F217" s="552"/>
      <c r="G217" s="1288"/>
      <c r="H217" s="1501" t="str">
        <f t="shared" si="4"/>
        <v/>
      </c>
    </row>
    <row r="218" spans="1:8" s="355" customFormat="1" ht="26.4">
      <c r="A218" s="2065"/>
      <c r="B218" s="1765" t="s">
        <v>549</v>
      </c>
      <c r="C218" s="1766" t="s">
        <v>581</v>
      </c>
      <c r="D218" s="1806" t="s">
        <v>636</v>
      </c>
      <c r="E218" s="1550"/>
      <c r="F218" s="1550"/>
      <c r="G218" s="1534"/>
      <c r="H218" s="1501" t="str">
        <f t="shared" si="4"/>
        <v/>
      </c>
    </row>
    <row r="219" spans="1:8">
      <c r="A219" s="2019"/>
      <c r="B219" s="1551"/>
      <c r="C219" s="1550"/>
      <c r="D219" s="2109"/>
      <c r="E219" s="1550"/>
      <c r="F219" s="1550"/>
      <c r="G219" s="1538"/>
      <c r="H219" s="1501" t="str">
        <f t="shared" si="4"/>
        <v/>
      </c>
    </row>
    <row r="220" spans="1:8" s="355" customFormat="1">
      <c r="A220" s="2065"/>
      <c r="B220" s="1551"/>
      <c r="C220" s="1550">
        <v>8.1999999999999993</v>
      </c>
      <c r="D220" s="2109" t="s">
        <v>637</v>
      </c>
      <c r="E220" s="1550"/>
      <c r="F220" s="1550"/>
      <c r="G220" s="1538"/>
      <c r="H220" s="1501" t="str">
        <f t="shared" si="4"/>
        <v/>
      </c>
    </row>
    <row r="221" spans="1:8" s="355" customFormat="1">
      <c r="A221" s="2065"/>
      <c r="B221" s="1551"/>
      <c r="C221" s="1550"/>
      <c r="D221" s="2044"/>
      <c r="E221" s="17"/>
      <c r="F221" s="17"/>
      <c r="G221" s="1538"/>
      <c r="H221" s="1501" t="str">
        <f t="shared" si="4"/>
        <v/>
      </c>
    </row>
    <row r="222" spans="1:8" s="355" customFormat="1">
      <c r="A222" s="2065"/>
      <c r="B222" s="1551"/>
      <c r="C222" s="1550" t="s">
        <v>590</v>
      </c>
      <c r="D222" s="2044" t="s">
        <v>638</v>
      </c>
      <c r="E222" s="17"/>
      <c r="F222" s="17"/>
      <c r="G222" s="1538"/>
      <c r="H222" s="1501" t="str">
        <f t="shared" si="4"/>
        <v/>
      </c>
    </row>
    <row r="223" spans="1:8" s="355" customFormat="1">
      <c r="A223" s="2065"/>
      <c r="B223" s="1551"/>
      <c r="C223" s="1550"/>
      <c r="D223" s="1020"/>
      <c r="E223" s="17"/>
      <c r="F223" s="17"/>
      <c r="G223" s="1538"/>
      <c r="H223" s="1501" t="str">
        <f t="shared" si="4"/>
        <v/>
      </c>
    </row>
    <row r="224" spans="1:8" s="355" customFormat="1">
      <c r="A224" s="2065"/>
      <c r="B224" s="1616"/>
      <c r="C224" s="1550"/>
      <c r="D224" s="385" t="s">
        <v>639</v>
      </c>
      <c r="E224" s="17"/>
      <c r="F224" s="17"/>
      <c r="G224" s="1538"/>
      <c r="H224" s="1501" t="str">
        <f t="shared" si="4"/>
        <v/>
      </c>
    </row>
    <row r="225" spans="1:8">
      <c r="A225" s="2019"/>
      <c r="B225" s="2029"/>
      <c r="C225" s="2029"/>
      <c r="D225" s="386"/>
      <c r="E225" s="47"/>
      <c r="F225" s="389"/>
      <c r="G225" s="1284"/>
      <c r="H225" s="1501" t="str">
        <f t="shared" si="4"/>
        <v/>
      </c>
    </row>
    <row r="226" spans="1:8" s="355" customFormat="1" ht="15.6">
      <c r="A226" s="2019">
        <f>$A$4</f>
        <v>7</v>
      </c>
      <c r="B226" s="384">
        <v>2.6</v>
      </c>
      <c r="C226" s="384"/>
      <c r="D226" s="2105" t="s">
        <v>680</v>
      </c>
      <c r="E226" s="387" t="s">
        <v>641</v>
      </c>
      <c r="F226" s="388">
        <v>50</v>
      </c>
      <c r="G226" s="1285"/>
      <c r="H226" s="1501">
        <f t="shared" si="4"/>
        <v>0</v>
      </c>
    </row>
    <row r="227" spans="1:8" s="355" customFormat="1">
      <c r="A227" s="2065"/>
      <c r="B227" s="1763"/>
      <c r="C227" s="1763"/>
      <c r="D227" s="2138"/>
      <c r="E227" s="1763"/>
      <c r="F227" s="1763"/>
      <c r="G227" s="1281"/>
      <c r="H227" s="1501" t="str">
        <f t="shared" si="4"/>
        <v/>
      </c>
    </row>
    <row r="228" spans="1:8" s="355" customFormat="1">
      <c r="A228" s="2065"/>
      <c r="B228" s="407"/>
      <c r="C228" s="1261">
        <v>8.3000000000000007</v>
      </c>
      <c r="D228" s="555" t="s">
        <v>645</v>
      </c>
      <c r="E228" s="1261"/>
      <c r="F228" s="1261"/>
      <c r="G228" s="1542"/>
      <c r="H228" s="2082" t="str">
        <f t="shared" ref="H228" si="5">IF(E228="","",ROUND(F228*G228,2))</f>
        <v/>
      </c>
    </row>
    <row r="229" spans="1:8" s="355" customFormat="1">
      <c r="A229" s="2065"/>
      <c r="B229" s="1551"/>
      <c r="C229" s="1550"/>
      <c r="D229" s="1020"/>
      <c r="E229" s="17"/>
      <c r="F229" s="17"/>
      <c r="G229" s="1538"/>
      <c r="H229" s="943"/>
    </row>
    <row r="230" spans="1:8">
      <c r="A230" s="2019"/>
      <c r="B230" s="1530"/>
      <c r="C230" s="1530" t="s">
        <v>226</v>
      </c>
      <c r="D230" s="2149" t="s">
        <v>646</v>
      </c>
      <c r="E230" s="1261"/>
      <c r="F230" s="1532"/>
      <c r="G230" s="1535"/>
      <c r="H230" s="964"/>
    </row>
    <row r="231" spans="1:8" s="355" customFormat="1">
      <c r="A231" s="2065"/>
      <c r="B231" s="1565"/>
      <c r="C231" s="1563"/>
      <c r="D231" s="1569"/>
      <c r="E231" s="995"/>
      <c r="F231" s="2188"/>
      <c r="G231" s="1543"/>
      <c r="H231" s="1537"/>
    </row>
    <row r="232" spans="1:8" s="355" customFormat="1">
      <c r="A232" s="2156"/>
      <c r="B232" s="806"/>
      <c r="C232" s="872"/>
      <c r="D232" s="872"/>
      <c r="E232" s="800"/>
      <c r="F232" s="800"/>
      <c r="G232" s="2157"/>
      <c r="H232" s="2158"/>
    </row>
    <row r="233" spans="1:8" s="395" customFormat="1">
      <c r="A233" s="813"/>
      <c r="B233" s="807"/>
      <c r="C233" s="423"/>
      <c r="D233" s="413" t="s">
        <v>289</v>
      </c>
      <c r="E233" s="425"/>
      <c r="F233" s="425"/>
      <c r="G233" s="1298"/>
      <c r="H233" s="2159">
        <f>SUM(H158:H231)</f>
        <v>285059</v>
      </c>
    </row>
    <row r="234" spans="1:8">
      <c r="A234" s="2019"/>
      <c r="B234" s="2192"/>
      <c r="C234" s="2192"/>
      <c r="D234" s="2162" t="s">
        <v>290</v>
      </c>
      <c r="E234" s="2196"/>
      <c r="F234" s="1550"/>
      <c r="G234" s="1538"/>
      <c r="H234" s="345">
        <f>H233</f>
        <v>285059</v>
      </c>
    </row>
    <row r="235" spans="1:8" s="355" customFormat="1">
      <c r="A235" s="2065"/>
      <c r="B235" s="1530"/>
      <c r="C235" s="1530"/>
      <c r="D235" s="2148"/>
      <c r="E235" s="1261"/>
      <c r="F235" s="1532"/>
      <c r="G235" s="1535"/>
      <c r="H235" s="394"/>
    </row>
    <row r="236" spans="1:8">
      <c r="A236" s="2019">
        <f>$A$4</f>
        <v>7</v>
      </c>
      <c r="B236" s="1530">
        <v>2.7</v>
      </c>
      <c r="C236" s="1530" t="s">
        <v>647</v>
      </c>
      <c r="D236" s="2148" t="s">
        <v>648</v>
      </c>
      <c r="E236" s="1261" t="s">
        <v>649</v>
      </c>
      <c r="F236" s="1270">
        <v>0.24</v>
      </c>
      <c r="G236" s="1191"/>
      <c r="H236" s="1501">
        <f t="shared" ref="H236:H298" si="6">IF(E236="","",ROUND(F236*G236,2))</f>
        <v>0</v>
      </c>
    </row>
    <row r="237" spans="1:8" s="355" customFormat="1" ht="13.5" customHeight="1">
      <c r="A237" s="2065"/>
      <c r="B237" s="1530"/>
      <c r="C237" s="1530"/>
      <c r="D237" s="2148"/>
      <c r="E237" s="1261"/>
      <c r="F237" s="1532"/>
      <c r="G237" s="1191"/>
      <c r="H237" s="1501" t="str">
        <f t="shared" si="6"/>
        <v/>
      </c>
    </row>
    <row r="238" spans="1:8" s="355" customFormat="1" ht="11.25" customHeight="1">
      <c r="A238" s="2065"/>
      <c r="B238" s="1530"/>
      <c r="C238" s="2150" t="s">
        <v>226</v>
      </c>
      <c r="D238" s="2151" t="s">
        <v>650</v>
      </c>
      <c r="E238" s="1832"/>
      <c r="F238" s="1270"/>
      <c r="G238" s="1533"/>
      <c r="H238" s="1501" t="str">
        <f t="shared" si="6"/>
        <v/>
      </c>
    </row>
    <row r="239" spans="1:8" s="355" customFormat="1" ht="13.5" customHeight="1">
      <c r="A239" s="2065"/>
      <c r="B239" s="1530"/>
      <c r="C239" s="2150"/>
      <c r="D239" s="2152"/>
      <c r="E239" s="1832"/>
      <c r="F239" s="1270"/>
      <c r="G239" s="1533"/>
      <c r="H239" s="1501" t="str">
        <f t="shared" si="6"/>
        <v/>
      </c>
    </row>
    <row r="240" spans="1:8" s="355" customFormat="1" ht="11.25" customHeight="1">
      <c r="A240" s="2019">
        <f>$A$4</f>
        <v>7</v>
      </c>
      <c r="B240" s="1530">
        <v>2.8</v>
      </c>
      <c r="C240" s="2150" t="s">
        <v>647</v>
      </c>
      <c r="D240" s="2153" t="s">
        <v>682</v>
      </c>
      <c r="E240" s="1261" t="s">
        <v>649</v>
      </c>
      <c r="F240" s="1270">
        <v>0.5</v>
      </c>
      <c r="G240" s="1533"/>
      <c r="H240" s="1501">
        <f t="shared" si="6"/>
        <v>0</v>
      </c>
    </row>
    <row r="241" spans="1:8">
      <c r="A241" s="2019"/>
      <c r="B241" s="1530"/>
      <c r="C241" s="1530"/>
      <c r="D241" s="2148"/>
      <c r="E241" s="1261"/>
      <c r="F241" s="1270"/>
      <c r="G241" s="1533"/>
      <c r="H241" s="1501" t="str">
        <f t="shared" si="6"/>
        <v/>
      </c>
    </row>
    <row r="242" spans="1:8" s="355" customFormat="1">
      <c r="A242" s="2065"/>
      <c r="B242" s="1550"/>
      <c r="C242" s="1550">
        <v>8.4</v>
      </c>
      <c r="D242" s="2102" t="s">
        <v>652</v>
      </c>
      <c r="E242" s="1550"/>
      <c r="F242" s="1550"/>
      <c r="G242" s="1538"/>
      <c r="H242" s="1501" t="str">
        <f t="shared" si="6"/>
        <v/>
      </c>
    </row>
    <row r="243" spans="1:8" s="355" customFormat="1">
      <c r="A243" s="2065"/>
      <c r="B243" s="1550"/>
      <c r="C243" s="1550"/>
      <c r="D243" s="2109"/>
      <c r="E243" s="1550"/>
      <c r="F243" s="1550"/>
      <c r="G243" s="1538"/>
      <c r="H243" s="1501" t="str">
        <f t="shared" si="6"/>
        <v/>
      </c>
    </row>
    <row r="244" spans="1:8" s="355" customFormat="1">
      <c r="A244" s="2065"/>
      <c r="B244" s="1550"/>
      <c r="C244" s="1550" t="s">
        <v>375</v>
      </c>
      <c r="D244" s="2061" t="s">
        <v>655</v>
      </c>
      <c r="E244" s="1550"/>
      <c r="F244" s="1550"/>
      <c r="G244" s="1538"/>
      <c r="H244" s="1501" t="str">
        <f t="shared" si="6"/>
        <v/>
      </c>
    </row>
    <row r="245" spans="1:8" s="355" customFormat="1">
      <c r="A245" s="2065"/>
      <c r="B245" s="1261"/>
      <c r="C245" s="1565"/>
      <c r="D245" s="2148"/>
      <c r="E245" s="1261"/>
      <c r="F245" s="1532"/>
      <c r="G245" s="1542"/>
      <c r="H245" s="1501" t="str">
        <f t="shared" si="6"/>
        <v/>
      </c>
    </row>
    <row r="246" spans="1:8" ht="15.6">
      <c r="A246" s="2019">
        <f>$A$4</f>
        <v>7</v>
      </c>
      <c r="B246" s="1261">
        <v>2.9</v>
      </c>
      <c r="C246" s="1565"/>
      <c r="D246" s="1559" t="s">
        <v>925</v>
      </c>
      <c r="E246" s="1261" t="s">
        <v>657</v>
      </c>
      <c r="F246" s="1261">
        <v>6</v>
      </c>
      <c r="G246" s="1542"/>
      <c r="H246" s="1501">
        <f t="shared" si="6"/>
        <v>0</v>
      </c>
    </row>
    <row r="247" spans="1:8" s="320" customFormat="1">
      <c r="A247" s="2171"/>
      <c r="B247" s="1261"/>
      <c r="C247" s="1565"/>
      <c r="D247" s="2148"/>
      <c r="E247" s="1261"/>
      <c r="F247" s="1532"/>
      <c r="G247" s="1542"/>
      <c r="H247" s="1501" t="str">
        <f t="shared" si="6"/>
        <v/>
      </c>
    </row>
    <row r="248" spans="1:8" s="355" customFormat="1" ht="15.6">
      <c r="A248" s="2019">
        <f>$A$4</f>
        <v>7</v>
      </c>
      <c r="B248" s="1836">
        <v>2.1</v>
      </c>
      <c r="C248" s="1565"/>
      <c r="D248" s="1559" t="s">
        <v>977</v>
      </c>
      <c r="E248" s="1261" t="s">
        <v>657</v>
      </c>
      <c r="F248" s="1261">
        <v>5</v>
      </c>
      <c r="G248" s="1542"/>
      <c r="H248" s="1501">
        <f t="shared" si="6"/>
        <v>0</v>
      </c>
    </row>
    <row r="249" spans="1:8" s="355" customFormat="1">
      <c r="A249" s="2065"/>
      <c r="B249" s="2029"/>
      <c r="C249" s="1667"/>
      <c r="D249" s="2030"/>
      <c r="E249" s="1669"/>
      <c r="F249" s="1670"/>
      <c r="G249" s="1188"/>
      <c r="H249" s="1501" t="str">
        <f t="shared" si="6"/>
        <v/>
      </c>
    </row>
    <row r="250" spans="1:8" s="355" customFormat="1">
      <c r="A250" s="2065"/>
      <c r="B250" s="1261"/>
      <c r="C250" s="1261" t="s">
        <v>659</v>
      </c>
      <c r="D250" s="2170" t="s">
        <v>660</v>
      </c>
      <c r="E250" s="1261"/>
      <c r="F250" s="1261"/>
      <c r="G250" s="1544"/>
      <c r="H250" s="1501" t="str">
        <f t="shared" si="6"/>
        <v/>
      </c>
    </row>
    <row r="251" spans="1:8" s="355" customFormat="1">
      <c r="A251" s="2065"/>
      <c r="B251" s="1530"/>
      <c r="C251" s="1530"/>
      <c r="D251" s="2148"/>
      <c r="E251" s="1261"/>
      <c r="F251" s="1532"/>
      <c r="G251" s="1191"/>
      <c r="H251" s="1501" t="str">
        <f t="shared" si="6"/>
        <v/>
      </c>
    </row>
    <row r="252" spans="1:8" s="355" customFormat="1" ht="15.6">
      <c r="A252" s="2019">
        <f>$A$4</f>
        <v>7</v>
      </c>
      <c r="B252" s="1261">
        <v>2.11</v>
      </c>
      <c r="C252" s="1565"/>
      <c r="D252" s="1559" t="s">
        <v>662</v>
      </c>
      <c r="E252" s="1261" t="s">
        <v>641</v>
      </c>
      <c r="F252" s="1261">
        <v>1</v>
      </c>
      <c r="G252" s="1536"/>
      <c r="H252" s="1501">
        <f t="shared" si="6"/>
        <v>0</v>
      </c>
    </row>
    <row r="253" spans="1:8" s="355" customFormat="1">
      <c r="A253" s="2065"/>
      <c r="B253" s="1261"/>
      <c r="C253" s="1565"/>
      <c r="D253" s="1559"/>
      <c r="E253" s="1261"/>
      <c r="F253" s="1261"/>
      <c r="G253" s="1536"/>
      <c r="H253" s="1501" t="str">
        <f t="shared" si="6"/>
        <v/>
      </c>
    </row>
    <row r="254" spans="1:8" s="355" customFormat="1">
      <c r="A254" s="2065"/>
      <c r="B254" s="1550"/>
      <c r="C254" s="1565" t="s">
        <v>663</v>
      </c>
      <c r="D254" s="2056" t="s">
        <v>664</v>
      </c>
      <c r="E254" s="1550"/>
      <c r="F254" s="1550"/>
      <c r="G254" s="1538"/>
      <c r="H254" s="1501" t="str">
        <f t="shared" si="6"/>
        <v/>
      </c>
    </row>
    <row r="255" spans="1:8" s="355" customFormat="1">
      <c r="A255" s="2065"/>
      <c r="B255" s="1842"/>
      <c r="C255" s="1565"/>
      <c r="D255" s="2173"/>
      <c r="E255" s="1842"/>
      <c r="F255" s="1842"/>
      <c r="G255" s="2174"/>
      <c r="H255" s="1501" t="str">
        <f t="shared" si="6"/>
        <v/>
      </c>
    </row>
    <row r="256" spans="1:8" ht="26.4">
      <c r="A256" s="2019"/>
      <c r="B256" s="1261"/>
      <c r="C256" s="2175" t="s">
        <v>665</v>
      </c>
      <c r="D256" s="2176" t="s">
        <v>666</v>
      </c>
      <c r="E256" s="1261"/>
      <c r="F256" s="1261"/>
      <c r="G256" s="1544"/>
      <c r="H256" s="1501" t="str">
        <f t="shared" si="6"/>
        <v/>
      </c>
    </row>
    <row r="257" spans="1:8">
      <c r="A257" s="2019"/>
      <c r="B257" s="1261"/>
      <c r="C257" s="1565"/>
      <c r="D257" s="2066"/>
      <c r="E257" s="1261"/>
      <c r="F257" s="1261"/>
      <c r="G257" s="1544"/>
      <c r="H257" s="1501" t="str">
        <f t="shared" si="6"/>
        <v/>
      </c>
    </row>
    <row r="258" spans="1:8" s="12" customFormat="1" ht="15.6">
      <c r="A258" s="2019">
        <f>$A$4</f>
        <v>7</v>
      </c>
      <c r="B258" s="1261">
        <v>2.12</v>
      </c>
      <c r="C258" s="1565" t="s">
        <v>667</v>
      </c>
      <c r="D258" s="1559" t="s">
        <v>668</v>
      </c>
      <c r="E258" s="1261" t="s">
        <v>657</v>
      </c>
      <c r="F258" s="1836">
        <v>0.03</v>
      </c>
      <c r="G258" s="1542"/>
      <c r="H258" s="1501">
        <f t="shared" si="6"/>
        <v>0</v>
      </c>
    </row>
    <row r="259" spans="1:8" s="320" customFormat="1">
      <c r="A259" s="2171"/>
      <c r="B259" s="1261"/>
      <c r="C259" s="1565"/>
      <c r="D259" s="2066"/>
      <c r="E259" s="1261"/>
      <c r="F259" s="1261"/>
      <c r="G259" s="1544"/>
      <c r="H259" s="1501" t="str">
        <f t="shared" si="6"/>
        <v/>
      </c>
    </row>
    <row r="260" spans="1:8" s="355" customFormat="1" ht="15.6">
      <c r="A260" s="2019">
        <f>$A$4</f>
        <v>7</v>
      </c>
      <c r="B260" s="1261">
        <v>2.13</v>
      </c>
      <c r="C260" s="1565" t="s">
        <v>669</v>
      </c>
      <c r="D260" s="1559" t="s">
        <v>670</v>
      </c>
      <c r="E260" s="1261" t="s">
        <v>657</v>
      </c>
      <c r="F260" s="1261">
        <v>0.03</v>
      </c>
      <c r="G260" s="1542"/>
      <c r="H260" s="1501">
        <f t="shared" si="6"/>
        <v>0</v>
      </c>
    </row>
    <row r="261" spans="1:8" s="355" customFormat="1">
      <c r="A261" s="2065"/>
      <c r="B261" s="1261"/>
      <c r="C261" s="1565"/>
      <c r="D261" s="1559"/>
      <c r="E261" s="1261"/>
      <c r="F261" s="1261"/>
      <c r="G261" s="1542"/>
      <c r="H261" s="1501" t="str">
        <f t="shared" si="6"/>
        <v/>
      </c>
    </row>
    <row r="262" spans="1:8" s="355" customFormat="1">
      <c r="A262" s="2065"/>
      <c r="B262" s="1550"/>
      <c r="C262" s="1783"/>
      <c r="D262" s="1815" t="s">
        <v>933</v>
      </c>
      <c r="E262" s="1550"/>
      <c r="F262" s="1550"/>
      <c r="G262" s="1538"/>
      <c r="H262" s="1501" t="str">
        <f t="shared" si="6"/>
        <v/>
      </c>
    </row>
    <row r="263" spans="1:8" s="355" customFormat="1">
      <c r="A263" s="2065"/>
      <c r="B263" s="1550"/>
      <c r="C263" s="1550"/>
      <c r="D263" s="2061"/>
      <c r="E263" s="1550"/>
      <c r="F263" s="1550"/>
      <c r="G263" s="1538"/>
      <c r="H263" s="1501" t="str">
        <f t="shared" si="6"/>
        <v/>
      </c>
    </row>
    <row r="264" spans="1:8" s="355" customFormat="1">
      <c r="A264" s="2065"/>
      <c r="B264" s="1551"/>
      <c r="C264" s="1962">
        <v>8.9</v>
      </c>
      <c r="D264" s="1879" t="s">
        <v>978</v>
      </c>
      <c r="E264" s="2201"/>
      <c r="F264" s="2202"/>
      <c r="G264" s="2200"/>
      <c r="H264" s="1501" t="str">
        <f t="shared" si="6"/>
        <v/>
      </c>
    </row>
    <row r="265" spans="1:8">
      <c r="A265" s="2019"/>
      <c r="B265" s="2172"/>
      <c r="C265" s="528"/>
      <c r="D265" s="529"/>
      <c r="E265" s="2203"/>
      <c r="F265" s="2204"/>
      <c r="G265" s="1300"/>
      <c r="H265" s="1501" t="str">
        <f t="shared" si="6"/>
        <v/>
      </c>
    </row>
    <row r="266" spans="1:8" s="12" customFormat="1">
      <c r="A266" s="1763">
        <f>$A$4</f>
        <v>7</v>
      </c>
      <c r="B266" s="1261">
        <v>2.14</v>
      </c>
      <c r="C266" s="2188" t="s">
        <v>956</v>
      </c>
      <c r="D266" s="561" t="s">
        <v>979</v>
      </c>
      <c r="E266" s="2207" t="s">
        <v>548</v>
      </c>
      <c r="F266" s="2206">
        <v>1</v>
      </c>
      <c r="G266" s="359">
        <v>100000</v>
      </c>
      <c r="H266" s="1501">
        <f t="shared" si="6"/>
        <v>100000</v>
      </c>
    </row>
    <row r="267" spans="1:8" s="357" customFormat="1">
      <c r="A267" s="1820"/>
      <c r="B267" s="1261"/>
      <c r="C267" s="1261"/>
      <c r="D267" s="1846"/>
      <c r="E267" s="1261"/>
      <c r="F267" s="1261"/>
      <c r="G267" s="1312"/>
      <c r="H267" s="1501" t="str">
        <f t="shared" si="6"/>
        <v/>
      </c>
    </row>
    <row r="268" spans="1:8" s="357" customFormat="1">
      <c r="A268" s="1820"/>
      <c r="B268" s="1565"/>
      <c r="C268" s="2188"/>
      <c r="D268" s="811" t="s">
        <v>980</v>
      </c>
      <c r="E268" s="666"/>
      <c r="F268" s="667"/>
      <c r="G268" s="1301"/>
      <c r="H268" s="1501" t="str">
        <f t="shared" si="6"/>
        <v/>
      </c>
    </row>
    <row r="269" spans="1:8" s="357" customFormat="1">
      <c r="A269" s="1820"/>
      <c r="B269" s="1565"/>
      <c r="C269" s="2188"/>
      <c r="D269" s="811"/>
      <c r="E269" s="666"/>
      <c r="F269" s="667"/>
      <c r="G269" s="1301"/>
      <c r="H269" s="1501" t="str">
        <f t="shared" si="6"/>
        <v/>
      </c>
    </row>
    <row r="270" spans="1:8" s="12" customFormat="1" ht="26.4">
      <c r="A270" s="1763">
        <f>$A$4</f>
        <v>7</v>
      </c>
      <c r="B270" s="1261">
        <v>2.15</v>
      </c>
      <c r="C270" s="2188"/>
      <c r="D270" s="561" t="s">
        <v>981</v>
      </c>
      <c r="E270" s="1261" t="s">
        <v>230</v>
      </c>
      <c r="F270" s="994">
        <v>1</v>
      </c>
      <c r="G270" s="1301"/>
      <c r="H270" s="1501">
        <f t="shared" si="6"/>
        <v>0</v>
      </c>
    </row>
    <row r="271" spans="1:8">
      <c r="A271" s="2019"/>
      <c r="B271" s="1763"/>
      <c r="C271" s="1763"/>
      <c r="D271" s="2138"/>
      <c r="E271" s="1763"/>
      <c r="F271" s="1763"/>
      <c r="G271" s="1311"/>
      <c r="H271" s="1501" t="str">
        <f t="shared" si="6"/>
        <v/>
      </c>
    </row>
    <row r="272" spans="1:8" s="355" customFormat="1">
      <c r="A272" s="2065"/>
      <c r="B272" s="1261"/>
      <c r="C272" s="1261"/>
      <c r="D272" s="2176" t="s">
        <v>982</v>
      </c>
      <c r="E272" s="1261"/>
      <c r="F272" s="1261"/>
      <c r="G272" s="1544"/>
      <c r="H272" s="1501" t="str">
        <f t="shared" si="6"/>
        <v/>
      </c>
    </row>
    <row r="273" spans="1:8" s="355" customFormat="1">
      <c r="A273" s="2065"/>
      <c r="B273" s="1261"/>
      <c r="C273" s="1261"/>
      <c r="D273" s="2176"/>
      <c r="E273" s="1261"/>
      <c r="F273" s="1261"/>
      <c r="G273" s="1544"/>
      <c r="H273" s="1501" t="str">
        <f t="shared" si="6"/>
        <v/>
      </c>
    </row>
    <row r="274" spans="1:8" s="357" customFormat="1" ht="39.6">
      <c r="A274" s="1763">
        <f>$A$4</f>
        <v>7</v>
      </c>
      <c r="B274" s="1261">
        <v>2.16</v>
      </c>
      <c r="C274" s="1261"/>
      <c r="D274" s="1780" t="s">
        <v>983</v>
      </c>
      <c r="E274" s="1261" t="s">
        <v>561</v>
      </c>
      <c r="F274" s="1261">
        <v>10</v>
      </c>
      <c r="G274" s="1313"/>
      <c r="H274" s="1501">
        <f t="shared" si="6"/>
        <v>0</v>
      </c>
    </row>
    <row r="275" spans="1:8" s="381" customFormat="1">
      <c r="A275" s="1820"/>
      <c r="B275" s="1763"/>
      <c r="C275" s="1763"/>
      <c r="D275" s="2138"/>
      <c r="E275" s="1763"/>
      <c r="F275" s="1763"/>
      <c r="G275" s="1314"/>
      <c r="H275" s="1501" t="str">
        <f t="shared" si="6"/>
        <v/>
      </c>
    </row>
    <row r="276" spans="1:8" s="381" customFormat="1">
      <c r="A276" s="1820"/>
      <c r="B276" s="2103"/>
      <c r="C276" s="2103">
        <v>8.1199999999999992</v>
      </c>
      <c r="D276" s="1998" t="s">
        <v>984</v>
      </c>
      <c r="E276" s="2103"/>
      <c r="F276" s="2103"/>
      <c r="G276" s="2107"/>
      <c r="H276" s="1501" t="str">
        <f t="shared" si="6"/>
        <v/>
      </c>
    </row>
    <row r="277" spans="1:8" s="381" customFormat="1">
      <c r="A277" s="1820"/>
      <c r="B277" s="2103"/>
      <c r="C277" s="2103"/>
      <c r="D277" s="380"/>
      <c r="E277" s="2103"/>
      <c r="F277" s="2103"/>
      <c r="G277" s="2107"/>
      <c r="H277" s="1501" t="str">
        <f t="shared" si="6"/>
        <v/>
      </c>
    </row>
    <row r="278" spans="1:8" s="381" customFormat="1">
      <c r="A278" s="1763">
        <f>$A$4</f>
        <v>7</v>
      </c>
      <c r="B278" s="1550">
        <v>2.17</v>
      </c>
      <c r="C278" s="1962"/>
      <c r="D278" s="561" t="s">
        <v>985</v>
      </c>
      <c r="E278" s="2207" t="s">
        <v>548</v>
      </c>
      <c r="F278" s="2206">
        <v>1</v>
      </c>
      <c r="G278" s="359">
        <v>500000</v>
      </c>
      <c r="H278" s="1501">
        <f t="shared" si="6"/>
        <v>500000</v>
      </c>
    </row>
    <row r="279" spans="1:8">
      <c r="A279" s="2019"/>
      <c r="B279" s="1565"/>
      <c r="C279" s="1565"/>
      <c r="D279" s="1559"/>
      <c r="E279" s="2208"/>
      <c r="F279" s="1261"/>
      <c r="G279" s="1315"/>
      <c r="H279" s="1501" t="str">
        <f t="shared" si="6"/>
        <v/>
      </c>
    </row>
    <row r="280" spans="1:8">
      <c r="A280" s="2019"/>
      <c r="B280" s="2001"/>
      <c r="C280" s="2001" t="s">
        <v>855</v>
      </c>
      <c r="D280" s="2002" t="s">
        <v>11</v>
      </c>
      <c r="E280" s="2003" t="s">
        <v>11</v>
      </c>
      <c r="F280" s="1261"/>
      <c r="G280" s="1316"/>
      <c r="H280" s="1501">
        <f t="shared" si="6"/>
        <v>0</v>
      </c>
    </row>
    <row r="281" spans="1:8">
      <c r="A281" s="2019"/>
      <c r="B281" s="2001"/>
      <c r="C281" s="2001" t="s">
        <v>856</v>
      </c>
      <c r="D281" s="2005" t="s">
        <v>857</v>
      </c>
      <c r="E281" s="2003"/>
      <c r="F281" s="1866"/>
      <c r="G281" s="1316"/>
      <c r="H281" s="1501" t="str">
        <f t="shared" si="6"/>
        <v/>
      </c>
    </row>
    <row r="282" spans="1:8">
      <c r="A282" s="2019"/>
      <c r="B282" s="2001"/>
      <c r="C282" s="2001" t="s">
        <v>858</v>
      </c>
      <c r="D282" s="2002"/>
      <c r="E282" s="2003"/>
      <c r="F282" s="2188"/>
      <c r="G282" s="1317"/>
      <c r="H282" s="1501" t="str">
        <f t="shared" si="6"/>
        <v/>
      </c>
    </row>
    <row r="283" spans="1:8">
      <c r="A283" s="2019"/>
      <c r="B283" s="2001"/>
      <c r="C283" s="2001"/>
      <c r="D283" s="2006"/>
      <c r="E283" s="2003"/>
      <c r="F283" s="2188"/>
      <c r="G283" s="1317"/>
      <c r="H283" s="1501" t="str">
        <f t="shared" si="6"/>
        <v/>
      </c>
    </row>
    <row r="284" spans="1:8">
      <c r="A284" s="2019">
        <f>$A$4</f>
        <v>7</v>
      </c>
      <c r="B284" s="2001">
        <v>2.1800000000000002</v>
      </c>
      <c r="C284" s="2001" t="s">
        <v>859</v>
      </c>
      <c r="D284" s="2002" t="s">
        <v>986</v>
      </c>
      <c r="E284" s="2003" t="s">
        <v>561</v>
      </c>
      <c r="F284" s="2188">
        <v>12</v>
      </c>
      <c r="G284" s="1317"/>
      <c r="H284" s="1501">
        <f t="shared" si="6"/>
        <v>0</v>
      </c>
    </row>
    <row r="285" spans="1:8">
      <c r="A285" s="2019"/>
      <c r="B285" s="1565"/>
      <c r="C285" s="1565"/>
      <c r="D285" s="1818"/>
      <c r="E285" s="2208"/>
      <c r="F285" s="1261"/>
      <c r="G285" s="1317"/>
      <c r="H285" s="1501" t="str">
        <f t="shared" si="6"/>
        <v/>
      </c>
    </row>
    <row r="286" spans="1:8">
      <c r="A286" s="2019"/>
      <c r="B286" s="2103"/>
      <c r="C286" s="1551" t="s">
        <v>987</v>
      </c>
      <c r="D286" s="2109" t="s">
        <v>944</v>
      </c>
      <c r="E286" s="2196"/>
      <c r="F286" s="1550"/>
      <c r="G286" s="2197"/>
      <c r="H286" s="1501" t="str">
        <f t="shared" si="6"/>
        <v/>
      </c>
    </row>
    <row r="287" spans="1:8">
      <c r="A287" s="2019"/>
      <c r="B287" s="2103"/>
      <c r="C287" s="1551"/>
      <c r="D287" s="2061"/>
      <c r="E287" s="2196"/>
      <c r="F287" s="1550"/>
      <c r="G287" s="2197"/>
      <c r="H287" s="1501" t="str">
        <f t="shared" si="6"/>
        <v/>
      </c>
    </row>
    <row r="288" spans="1:8">
      <c r="A288" s="2019"/>
      <c r="B288" s="2103"/>
      <c r="C288" s="1551" t="s">
        <v>945</v>
      </c>
      <c r="D288" s="2198" t="s">
        <v>946</v>
      </c>
      <c r="E288" s="2196"/>
      <c r="F288" s="1550"/>
      <c r="G288" s="2197"/>
      <c r="H288" s="1501" t="str">
        <f t="shared" si="6"/>
        <v/>
      </c>
    </row>
    <row r="289" spans="1:8">
      <c r="A289" s="2019"/>
      <c r="B289" s="2103"/>
      <c r="C289" s="1551"/>
      <c r="D289" s="2061"/>
      <c r="E289" s="2196"/>
      <c r="F289" s="1550"/>
      <c r="G289" s="2197"/>
      <c r="H289" s="1501" t="str">
        <f t="shared" si="6"/>
        <v/>
      </c>
    </row>
    <row r="290" spans="1:8" s="12" customFormat="1" ht="26.4">
      <c r="A290" s="1763">
        <f>$A$4</f>
        <v>7</v>
      </c>
      <c r="B290" s="1962">
        <v>2.19</v>
      </c>
      <c r="C290" s="1551"/>
      <c r="D290" s="1840" t="s">
        <v>988</v>
      </c>
      <c r="E290" s="2196" t="s">
        <v>230</v>
      </c>
      <c r="F290" s="1550">
        <v>1</v>
      </c>
      <c r="G290" s="2199"/>
      <c r="H290" s="1501">
        <f t="shared" si="6"/>
        <v>0</v>
      </c>
    </row>
    <row r="291" spans="1:8" s="12" customFormat="1">
      <c r="A291" s="1763"/>
      <c r="B291" s="1962"/>
      <c r="C291" s="1551"/>
      <c r="D291" s="1815"/>
      <c r="E291" s="2196"/>
      <c r="F291" s="1550"/>
      <c r="G291" s="2200"/>
      <c r="H291" s="1501" t="str">
        <f t="shared" si="6"/>
        <v/>
      </c>
    </row>
    <row r="292" spans="1:8" s="12" customFormat="1" ht="26.4">
      <c r="A292" s="1763">
        <f>$A$4</f>
        <v>7</v>
      </c>
      <c r="B292" s="814">
        <v>2.2000000000000002</v>
      </c>
      <c r="C292" s="1551"/>
      <c r="D292" s="1840" t="s">
        <v>989</v>
      </c>
      <c r="E292" s="2196" t="s">
        <v>230</v>
      </c>
      <c r="F292" s="1550">
        <v>1</v>
      </c>
      <c r="G292" s="2199"/>
      <c r="H292" s="1501">
        <f t="shared" si="6"/>
        <v>0</v>
      </c>
    </row>
    <row r="293" spans="1:8" s="12" customFormat="1">
      <c r="A293" s="1763"/>
      <c r="B293" s="1962"/>
      <c r="C293" s="1551"/>
      <c r="D293" s="1815"/>
      <c r="E293" s="2196"/>
      <c r="F293" s="1550"/>
      <c r="G293" s="2200"/>
      <c r="H293" s="1501" t="str">
        <f t="shared" si="6"/>
        <v/>
      </c>
    </row>
    <row r="294" spans="1:8" s="12" customFormat="1" ht="26.4">
      <c r="A294" s="1763">
        <f>$A$4</f>
        <v>7</v>
      </c>
      <c r="B294" s="1962">
        <v>2.21</v>
      </c>
      <c r="C294" s="1551"/>
      <c r="D294" s="1840" t="s">
        <v>990</v>
      </c>
      <c r="E294" s="2196" t="s">
        <v>230</v>
      </c>
      <c r="F294" s="1550">
        <v>1</v>
      </c>
      <c r="G294" s="2199"/>
      <c r="H294" s="1501">
        <f t="shared" si="6"/>
        <v>0</v>
      </c>
    </row>
    <row r="295" spans="1:8" s="12" customFormat="1">
      <c r="A295" s="1763"/>
      <c r="B295" s="1962"/>
      <c r="C295" s="1551"/>
      <c r="D295" s="1815"/>
      <c r="E295" s="2196"/>
      <c r="F295" s="1550"/>
      <c r="G295" s="2200"/>
      <c r="H295" s="1501" t="str">
        <f t="shared" si="6"/>
        <v/>
      </c>
    </row>
    <row r="296" spans="1:8" s="12" customFormat="1">
      <c r="A296" s="1763"/>
      <c r="B296" s="1962"/>
      <c r="C296" s="1551"/>
      <c r="D296" s="1815" t="s">
        <v>991</v>
      </c>
      <c r="E296" s="2196"/>
      <c r="F296" s="1550"/>
      <c r="G296" s="2200"/>
      <c r="H296" s="1501" t="str">
        <f t="shared" si="6"/>
        <v/>
      </c>
    </row>
    <row r="297" spans="1:8" s="12" customFormat="1">
      <c r="A297" s="1763"/>
      <c r="B297" s="1551"/>
      <c r="C297" s="1551"/>
      <c r="D297" s="1840"/>
      <c r="E297" s="2196"/>
      <c r="F297" s="1550"/>
      <c r="G297" s="2200"/>
      <c r="H297" s="1501" t="str">
        <f t="shared" si="6"/>
        <v/>
      </c>
    </row>
    <row r="298" spans="1:8" s="12" customFormat="1" ht="26.4">
      <c r="A298" s="1763">
        <f>$A$4</f>
        <v>7</v>
      </c>
      <c r="B298" s="1550">
        <v>2.2200000000000002</v>
      </c>
      <c r="C298" s="1962" t="s">
        <v>948</v>
      </c>
      <c r="D298" s="1564" t="s">
        <v>992</v>
      </c>
      <c r="E298" s="2196" t="s">
        <v>273</v>
      </c>
      <c r="F298" s="1550">
        <v>1</v>
      </c>
      <c r="G298" s="1318"/>
      <c r="H298" s="1501">
        <f t="shared" si="6"/>
        <v>0</v>
      </c>
    </row>
    <row r="299" spans="1:8" s="12" customFormat="1">
      <c r="A299" s="1763"/>
      <c r="B299" s="1551"/>
      <c r="C299" s="1962"/>
      <c r="D299" s="1564"/>
      <c r="E299" s="2196"/>
      <c r="F299" s="1550"/>
      <c r="G299" s="2199"/>
      <c r="H299" s="507"/>
    </row>
    <row r="300" spans="1:8" s="12" customFormat="1">
      <c r="A300" s="1763"/>
      <c r="B300" s="1551"/>
      <c r="C300" s="1962"/>
      <c r="D300" s="1564"/>
      <c r="E300" s="2196"/>
      <c r="F300" s="1550"/>
      <c r="G300" s="2199"/>
      <c r="H300" s="507"/>
    </row>
    <row r="301" spans="1:8" s="12" customFormat="1">
      <c r="A301" s="1763"/>
      <c r="B301" s="1551"/>
      <c r="C301" s="1962"/>
      <c r="D301" s="1564"/>
      <c r="E301" s="2196"/>
      <c r="F301" s="1550"/>
      <c r="G301" s="2199"/>
      <c r="H301" s="507"/>
    </row>
    <row r="302" spans="1:8" ht="13.5" customHeight="1">
      <c r="A302" s="2019"/>
      <c r="B302" s="1551"/>
      <c r="C302" s="1962"/>
      <c r="D302" s="1564"/>
      <c r="E302" s="2196"/>
      <c r="F302" s="1550"/>
      <c r="G302" s="2199"/>
      <c r="H302" s="507"/>
    </row>
    <row r="303" spans="1:8">
      <c r="A303" s="2019"/>
      <c r="B303" s="1551"/>
      <c r="C303" s="1962"/>
      <c r="D303" s="1564"/>
      <c r="E303" s="2196"/>
      <c r="F303" s="1550"/>
      <c r="G303" s="2199"/>
      <c r="H303" s="507"/>
    </row>
    <row r="304" spans="1:8">
      <c r="A304" s="2019"/>
      <c r="B304" s="1551"/>
      <c r="C304" s="1962"/>
      <c r="D304" s="1564"/>
      <c r="E304" s="2196"/>
      <c r="F304" s="1550"/>
      <c r="G304" s="2199"/>
      <c r="H304" s="507"/>
    </row>
    <row r="305" spans="1:8">
      <c r="A305" s="2019"/>
      <c r="B305" s="1551"/>
      <c r="C305" s="1962"/>
      <c r="D305" s="1564"/>
      <c r="E305" s="2196"/>
      <c r="F305" s="1550"/>
      <c r="G305" s="2199"/>
      <c r="H305" s="507"/>
    </row>
    <row r="306" spans="1:8">
      <c r="A306" s="2209"/>
      <c r="B306" s="805"/>
      <c r="C306" s="1026"/>
      <c r="D306" s="1027"/>
      <c r="E306" s="805"/>
      <c r="F306" s="1028"/>
      <c r="G306" s="1319"/>
      <c r="H306" s="2210"/>
    </row>
    <row r="307" spans="1:8">
      <c r="A307" s="798"/>
      <c r="B307" s="316"/>
      <c r="C307" s="490"/>
      <c r="D307" s="491" t="s">
        <v>993</v>
      </c>
      <c r="E307" s="316"/>
      <c r="F307" s="317"/>
      <c r="G307" s="1320"/>
      <c r="H307" s="1278">
        <f>SUM(H234:H305)</f>
        <v>885059</v>
      </c>
    </row>
    <row r="311" spans="1:8">
      <c r="G311" s="689"/>
    </row>
    <row r="313" spans="1:8">
      <c r="H313" s="509"/>
    </row>
  </sheetData>
  <sheetProtection algorithmName="SHA-512" hashValue="G7PqCqFkRuWkYKYaVV+xIvb6a8iJMhRltr1uY0/CVPApRc4C3lR/wpMPwF4nr7Qn4O1NaRPZ3s+vhQ0EHtvp5w==" saltValue="5/kaDWmvh10aE4iazHzBVA==" spinCount="100000" sheet="1" objects="1" scenarios="1"/>
  <mergeCells count="1">
    <mergeCell ref="A1:H1"/>
  </mergeCells>
  <phoneticPr fontId="33" type="noConversion"/>
  <pageMargins left="0.59055118110236227" right="0.59055118110236227" top="1.1023622047244095" bottom="0.78740157480314965" header="0.27559055118110237" footer="0.27559055118110237"/>
  <pageSetup paperSize="9" scale="64" firstPageNumber="73" fitToHeight="0" orientation="portrait" useFirstPageNumber="1" copies="2" r:id="rId1"/>
  <headerFooter alignWithMargins="0">
    <oddHeader>&amp;L&amp;G&amp;CContract JW 14425
Bushkoppie Wastewater Treatment Works:
Infrastructure Renewal Plan
Volume 1 
C 2.2 Bill of Quantities&amp;R&amp;G</oddHeader>
    <oddFooter>&amp;C&amp;12
&amp;G
C.&amp;P</oddFooter>
  </headerFooter>
  <rowBreaks count="3" manualBreakCount="3">
    <brk id="82" max="16383" man="1"/>
    <brk id="157" max="7" man="1"/>
    <brk id="233" max="7"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0C856-7EC8-489F-834E-E423F6503107}">
  <sheetPr codeName="Sheet7">
    <pageSetUpPr fitToPage="1"/>
  </sheetPr>
  <dimension ref="A1:L163"/>
  <sheetViews>
    <sheetView view="pageBreakPreview" zoomScaleNormal="100" zoomScaleSheetLayoutView="100" workbookViewId="0">
      <selection activeCell="E18" sqref="E18"/>
    </sheetView>
  </sheetViews>
  <sheetFormatPr defaultColWidth="6.109375" defaultRowHeight="13.2"/>
  <cols>
    <col min="1" max="1" width="9.109375" style="9" customWidth="1"/>
    <col min="2" max="2" width="8.88671875" style="9" customWidth="1"/>
    <col min="3" max="3" width="9.88671875" style="2" customWidth="1"/>
    <col min="4" max="4" width="58.88671875" style="2" customWidth="1"/>
    <col min="5" max="5" width="8.88671875" style="12" customWidth="1"/>
    <col min="6" max="6" width="10.88671875" style="25" customWidth="1"/>
    <col min="7" max="7" width="14.88671875" style="354" customWidth="1"/>
    <col min="8" max="8" width="20.88671875" style="2" customWidth="1"/>
    <col min="9" max="16384" width="6.109375" style="2"/>
  </cols>
  <sheetData>
    <row r="1" spans="1:8" s="5" customFormat="1" ht="15">
      <c r="A1" s="3007" t="s">
        <v>994</v>
      </c>
      <c r="B1" s="3008"/>
      <c r="C1" s="3008"/>
      <c r="D1" s="3008"/>
      <c r="E1" s="3008"/>
      <c r="F1" s="3008"/>
      <c r="G1" s="3008"/>
      <c r="H1" s="3009"/>
    </row>
    <row r="2" spans="1:8" s="335" customFormat="1" ht="25.5" customHeight="1">
      <c r="A2" s="453" t="s">
        <v>541</v>
      </c>
      <c r="B2" s="452" t="s">
        <v>217</v>
      </c>
      <c r="C2" s="453" t="s">
        <v>218</v>
      </c>
      <c r="D2" s="417" t="s">
        <v>219</v>
      </c>
      <c r="E2" s="414" t="s">
        <v>220</v>
      </c>
      <c r="F2" s="415" t="s">
        <v>221</v>
      </c>
      <c r="G2" s="2211" t="s">
        <v>222</v>
      </c>
      <c r="H2" s="2018" t="s">
        <v>223</v>
      </c>
    </row>
    <row r="3" spans="1:8">
      <c r="A3" s="1763"/>
      <c r="B3" s="2020"/>
      <c r="C3" s="2021"/>
      <c r="D3" s="2022"/>
      <c r="E3" s="2023"/>
      <c r="F3" s="2024"/>
      <c r="G3" s="2212"/>
      <c r="H3" s="2026"/>
    </row>
    <row r="4" spans="1:8" s="6" customFormat="1" ht="13.8">
      <c r="A4" s="1886">
        <v>8</v>
      </c>
      <c r="B4" s="2213">
        <v>1</v>
      </c>
      <c r="C4" s="1753"/>
      <c r="D4" s="2094" t="s">
        <v>995</v>
      </c>
      <c r="E4" s="2095"/>
      <c r="F4" s="2096"/>
      <c r="G4" s="2097"/>
      <c r="H4" s="2098"/>
    </row>
    <row r="5" spans="1:8" s="6" customFormat="1" ht="13.8">
      <c r="A5" s="1886"/>
      <c r="B5" s="1753"/>
      <c r="C5" s="1753"/>
      <c r="D5" s="2094"/>
      <c r="E5" s="2095"/>
      <c r="F5" s="2096"/>
      <c r="G5" s="2097"/>
      <c r="H5" s="2098"/>
    </row>
    <row r="6" spans="1:8" s="12" customFormat="1" ht="26.4">
      <c r="A6" s="1763"/>
      <c r="B6" s="1766" t="s">
        <v>543</v>
      </c>
      <c r="C6" s="1766" t="s">
        <v>626</v>
      </c>
      <c r="D6" s="1773" t="s">
        <v>627</v>
      </c>
      <c r="E6" s="1783"/>
      <c r="F6" s="2034"/>
      <c r="G6" s="1813"/>
      <c r="H6" s="2214"/>
    </row>
    <row r="7" spans="1:8">
      <c r="A7" s="1763"/>
      <c r="B7" s="1783"/>
      <c r="C7" s="1557"/>
      <c r="D7" s="2102"/>
      <c r="E7" s="1783"/>
      <c r="F7" s="2034"/>
      <c r="G7" s="1189"/>
      <c r="H7" s="2031"/>
    </row>
    <row r="8" spans="1:8">
      <c r="A8" s="1763"/>
      <c r="B8" s="2215"/>
      <c r="C8" s="1557" t="s">
        <v>302</v>
      </c>
      <c r="D8" s="2102" t="s">
        <v>628</v>
      </c>
      <c r="E8" s="1783"/>
      <c r="F8" s="2034"/>
      <c r="G8" s="1189"/>
      <c r="H8" s="2031"/>
    </row>
    <row r="9" spans="1:8">
      <c r="A9" s="1763"/>
      <c r="B9" s="2215"/>
      <c r="C9" s="1557"/>
      <c r="D9" s="2102"/>
      <c r="E9" s="1783"/>
      <c r="F9" s="2034"/>
      <c r="G9" s="1189"/>
      <c r="H9" s="2138"/>
    </row>
    <row r="10" spans="1:8" s="12" customFormat="1" ht="26.4">
      <c r="A10" s="1763"/>
      <c r="B10" s="1962"/>
      <c r="C10" s="1962"/>
      <c r="D10" s="1773" t="s">
        <v>996</v>
      </c>
      <c r="E10" s="1962"/>
      <c r="F10" s="2034"/>
      <c r="G10" s="1813"/>
      <c r="H10" s="1962"/>
    </row>
    <row r="11" spans="1:8">
      <c r="A11" s="1763"/>
      <c r="B11" s="1962"/>
      <c r="C11" s="2103"/>
      <c r="D11" s="2000"/>
      <c r="E11" s="1962"/>
      <c r="G11" s="1189"/>
      <c r="H11" s="1962"/>
    </row>
    <row r="12" spans="1:8">
      <c r="A12" s="1763">
        <f>$A$4</f>
        <v>8</v>
      </c>
      <c r="B12" s="2216">
        <v>1.1000000000000001</v>
      </c>
      <c r="C12" s="2103"/>
      <c r="D12" s="2000" t="s">
        <v>997</v>
      </c>
      <c r="E12" s="1962" t="s">
        <v>508</v>
      </c>
      <c r="F12" s="2034">
        <v>5</v>
      </c>
      <c r="G12" s="1189"/>
      <c r="H12" s="1501">
        <f t="shared" ref="H12:H75" si="0">IF(E12="","",ROUND(F12*G12,2))</f>
        <v>0</v>
      </c>
    </row>
    <row r="13" spans="1:8">
      <c r="A13" s="1763"/>
      <c r="B13" s="1962"/>
      <c r="C13" s="2103"/>
      <c r="D13" s="2000"/>
      <c r="E13" s="1962"/>
      <c r="F13" s="2034"/>
      <c r="G13" s="1189"/>
      <c r="H13" s="1501" t="str">
        <f t="shared" si="0"/>
        <v/>
      </c>
    </row>
    <row r="14" spans="1:8">
      <c r="A14" s="1763"/>
      <c r="B14" s="1962"/>
      <c r="C14" s="2217" t="s">
        <v>305</v>
      </c>
      <c r="D14" s="2218" t="s">
        <v>998</v>
      </c>
      <c r="E14" s="338"/>
      <c r="F14" s="643"/>
      <c r="G14" s="1280"/>
      <c r="H14" s="1501" t="str">
        <f t="shared" si="0"/>
        <v/>
      </c>
    </row>
    <row r="15" spans="1:8">
      <c r="A15" s="344"/>
      <c r="B15" s="338"/>
      <c r="C15" s="2217"/>
      <c r="D15" s="2219"/>
      <c r="E15" s="338"/>
      <c r="F15" s="643"/>
      <c r="G15" s="1280"/>
      <c r="H15" s="1501" t="str">
        <f t="shared" si="0"/>
        <v/>
      </c>
    </row>
    <row r="16" spans="1:8" ht="26.4">
      <c r="A16" s="344">
        <f>$A$4</f>
        <v>8</v>
      </c>
      <c r="B16" s="2216">
        <v>1.2</v>
      </c>
      <c r="C16" s="2217" t="s">
        <v>999</v>
      </c>
      <c r="D16" s="2219" t="s">
        <v>1000</v>
      </c>
      <c r="E16" s="338" t="s">
        <v>508</v>
      </c>
      <c r="F16" s="643">
        <v>2.5</v>
      </c>
      <c r="G16" s="1321"/>
      <c r="H16" s="1501">
        <f t="shared" si="0"/>
        <v>0</v>
      </c>
    </row>
    <row r="17" spans="1:8">
      <c r="A17" s="344"/>
      <c r="B17" s="46"/>
      <c r="C17" s="50"/>
      <c r="D17" s="34"/>
      <c r="E17" s="205"/>
      <c r="F17" s="664"/>
      <c r="G17" s="1322"/>
      <c r="H17" s="1501" t="str">
        <f t="shared" si="0"/>
        <v/>
      </c>
    </row>
    <row r="18" spans="1:8" s="6" customFormat="1" ht="26.4">
      <c r="A18" s="999"/>
      <c r="B18" s="1000" t="s">
        <v>549</v>
      </c>
      <c r="C18" s="996" t="s">
        <v>1001</v>
      </c>
      <c r="D18" s="521" t="s">
        <v>636</v>
      </c>
      <c r="E18" s="532"/>
      <c r="F18" s="1001"/>
      <c r="G18" s="1323"/>
      <c r="H18" s="1501" t="str">
        <f t="shared" si="0"/>
        <v/>
      </c>
    </row>
    <row r="19" spans="1:8">
      <c r="A19" s="344"/>
      <c r="B19" s="522"/>
      <c r="C19" s="439"/>
      <c r="D19" s="997"/>
      <c r="E19" s="520"/>
      <c r="F19" s="583"/>
      <c r="G19" s="1280"/>
      <c r="H19" s="1501" t="str">
        <f t="shared" si="0"/>
        <v/>
      </c>
    </row>
    <row r="20" spans="1:8">
      <c r="A20" s="344"/>
      <c r="B20" s="668"/>
      <c r="C20" s="1002">
        <v>8.1999999999999993</v>
      </c>
      <c r="D20" s="554" t="s">
        <v>637</v>
      </c>
      <c r="E20" s="30"/>
      <c r="F20" s="339"/>
      <c r="G20" s="1324"/>
      <c r="H20" s="1501" t="str">
        <f t="shared" si="0"/>
        <v/>
      </c>
    </row>
    <row r="21" spans="1:8">
      <c r="A21" s="344"/>
      <c r="B21" s="52"/>
      <c r="C21" s="1002"/>
      <c r="D21" s="554"/>
      <c r="E21" s="30"/>
      <c r="F21" s="339"/>
      <c r="G21" s="1324"/>
      <c r="H21" s="1501" t="str">
        <f t="shared" si="0"/>
        <v/>
      </c>
    </row>
    <row r="22" spans="1:8">
      <c r="A22" s="344"/>
      <c r="B22" s="668"/>
      <c r="C22" s="1002" t="s">
        <v>546</v>
      </c>
      <c r="D22" s="554" t="s">
        <v>806</v>
      </c>
      <c r="E22" s="30"/>
      <c r="F22" s="339" t="s">
        <v>1002</v>
      </c>
      <c r="G22" s="1324"/>
      <c r="H22" s="1501" t="str">
        <f t="shared" si="0"/>
        <v/>
      </c>
    </row>
    <row r="23" spans="1:8">
      <c r="A23" s="344"/>
      <c r="B23" s="52"/>
      <c r="C23" s="1002"/>
      <c r="D23" s="554"/>
      <c r="E23" s="30"/>
      <c r="F23" s="339"/>
      <c r="G23" s="1324"/>
      <c r="H23" s="1501" t="str">
        <f t="shared" si="0"/>
        <v/>
      </c>
    </row>
    <row r="24" spans="1:8">
      <c r="A24" s="344"/>
      <c r="B24" s="668"/>
      <c r="C24" s="1002"/>
      <c r="D24" s="554" t="s">
        <v>639</v>
      </c>
      <c r="E24" s="30"/>
      <c r="F24" s="339"/>
      <c r="G24" s="1324"/>
      <c r="H24" s="1501" t="str">
        <f t="shared" si="0"/>
        <v/>
      </c>
    </row>
    <row r="25" spans="1:8">
      <c r="A25" s="344"/>
      <c r="B25" s="52"/>
      <c r="C25" s="1002"/>
      <c r="D25" s="554"/>
      <c r="E25" s="30"/>
      <c r="F25" s="339"/>
      <c r="G25" s="1324"/>
      <c r="H25" s="1501" t="str">
        <f t="shared" si="0"/>
        <v/>
      </c>
    </row>
    <row r="26" spans="1:8">
      <c r="A26" s="344">
        <f>$A$4</f>
        <v>8</v>
      </c>
      <c r="B26" s="2216">
        <v>1.3</v>
      </c>
      <c r="C26" s="551"/>
      <c r="D26" s="13" t="s">
        <v>1003</v>
      </c>
      <c r="E26" s="500" t="s">
        <v>644</v>
      </c>
      <c r="F26" s="643">
        <v>2</v>
      </c>
      <c r="G26" s="1280"/>
      <c r="H26" s="1501">
        <f t="shared" si="0"/>
        <v>0</v>
      </c>
    </row>
    <row r="27" spans="1:8">
      <c r="A27" s="344"/>
      <c r="B27" s="1003"/>
      <c r="C27" s="551"/>
      <c r="D27" s="13"/>
      <c r="E27" s="500"/>
      <c r="F27" s="643"/>
      <c r="G27" s="1280"/>
      <c r="H27" s="1501" t="str">
        <f t="shared" si="0"/>
        <v/>
      </c>
    </row>
    <row r="28" spans="1:8">
      <c r="A28" s="344">
        <f>$A$4</f>
        <v>8</v>
      </c>
      <c r="B28" s="2216">
        <v>1.4</v>
      </c>
      <c r="C28" s="551"/>
      <c r="D28" s="13" t="s">
        <v>1004</v>
      </c>
      <c r="E28" s="500" t="s">
        <v>644</v>
      </c>
      <c r="F28" s="643">
        <v>4</v>
      </c>
      <c r="G28" s="1280"/>
      <c r="H28" s="1501">
        <f t="shared" si="0"/>
        <v>0</v>
      </c>
    </row>
    <row r="29" spans="1:8">
      <c r="A29" s="344"/>
      <c r="B29" s="815"/>
      <c r="C29" s="551"/>
      <c r="D29" s="13"/>
      <c r="E29" s="500"/>
      <c r="F29" s="643"/>
      <c r="G29" s="1280"/>
      <c r="H29" s="1501" t="str">
        <f t="shared" si="0"/>
        <v/>
      </c>
    </row>
    <row r="30" spans="1:8">
      <c r="A30" s="344"/>
      <c r="B30" s="1003"/>
      <c r="C30" s="439" t="s">
        <v>590</v>
      </c>
      <c r="D30" s="554" t="s">
        <v>638</v>
      </c>
      <c r="E30" s="520"/>
      <c r="F30" s="583"/>
      <c r="G30" s="1325"/>
      <c r="H30" s="1501" t="str">
        <f t="shared" si="0"/>
        <v/>
      </c>
    </row>
    <row r="31" spans="1:8">
      <c r="A31" s="344"/>
      <c r="B31" s="522"/>
      <c r="C31" s="439"/>
      <c r="D31" s="554"/>
      <c r="E31" s="520"/>
      <c r="F31" s="583"/>
      <c r="G31" s="1325"/>
      <c r="H31" s="1501" t="str">
        <f t="shared" si="0"/>
        <v/>
      </c>
    </row>
    <row r="32" spans="1:8">
      <c r="A32" s="344"/>
      <c r="B32" s="1003"/>
      <c r="C32" s="439"/>
      <c r="D32" s="412" t="s">
        <v>639</v>
      </c>
      <c r="E32" s="520"/>
      <c r="F32" s="583"/>
      <c r="G32" s="1325"/>
      <c r="H32" s="1501" t="str">
        <f t="shared" si="0"/>
        <v/>
      </c>
    </row>
    <row r="33" spans="1:8">
      <c r="A33" s="344"/>
      <c r="B33" s="522"/>
      <c r="C33" s="439"/>
      <c r="D33" s="998"/>
      <c r="E33" s="520"/>
      <c r="F33" s="583"/>
      <c r="G33" s="1280"/>
      <c r="H33" s="1501" t="str">
        <f t="shared" si="0"/>
        <v/>
      </c>
    </row>
    <row r="34" spans="1:8">
      <c r="A34" s="344">
        <f>$A$4</f>
        <v>8</v>
      </c>
      <c r="B34" s="2216">
        <v>1.5</v>
      </c>
      <c r="C34" s="439"/>
      <c r="D34" s="998" t="s">
        <v>1005</v>
      </c>
      <c r="E34" s="522" t="s">
        <v>644</v>
      </c>
      <c r="F34" s="583">
        <v>17</v>
      </c>
      <c r="G34" s="1280"/>
      <c r="H34" s="1501">
        <f t="shared" si="0"/>
        <v>0</v>
      </c>
    </row>
    <row r="35" spans="1:8">
      <c r="A35" s="344"/>
      <c r="B35" s="1003"/>
      <c r="C35" s="439"/>
      <c r="D35" s="998"/>
      <c r="E35" s="522"/>
      <c r="F35" s="583"/>
      <c r="G35" s="1280"/>
      <c r="H35" s="1501" t="str">
        <f t="shared" si="0"/>
        <v/>
      </c>
    </row>
    <row r="36" spans="1:8">
      <c r="A36" s="344">
        <f>$A$4</f>
        <v>8</v>
      </c>
      <c r="B36" s="2216">
        <v>1.6</v>
      </c>
      <c r="C36" s="439"/>
      <c r="D36" s="998" t="s">
        <v>1006</v>
      </c>
      <c r="E36" s="522" t="s">
        <v>644</v>
      </c>
      <c r="F36" s="583">
        <v>15</v>
      </c>
      <c r="G36" s="1280"/>
      <c r="H36" s="1501">
        <f t="shared" si="0"/>
        <v>0</v>
      </c>
    </row>
    <row r="37" spans="1:8">
      <c r="A37" s="344"/>
      <c r="B37" s="522"/>
      <c r="C37" s="439"/>
      <c r="D37" s="998"/>
      <c r="E37" s="520"/>
      <c r="F37" s="583"/>
      <c r="G37" s="1280"/>
      <c r="H37" s="1501" t="str">
        <f t="shared" si="0"/>
        <v/>
      </c>
    </row>
    <row r="38" spans="1:8">
      <c r="A38" s="344"/>
      <c r="B38" s="808"/>
      <c r="C38" s="1002"/>
      <c r="D38" s="1004" t="s">
        <v>645</v>
      </c>
      <c r="E38" s="16"/>
      <c r="F38" s="1005"/>
      <c r="G38" s="1280"/>
      <c r="H38" s="1501" t="str">
        <f t="shared" si="0"/>
        <v/>
      </c>
    </row>
    <row r="39" spans="1:8">
      <c r="A39" s="344"/>
      <c r="B39" s="808"/>
      <c r="C39" s="1002"/>
      <c r="D39" s="659"/>
      <c r="E39" s="16"/>
      <c r="F39" s="1005"/>
      <c r="G39" s="1280"/>
      <c r="H39" s="1501" t="str">
        <f t="shared" si="0"/>
        <v/>
      </c>
    </row>
    <row r="40" spans="1:8">
      <c r="A40" s="344"/>
      <c r="B40" s="1003"/>
      <c r="C40" s="1002" t="s">
        <v>226</v>
      </c>
      <c r="D40" s="1004" t="s">
        <v>646</v>
      </c>
      <c r="E40" s="16"/>
      <c r="F40" s="1005"/>
      <c r="G40" s="1280"/>
      <c r="H40" s="1501" t="str">
        <f t="shared" si="0"/>
        <v/>
      </c>
    </row>
    <row r="41" spans="1:8">
      <c r="A41" s="344"/>
      <c r="B41" s="808"/>
      <c r="C41" s="1002"/>
      <c r="D41" s="659"/>
      <c r="E41" s="16"/>
      <c r="F41" s="1005"/>
      <c r="G41" s="1280"/>
      <c r="H41" s="1501" t="str">
        <f t="shared" si="0"/>
        <v/>
      </c>
    </row>
    <row r="42" spans="1:8">
      <c r="A42" s="344">
        <f>$A$4</f>
        <v>8</v>
      </c>
      <c r="B42" s="2216">
        <v>1.7</v>
      </c>
      <c r="C42" s="1002" t="s">
        <v>647</v>
      </c>
      <c r="D42" s="659" t="s">
        <v>1007</v>
      </c>
      <c r="E42" s="16" t="s">
        <v>649</v>
      </c>
      <c r="F42" s="808">
        <v>0.32</v>
      </c>
      <c r="G42" s="1280"/>
      <c r="H42" s="1501">
        <f t="shared" si="0"/>
        <v>0</v>
      </c>
    </row>
    <row r="43" spans="1:8">
      <c r="A43" s="344"/>
      <c r="B43" s="818"/>
      <c r="C43" s="379"/>
      <c r="D43" s="1006"/>
      <c r="E43" s="379"/>
      <c r="F43" s="379"/>
      <c r="G43" s="1324"/>
      <c r="H43" s="1501" t="str">
        <f t="shared" si="0"/>
        <v/>
      </c>
    </row>
    <row r="44" spans="1:8" s="355" customFormat="1">
      <c r="A44" s="1007"/>
      <c r="B44" s="652"/>
      <c r="C44" s="654" t="s">
        <v>226</v>
      </c>
      <c r="D44" s="655" t="s">
        <v>650</v>
      </c>
      <c r="E44" s="656"/>
      <c r="F44" s="557"/>
      <c r="G44" s="1296"/>
      <c r="H44" s="1501" t="str">
        <f t="shared" si="0"/>
        <v/>
      </c>
    </row>
    <row r="45" spans="1:8" s="355" customFormat="1">
      <c r="A45" s="1007"/>
      <c r="B45" s="652"/>
      <c r="C45" s="654"/>
      <c r="D45" s="657"/>
      <c r="E45" s="656"/>
      <c r="F45" s="557"/>
      <c r="G45" s="1296"/>
      <c r="H45" s="1501" t="str">
        <f t="shared" si="0"/>
        <v/>
      </c>
    </row>
    <row r="46" spans="1:8" s="355" customFormat="1">
      <c r="A46" s="344">
        <f>$A$4</f>
        <v>8</v>
      </c>
      <c r="B46" s="652">
        <v>1.8</v>
      </c>
      <c r="C46" s="654" t="s">
        <v>647</v>
      </c>
      <c r="D46" s="658" t="s">
        <v>682</v>
      </c>
      <c r="E46" s="356" t="s">
        <v>649</v>
      </c>
      <c r="F46" s="557">
        <v>0.5</v>
      </c>
      <c r="G46" s="1296"/>
      <c r="H46" s="1501">
        <f t="shared" si="0"/>
        <v>0</v>
      </c>
    </row>
    <row r="47" spans="1:8" s="355" customFormat="1">
      <c r="A47" s="1007"/>
      <c r="B47" s="652"/>
      <c r="C47" s="391"/>
      <c r="D47" s="392"/>
      <c r="E47" s="356"/>
      <c r="F47" s="557"/>
      <c r="G47" s="1296"/>
      <c r="H47" s="1501" t="str">
        <f t="shared" si="0"/>
        <v/>
      </c>
    </row>
    <row r="48" spans="1:8">
      <c r="A48" s="344"/>
      <c r="B48" s="1000"/>
      <c r="C48" s="439">
        <v>8.4</v>
      </c>
      <c r="D48" s="336" t="s">
        <v>1008</v>
      </c>
      <c r="E48" s="522"/>
      <c r="F48" s="583"/>
      <c r="G48" s="1325"/>
      <c r="H48" s="1501" t="str">
        <f t="shared" si="0"/>
        <v/>
      </c>
    </row>
    <row r="49" spans="1:8">
      <c r="A49" s="344"/>
      <c r="B49" s="1008"/>
      <c r="C49" s="439"/>
      <c r="D49" s="998"/>
      <c r="E49" s="522"/>
      <c r="F49" s="583"/>
      <c r="G49" s="1325"/>
      <c r="H49" s="1501" t="str">
        <f t="shared" si="0"/>
        <v/>
      </c>
    </row>
    <row r="50" spans="1:8" s="357" customFormat="1" ht="26.4">
      <c r="A50" s="344">
        <f>$A$4</f>
        <v>8</v>
      </c>
      <c r="B50" s="1009">
        <v>1.9</v>
      </c>
      <c r="C50" s="411" t="s">
        <v>1009</v>
      </c>
      <c r="D50" s="1010" t="s">
        <v>1010</v>
      </c>
      <c r="E50" s="663" t="s">
        <v>230</v>
      </c>
      <c r="F50" s="400">
        <v>1</v>
      </c>
      <c r="G50" s="1326"/>
      <c r="H50" s="1501">
        <f t="shared" si="0"/>
        <v>0</v>
      </c>
    </row>
    <row r="51" spans="1:8" s="357" customFormat="1">
      <c r="A51" s="1007"/>
      <c r="B51" s="1011"/>
      <c r="C51" s="411"/>
      <c r="D51" s="1010"/>
      <c r="E51" s="663"/>
      <c r="F51" s="400"/>
      <c r="G51" s="1326"/>
      <c r="H51" s="1501" t="str">
        <f t="shared" si="0"/>
        <v/>
      </c>
    </row>
    <row r="52" spans="1:8" s="357" customFormat="1" ht="26.4">
      <c r="A52" s="344">
        <f>$A$4</f>
        <v>8</v>
      </c>
      <c r="B52" s="1011">
        <v>1.1000000000000001</v>
      </c>
      <c r="C52" s="411"/>
      <c r="D52" s="852" t="s">
        <v>1011</v>
      </c>
      <c r="E52" s="16" t="s">
        <v>561</v>
      </c>
      <c r="F52" s="955">
        <v>20</v>
      </c>
      <c r="G52" s="1327"/>
      <c r="H52" s="1501">
        <f t="shared" si="0"/>
        <v>0</v>
      </c>
    </row>
    <row r="53" spans="1:8" s="357" customFormat="1">
      <c r="A53" s="1007"/>
      <c r="B53" s="1011"/>
      <c r="C53" s="411"/>
      <c r="D53" s="29"/>
      <c r="E53" s="16"/>
      <c r="F53" s="955"/>
      <c r="G53" s="1313"/>
      <c r="H53" s="1501" t="str">
        <f t="shared" si="0"/>
        <v/>
      </c>
    </row>
    <row r="54" spans="1:8" s="357" customFormat="1" ht="26.4">
      <c r="A54" s="344">
        <f>$A$4</f>
        <v>8</v>
      </c>
      <c r="B54" s="1011">
        <v>1.1100000000000001</v>
      </c>
      <c r="C54" s="411"/>
      <c r="D54" s="29" t="s">
        <v>1012</v>
      </c>
      <c r="E54" s="522" t="s">
        <v>644</v>
      </c>
      <c r="F54" s="955">
        <v>20</v>
      </c>
      <c r="G54" s="1313"/>
      <c r="H54" s="1501">
        <f t="shared" si="0"/>
        <v>0</v>
      </c>
    </row>
    <row r="55" spans="1:8" s="357" customFormat="1">
      <c r="A55" s="1007"/>
      <c r="B55" s="1011"/>
      <c r="C55" s="411"/>
      <c r="D55" s="29"/>
      <c r="E55" s="522"/>
      <c r="F55" s="955"/>
      <c r="G55" s="1313"/>
      <c r="H55" s="1501" t="str">
        <f t="shared" si="0"/>
        <v/>
      </c>
    </row>
    <row r="56" spans="1:8" s="357" customFormat="1">
      <c r="A56" s="344">
        <f>$A$4</f>
        <v>8</v>
      </c>
      <c r="B56" s="1011">
        <v>1.1200000000000001</v>
      </c>
      <c r="C56" s="411"/>
      <c r="D56" s="584" t="s">
        <v>1013</v>
      </c>
      <c r="E56" s="356" t="s">
        <v>252</v>
      </c>
      <c r="F56" s="400">
        <v>1</v>
      </c>
      <c r="G56" s="509">
        <v>14670</v>
      </c>
      <c r="H56" s="1501">
        <f t="shared" si="0"/>
        <v>14670</v>
      </c>
    </row>
    <row r="57" spans="1:8" s="357" customFormat="1">
      <c r="A57" s="1007"/>
      <c r="B57" s="1011"/>
      <c r="C57" s="411"/>
      <c r="D57" s="29"/>
      <c r="E57" s="16"/>
      <c r="F57" s="955"/>
      <c r="G57" s="1313"/>
      <c r="H57" s="1501" t="str">
        <f t="shared" si="0"/>
        <v/>
      </c>
    </row>
    <row r="58" spans="1:8">
      <c r="A58" s="344"/>
      <c r="B58" s="836"/>
      <c r="C58" s="439" t="s">
        <v>337</v>
      </c>
      <c r="D58" s="341" t="s">
        <v>653</v>
      </c>
      <c r="E58" s="522"/>
      <c r="F58" s="583"/>
      <c r="G58" s="1325"/>
      <c r="H58" s="1501" t="str">
        <f t="shared" si="0"/>
        <v/>
      </c>
    </row>
    <row r="59" spans="1:8">
      <c r="A59" s="344"/>
      <c r="B59" s="522"/>
      <c r="C59" s="439"/>
      <c r="D59" s="998"/>
      <c r="E59" s="522"/>
      <c r="F59" s="583"/>
      <c r="G59" s="1325"/>
      <c r="H59" s="1501" t="str">
        <f t="shared" si="0"/>
        <v/>
      </c>
    </row>
    <row r="60" spans="1:8">
      <c r="A60" s="344">
        <f>$A$4</f>
        <v>8</v>
      </c>
      <c r="B60" s="836">
        <v>1.1299999999999999</v>
      </c>
      <c r="C60" s="439"/>
      <c r="D60" s="998" t="s">
        <v>1014</v>
      </c>
      <c r="E60" s="522" t="s">
        <v>644</v>
      </c>
      <c r="F60" s="583">
        <v>16</v>
      </c>
      <c r="G60" s="1325"/>
      <c r="H60" s="1501">
        <f t="shared" si="0"/>
        <v>0</v>
      </c>
    </row>
    <row r="61" spans="1:8">
      <c r="A61" s="344"/>
      <c r="B61" s="522"/>
      <c r="C61" s="439"/>
      <c r="D61" s="998"/>
      <c r="E61" s="522"/>
      <c r="F61" s="583"/>
      <c r="G61" s="1325"/>
      <c r="H61" s="1501" t="str">
        <f t="shared" si="0"/>
        <v/>
      </c>
    </row>
    <row r="62" spans="1:8">
      <c r="A62" s="344"/>
      <c r="B62" s="836"/>
      <c r="C62" s="16" t="s">
        <v>375</v>
      </c>
      <c r="D62" s="447" t="s">
        <v>1015</v>
      </c>
      <c r="E62" s="16"/>
      <c r="F62" s="16"/>
      <c r="G62" s="1322"/>
      <c r="H62" s="1501" t="str">
        <f t="shared" si="0"/>
        <v/>
      </c>
    </row>
    <row r="63" spans="1:8">
      <c r="A63" s="344"/>
      <c r="B63" s="808"/>
      <c r="C63" s="16"/>
      <c r="D63" s="501"/>
      <c r="E63" s="16"/>
      <c r="F63" s="16"/>
      <c r="G63" s="1322"/>
      <c r="H63" s="1501" t="str">
        <f t="shared" si="0"/>
        <v/>
      </c>
    </row>
    <row r="64" spans="1:8" ht="15.6">
      <c r="A64" s="344">
        <f>$A$4</f>
        <v>8</v>
      </c>
      <c r="B64" s="836">
        <v>1.1399999999999999</v>
      </c>
      <c r="C64" s="16"/>
      <c r="D64" s="13" t="s">
        <v>1016</v>
      </c>
      <c r="E64" s="16" t="s">
        <v>631</v>
      </c>
      <c r="F64" s="16">
        <v>3</v>
      </c>
      <c r="G64" s="1322"/>
      <c r="H64" s="1501">
        <f t="shared" si="0"/>
        <v>0</v>
      </c>
    </row>
    <row r="65" spans="1:8">
      <c r="A65" s="344"/>
      <c r="B65" s="522"/>
      <c r="C65" s="439"/>
      <c r="D65" s="998"/>
      <c r="E65" s="522"/>
      <c r="F65" s="583"/>
      <c r="G65" s="1325"/>
      <c r="H65" s="1501" t="str">
        <f t="shared" si="0"/>
        <v/>
      </c>
    </row>
    <row r="66" spans="1:8">
      <c r="A66" s="344"/>
      <c r="B66" s="836"/>
      <c r="C66" s="439" t="s">
        <v>375</v>
      </c>
      <c r="D66" s="447" t="s">
        <v>655</v>
      </c>
      <c r="E66" s="522"/>
      <c r="F66" s="583"/>
      <c r="G66" s="1325"/>
      <c r="H66" s="1501" t="str">
        <f t="shared" si="0"/>
        <v/>
      </c>
    </row>
    <row r="67" spans="1:8">
      <c r="A67" s="344"/>
      <c r="B67" s="836"/>
      <c r="C67" s="439"/>
      <c r="D67" s="447"/>
      <c r="E67" s="522"/>
      <c r="F67" s="583"/>
      <c r="G67" s="1325"/>
      <c r="H67" s="1501" t="str">
        <f t="shared" si="0"/>
        <v/>
      </c>
    </row>
    <row r="68" spans="1:8">
      <c r="A68" s="344"/>
      <c r="B68" s="522"/>
      <c r="C68" s="439"/>
      <c r="D68" s="998"/>
      <c r="E68" s="522"/>
      <c r="F68" s="583"/>
      <c r="G68" s="1325"/>
      <c r="H68" s="1501" t="str">
        <f t="shared" si="0"/>
        <v/>
      </c>
    </row>
    <row r="69" spans="1:8" ht="12" customHeight="1">
      <c r="A69" s="344">
        <f>$A$4</f>
        <v>8</v>
      </c>
      <c r="B69" s="836">
        <v>1.1499999999999999</v>
      </c>
      <c r="C69" s="439"/>
      <c r="D69" s="998" t="s">
        <v>1017</v>
      </c>
      <c r="E69" s="522" t="s">
        <v>508</v>
      </c>
      <c r="F69" s="583">
        <v>3</v>
      </c>
      <c r="G69" s="1325"/>
      <c r="H69" s="1501">
        <f t="shared" si="0"/>
        <v>0</v>
      </c>
    </row>
    <row r="70" spans="1:8" ht="12" customHeight="1">
      <c r="A70" s="344"/>
      <c r="B70" s="836"/>
      <c r="C70" s="439"/>
      <c r="D70" s="998"/>
      <c r="E70" s="522"/>
      <c r="F70" s="583"/>
      <c r="G70" s="1325"/>
      <c r="H70" s="1501" t="str">
        <f t="shared" si="0"/>
        <v/>
      </c>
    </row>
    <row r="71" spans="1:8" ht="12" customHeight="1">
      <c r="A71" s="1763">
        <f>$A$4</f>
        <v>8</v>
      </c>
      <c r="B71" s="836">
        <v>1.1599999999999999</v>
      </c>
      <c r="C71" s="439"/>
      <c r="D71" s="998" t="s">
        <v>1018</v>
      </c>
      <c r="E71" s="522" t="s">
        <v>508</v>
      </c>
      <c r="F71" s="583">
        <v>2</v>
      </c>
      <c r="G71" s="1325"/>
      <c r="H71" s="1501">
        <f t="shared" si="0"/>
        <v>0</v>
      </c>
    </row>
    <row r="72" spans="1:8" ht="12" customHeight="1">
      <c r="A72" s="1763"/>
      <c r="B72" s="836"/>
      <c r="C72" s="439"/>
      <c r="D72" s="998"/>
      <c r="E72" s="522"/>
      <c r="F72" s="583"/>
      <c r="G72" s="1325"/>
      <c r="H72" s="1501" t="str">
        <f t="shared" si="0"/>
        <v/>
      </c>
    </row>
    <row r="73" spans="1:8" ht="12" customHeight="1">
      <c r="A73" s="1763"/>
      <c r="B73" s="836"/>
      <c r="C73" s="439" t="s">
        <v>384</v>
      </c>
      <c r="D73" s="341" t="s">
        <v>1019</v>
      </c>
      <c r="E73" s="520"/>
      <c r="F73" s="583"/>
      <c r="G73" s="2220"/>
      <c r="H73" s="1501" t="str">
        <f t="shared" si="0"/>
        <v/>
      </c>
    </row>
    <row r="74" spans="1:8" ht="12" customHeight="1">
      <c r="A74" s="344"/>
      <c r="B74" s="522"/>
      <c r="C74" s="439"/>
      <c r="D74" s="1013"/>
      <c r="E74" s="520"/>
      <c r="F74" s="583"/>
      <c r="G74" s="2220"/>
      <c r="H74" s="1501" t="str">
        <f t="shared" si="0"/>
        <v/>
      </c>
    </row>
    <row r="75" spans="1:8" ht="12" customHeight="1">
      <c r="A75" s="344"/>
      <c r="B75" s="836"/>
      <c r="C75" s="439"/>
      <c r="D75" s="499" t="s">
        <v>704</v>
      </c>
      <c r="E75" s="522"/>
      <c r="F75" s="583"/>
      <c r="G75" s="2220"/>
      <c r="H75" s="1501" t="str">
        <f t="shared" si="0"/>
        <v/>
      </c>
    </row>
    <row r="76" spans="1:8">
      <c r="A76" s="344"/>
      <c r="B76" s="522"/>
      <c r="C76" s="439"/>
      <c r="D76" s="998"/>
      <c r="E76" s="522"/>
      <c r="F76" s="583"/>
      <c r="G76" s="1325"/>
      <c r="H76" s="1501" t="str">
        <f t="shared" ref="H76:H77" si="1">IF(E76="","",ROUND(F76*G76,2))</f>
        <v/>
      </c>
    </row>
    <row r="77" spans="1:8">
      <c r="A77" s="344">
        <f>$A$4</f>
        <v>8</v>
      </c>
      <c r="B77" s="836">
        <v>1.17</v>
      </c>
      <c r="C77" s="439"/>
      <c r="D77" s="998" t="s">
        <v>1020</v>
      </c>
      <c r="E77" s="522" t="s">
        <v>644</v>
      </c>
      <c r="F77" s="583">
        <v>3</v>
      </c>
      <c r="G77" s="2220"/>
      <c r="H77" s="1501">
        <f t="shared" si="1"/>
        <v>0</v>
      </c>
    </row>
    <row r="78" spans="1:8">
      <c r="A78" s="344"/>
      <c r="B78" s="522"/>
      <c r="C78" s="439"/>
      <c r="D78" s="998"/>
      <c r="E78" s="522"/>
      <c r="F78" s="583"/>
      <c r="G78" s="1325"/>
      <c r="H78" s="340"/>
    </row>
    <row r="79" spans="1:8" ht="12" customHeight="1">
      <c r="A79" s="2221"/>
      <c r="B79" s="816"/>
      <c r="C79" s="872"/>
      <c r="D79" s="872"/>
      <c r="E79" s="801"/>
      <c r="F79" s="873"/>
      <c r="G79" s="2222"/>
      <c r="H79" s="2158"/>
    </row>
    <row r="80" spans="1:8" ht="12" customHeight="1">
      <c r="A80" s="1012"/>
      <c r="B80" s="817"/>
      <c r="C80" s="423"/>
      <c r="D80" s="413" t="s">
        <v>289</v>
      </c>
      <c r="E80" s="426"/>
      <c r="F80" s="24"/>
      <c r="G80" s="1328"/>
      <c r="H80" s="2159">
        <f>SUM(H3:H78)</f>
        <v>14670</v>
      </c>
    </row>
    <row r="81" spans="1:8" ht="12" customHeight="1">
      <c r="A81" s="1763"/>
      <c r="B81" s="836"/>
      <c r="C81" s="2138"/>
      <c r="D81" s="1552" t="s">
        <v>290</v>
      </c>
      <c r="E81" s="1701"/>
      <c r="F81" s="2223"/>
      <c r="G81" s="1517"/>
      <c r="H81" s="1553">
        <f>H80</f>
        <v>14670</v>
      </c>
    </row>
    <row r="82" spans="1:8" ht="12" customHeight="1">
      <c r="A82" s="1763"/>
      <c r="B82" s="2224"/>
      <c r="C82" s="439"/>
      <c r="D82" s="998"/>
      <c r="E82" s="522"/>
      <c r="F82" s="583"/>
      <c r="G82" s="1325"/>
      <c r="H82" s="2031"/>
    </row>
    <row r="83" spans="1:8">
      <c r="A83" s="344">
        <f>$A$4</f>
        <v>8</v>
      </c>
      <c r="B83" s="836">
        <v>1.18</v>
      </c>
      <c r="C83" s="439"/>
      <c r="D83" s="998" t="s">
        <v>846</v>
      </c>
      <c r="E83" s="522" t="s">
        <v>644</v>
      </c>
      <c r="F83" s="583">
        <v>5</v>
      </c>
      <c r="G83" s="2220"/>
      <c r="H83" s="1501">
        <f t="shared" ref="H83:H107" si="2">IF(E83="","",ROUND(F83*G83,2))</f>
        <v>0</v>
      </c>
    </row>
    <row r="84" spans="1:8" ht="12" customHeight="1">
      <c r="A84" s="344"/>
      <c r="B84" s="522"/>
      <c r="C84" s="439"/>
      <c r="D84" s="998"/>
      <c r="E84" s="522"/>
      <c r="F84" s="583"/>
      <c r="G84" s="2220"/>
      <c r="H84" s="1501" t="str">
        <f t="shared" si="2"/>
        <v/>
      </c>
    </row>
    <row r="85" spans="1:8">
      <c r="A85" s="344"/>
      <c r="B85" s="1951"/>
      <c r="C85" s="2047" t="s">
        <v>709</v>
      </c>
      <c r="D85" s="2048" t="s">
        <v>139</v>
      </c>
      <c r="E85" s="1906"/>
      <c r="F85" s="1967"/>
      <c r="G85" s="2220"/>
      <c r="H85" s="1501" t="str">
        <f t="shared" si="2"/>
        <v/>
      </c>
    </row>
    <row r="86" spans="1:8">
      <c r="A86" s="344"/>
      <c r="B86" s="1951"/>
      <c r="C86" s="2047"/>
      <c r="D86" s="2049"/>
      <c r="E86" s="1906"/>
      <c r="F86" s="1967"/>
      <c r="G86" s="2220"/>
      <c r="H86" s="1501" t="str">
        <f t="shared" si="2"/>
        <v/>
      </c>
    </row>
    <row r="87" spans="1:8">
      <c r="A87" s="344"/>
      <c r="B87" s="1951"/>
      <c r="C87" s="2047" t="s">
        <v>746</v>
      </c>
      <c r="D87" s="2218" t="s">
        <v>711</v>
      </c>
      <c r="E87" s="1906"/>
      <c r="F87" s="1967"/>
      <c r="G87" s="2220"/>
      <c r="H87" s="1501" t="str">
        <f t="shared" si="2"/>
        <v/>
      </c>
    </row>
    <row r="88" spans="1:8">
      <c r="A88" s="344"/>
      <c r="B88" s="1951"/>
      <c r="C88" s="2047"/>
      <c r="D88" s="2219"/>
      <c r="E88" s="1906"/>
      <c r="F88" s="1014"/>
      <c r="G88" s="1325"/>
      <c r="H88" s="1501" t="str">
        <f t="shared" si="2"/>
        <v/>
      </c>
    </row>
    <row r="89" spans="1:8" ht="39.6">
      <c r="A89" s="344"/>
      <c r="B89" s="1951"/>
      <c r="C89" s="2047"/>
      <c r="D89" s="2048" t="s">
        <v>712</v>
      </c>
      <c r="E89" s="1906"/>
      <c r="F89" s="1014"/>
      <c r="G89" s="1325"/>
      <c r="H89" s="1501" t="str">
        <f t="shared" si="2"/>
        <v/>
      </c>
    </row>
    <row r="90" spans="1:8">
      <c r="A90" s="344"/>
      <c r="B90" s="1951"/>
      <c r="C90" s="2047"/>
      <c r="D90" s="1015"/>
      <c r="E90" s="1906"/>
      <c r="F90" s="1014"/>
      <c r="G90" s="1325"/>
      <c r="H90" s="1501" t="str">
        <f t="shared" si="2"/>
        <v/>
      </c>
    </row>
    <row r="91" spans="1:8">
      <c r="A91" s="344">
        <f>$A$4</f>
        <v>8</v>
      </c>
      <c r="B91" s="1951">
        <v>1.19</v>
      </c>
      <c r="C91" s="2047"/>
      <c r="D91" s="2219" t="s">
        <v>828</v>
      </c>
      <c r="E91" s="1906" t="s">
        <v>561</v>
      </c>
      <c r="F91" s="1014">
        <v>24.43</v>
      </c>
      <c r="G91" s="1325"/>
      <c r="H91" s="1501">
        <f t="shared" si="2"/>
        <v>0</v>
      </c>
    </row>
    <row r="92" spans="1:8">
      <c r="A92" s="344"/>
      <c r="B92" s="1951"/>
      <c r="C92" s="2047"/>
      <c r="D92" s="953"/>
      <c r="E92" s="1906"/>
      <c r="F92" s="1014"/>
      <c r="G92" s="1325"/>
      <c r="H92" s="1501" t="str">
        <f t="shared" si="2"/>
        <v/>
      </c>
    </row>
    <row r="93" spans="1:8" s="355" customFormat="1">
      <c r="A93" s="1007"/>
      <c r="B93" s="559"/>
      <c r="C93" s="363" t="s">
        <v>747</v>
      </c>
      <c r="D93" s="531" t="s">
        <v>716</v>
      </c>
      <c r="E93" s="356"/>
      <c r="F93" s="387"/>
      <c r="G93" s="1290"/>
      <c r="H93" s="1501" t="str">
        <f t="shared" si="2"/>
        <v/>
      </c>
    </row>
    <row r="94" spans="1:8" s="355" customFormat="1">
      <c r="A94" s="1007"/>
      <c r="B94" s="356"/>
      <c r="C94" s="363"/>
      <c r="D94" s="409"/>
      <c r="E94" s="356"/>
      <c r="F94" s="387"/>
      <c r="G94" s="1290"/>
      <c r="H94" s="1501" t="str">
        <f t="shared" si="2"/>
        <v/>
      </c>
    </row>
    <row r="95" spans="1:8" s="355" customFormat="1" ht="39.6">
      <c r="A95" s="1007"/>
      <c r="B95" s="356"/>
      <c r="C95" s="363"/>
      <c r="D95" s="531" t="s">
        <v>717</v>
      </c>
      <c r="E95" s="356"/>
      <c r="F95" s="387"/>
      <c r="G95" s="1290"/>
      <c r="H95" s="1501" t="str">
        <f t="shared" si="2"/>
        <v/>
      </c>
    </row>
    <row r="96" spans="1:8" s="355" customFormat="1">
      <c r="A96" s="1007"/>
      <c r="B96" s="356"/>
      <c r="C96" s="363"/>
      <c r="D96" s="364"/>
      <c r="E96" s="356"/>
      <c r="F96" s="356"/>
      <c r="G96" s="1290"/>
      <c r="H96" s="1501" t="str">
        <f t="shared" si="2"/>
        <v/>
      </c>
    </row>
    <row r="97" spans="1:12" s="355" customFormat="1">
      <c r="A97" s="344">
        <f>$A$4</f>
        <v>8</v>
      </c>
      <c r="B97" s="559">
        <v>1.2</v>
      </c>
      <c r="C97" s="363"/>
      <c r="D97" s="562" t="s">
        <v>719</v>
      </c>
      <c r="E97" s="356" t="s">
        <v>561</v>
      </c>
      <c r="F97" s="356">
        <v>24</v>
      </c>
      <c r="G97" s="1287"/>
      <c r="H97" s="1501">
        <f t="shared" si="2"/>
        <v>0</v>
      </c>
    </row>
    <row r="98" spans="1:12">
      <c r="A98" s="344"/>
      <c r="B98" s="47"/>
      <c r="C98" s="30"/>
      <c r="D98" s="953"/>
      <c r="E98" s="338"/>
      <c r="F98" s="339"/>
      <c r="G98" s="1280"/>
      <c r="H98" s="1501" t="str">
        <f t="shared" si="2"/>
        <v/>
      </c>
    </row>
    <row r="99" spans="1:12" ht="26.4">
      <c r="A99" s="344"/>
      <c r="B99" s="2225" t="s">
        <v>558</v>
      </c>
      <c r="C99" s="2226" t="s">
        <v>729</v>
      </c>
      <c r="D99" s="2227" t="s">
        <v>857</v>
      </c>
      <c r="E99" s="338"/>
      <c r="F99" s="339"/>
      <c r="G99" s="1280"/>
      <c r="H99" s="1501" t="str">
        <f t="shared" si="2"/>
        <v/>
      </c>
      <c r="J99" s="366"/>
      <c r="K99" s="366"/>
      <c r="L99" s="367"/>
    </row>
    <row r="100" spans="1:12" s="320" customFormat="1">
      <c r="A100" s="1016"/>
      <c r="B100" s="2202"/>
      <c r="C100" s="2217"/>
      <c r="D100" s="2228"/>
      <c r="E100" s="338"/>
      <c r="F100" s="339"/>
      <c r="G100" s="1280"/>
      <c r="H100" s="1501" t="str">
        <f t="shared" si="2"/>
        <v/>
      </c>
    </row>
    <row r="101" spans="1:12" s="355" customFormat="1">
      <c r="A101" s="344">
        <f>$A$4</f>
        <v>8</v>
      </c>
      <c r="B101" s="1017">
        <v>1.21</v>
      </c>
      <c r="C101" s="398"/>
      <c r="D101" s="993" t="s">
        <v>1021</v>
      </c>
      <c r="E101" s="399" t="s">
        <v>230</v>
      </c>
      <c r="F101" s="400">
        <v>1</v>
      </c>
      <c r="G101" s="1289"/>
      <c r="H101" s="1501">
        <f t="shared" si="2"/>
        <v>0</v>
      </c>
    </row>
    <row r="102" spans="1:12" s="355" customFormat="1">
      <c r="A102" s="1007"/>
      <c r="B102" s="1017"/>
      <c r="C102" s="398"/>
      <c r="D102" s="993"/>
      <c r="E102" s="399"/>
      <c r="F102" s="400"/>
      <c r="G102" s="1289"/>
      <c r="H102" s="1501" t="str">
        <f t="shared" si="2"/>
        <v/>
      </c>
    </row>
    <row r="103" spans="1:12" s="355" customFormat="1">
      <c r="A103" s="344">
        <f>$A$4</f>
        <v>8</v>
      </c>
      <c r="B103" s="1017">
        <v>1.22</v>
      </c>
      <c r="C103" s="398"/>
      <c r="D103" s="993" t="s">
        <v>1022</v>
      </c>
      <c r="E103" s="399" t="s">
        <v>691</v>
      </c>
      <c r="F103" s="400">
        <v>1</v>
      </c>
      <c r="G103" s="1289"/>
      <c r="H103" s="1501">
        <f t="shared" si="2"/>
        <v>0</v>
      </c>
    </row>
    <row r="104" spans="1:12" s="355" customFormat="1">
      <c r="A104" s="1007"/>
      <c r="B104" s="1017"/>
      <c r="C104" s="398"/>
      <c r="D104" s="993"/>
      <c r="E104" s="399"/>
      <c r="F104" s="400"/>
      <c r="G104" s="1289"/>
      <c r="H104" s="1501" t="str">
        <f t="shared" si="2"/>
        <v/>
      </c>
    </row>
    <row r="105" spans="1:12" s="355" customFormat="1">
      <c r="A105" s="1007"/>
      <c r="B105" s="436" t="s">
        <v>562</v>
      </c>
      <c r="C105" s="1018" t="s">
        <v>1023</v>
      </c>
      <c r="D105" s="560" t="s">
        <v>1024</v>
      </c>
      <c r="E105" s="436"/>
      <c r="F105" s="726"/>
      <c r="G105" s="1329"/>
      <c r="H105" s="1501" t="str">
        <f t="shared" si="2"/>
        <v/>
      </c>
    </row>
    <row r="106" spans="1:12" s="355" customFormat="1">
      <c r="A106" s="1007"/>
      <c r="B106" s="18"/>
      <c r="C106" s="11"/>
      <c r="D106" s="550"/>
      <c r="E106" s="18"/>
      <c r="F106" s="18"/>
      <c r="G106" s="1330"/>
      <c r="H106" s="1501" t="str">
        <f t="shared" si="2"/>
        <v/>
      </c>
    </row>
    <row r="107" spans="1:12" s="355" customFormat="1">
      <c r="A107" s="344">
        <f>$A$4</f>
        <v>8</v>
      </c>
      <c r="B107" s="1017">
        <v>1.23</v>
      </c>
      <c r="C107" s="398"/>
      <c r="D107" s="993" t="s">
        <v>1025</v>
      </c>
      <c r="E107" s="399" t="s">
        <v>230</v>
      </c>
      <c r="F107" s="400">
        <v>1</v>
      </c>
      <c r="G107" s="1289"/>
      <c r="H107" s="1501">
        <f t="shared" si="2"/>
        <v>0</v>
      </c>
    </row>
    <row r="108" spans="1:12" s="355" customFormat="1">
      <c r="A108" s="1007"/>
      <c r="B108" s="1017"/>
      <c r="C108" s="398"/>
      <c r="D108" s="993"/>
      <c r="E108" s="399"/>
      <c r="F108" s="400"/>
      <c r="G108" s="1289"/>
      <c r="H108" s="393"/>
    </row>
    <row r="109" spans="1:12" s="355" customFormat="1">
      <c r="A109" s="1007"/>
      <c r="B109" s="1017"/>
      <c r="C109" s="398"/>
      <c r="D109" s="993"/>
      <c r="E109" s="399"/>
      <c r="F109" s="400"/>
      <c r="G109" s="1289"/>
      <c r="H109" s="393"/>
    </row>
    <row r="110" spans="1:12" s="355" customFormat="1">
      <c r="A110" s="1007"/>
      <c r="B110" s="1017"/>
      <c r="C110" s="398"/>
      <c r="D110" s="993"/>
      <c r="E110" s="399"/>
      <c r="F110" s="400"/>
      <c r="G110" s="1289"/>
      <c r="H110" s="393"/>
    </row>
    <row r="111" spans="1:12" s="355" customFormat="1">
      <c r="A111" s="1007"/>
      <c r="B111" s="1017"/>
      <c r="C111" s="398"/>
      <c r="D111" s="993"/>
      <c r="E111" s="399"/>
      <c r="F111" s="400"/>
      <c r="G111" s="1289"/>
      <c r="H111" s="393"/>
    </row>
    <row r="112" spans="1:12" s="355" customFormat="1">
      <c r="A112" s="1007"/>
      <c r="B112" s="1017"/>
      <c r="C112" s="398"/>
      <c r="D112" s="993"/>
      <c r="E112" s="399"/>
      <c r="F112" s="400"/>
      <c r="G112" s="1289"/>
      <c r="H112" s="393"/>
    </row>
    <row r="113" spans="1:8" s="355" customFormat="1">
      <c r="A113" s="1007"/>
      <c r="B113" s="1017"/>
      <c r="C113" s="398"/>
      <c r="D113" s="993"/>
      <c r="E113" s="399"/>
      <c r="F113" s="400"/>
      <c r="G113" s="1289"/>
      <c r="H113" s="393"/>
    </row>
    <row r="114" spans="1:8" s="355" customFormat="1">
      <c r="A114" s="1007"/>
      <c r="B114" s="1017"/>
      <c r="C114" s="398"/>
      <c r="D114" s="993"/>
      <c r="E114" s="399"/>
      <c r="F114" s="400"/>
      <c r="G114" s="1289"/>
      <c r="H114" s="393"/>
    </row>
    <row r="115" spans="1:8" s="355" customFormat="1">
      <c r="A115" s="1007"/>
      <c r="B115" s="1017"/>
      <c r="C115" s="398"/>
      <c r="D115" s="993"/>
      <c r="E115" s="399"/>
      <c r="F115" s="400"/>
      <c r="G115" s="1289"/>
      <c r="H115" s="393"/>
    </row>
    <row r="116" spans="1:8" s="355" customFormat="1">
      <c r="A116" s="1007"/>
      <c r="B116" s="1017"/>
      <c r="C116" s="398"/>
      <c r="D116" s="993"/>
      <c r="E116" s="399"/>
      <c r="F116" s="400"/>
      <c r="G116" s="1289"/>
      <c r="H116" s="393"/>
    </row>
    <row r="117" spans="1:8" s="355" customFormat="1">
      <c r="A117" s="1007"/>
      <c r="B117" s="1017"/>
      <c r="C117" s="398"/>
      <c r="D117" s="993"/>
      <c r="E117" s="399"/>
      <c r="F117" s="400"/>
      <c r="G117" s="1289"/>
      <c r="H117" s="393"/>
    </row>
    <row r="118" spans="1:8" s="355" customFormat="1">
      <c r="A118" s="1007"/>
      <c r="B118" s="1017"/>
      <c r="C118" s="398"/>
      <c r="D118" s="993"/>
      <c r="E118" s="399"/>
      <c r="F118" s="400"/>
      <c r="G118" s="1289"/>
      <c r="H118" s="393"/>
    </row>
    <row r="119" spans="1:8" s="355" customFormat="1">
      <c r="A119" s="1007"/>
      <c r="B119" s="1017"/>
      <c r="C119" s="398"/>
      <c r="D119" s="993"/>
      <c r="E119" s="399"/>
      <c r="F119" s="400"/>
      <c r="G119" s="1289"/>
      <c r="H119" s="393"/>
    </row>
    <row r="120" spans="1:8" s="355" customFormat="1">
      <c r="A120" s="1007"/>
      <c r="B120" s="1017"/>
      <c r="C120" s="398"/>
      <c r="D120" s="993"/>
      <c r="E120" s="399"/>
      <c r="F120" s="400"/>
      <c r="G120" s="1289"/>
      <c r="H120" s="393"/>
    </row>
    <row r="121" spans="1:8" s="355" customFormat="1">
      <c r="A121" s="1007"/>
      <c r="B121" s="1017"/>
      <c r="C121" s="398"/>
      <c r="D121" s="993"/>
      <c r="E121" s="399"/>
      <c r="F121" s="400"/>
      <c r="G121" s="1289"/>
      <c r="H121" s="393"/>
    </row>
    <row r="122" spans="1:8" s="355" customFormat="1">
      <c r="A122" s="1007"/>
      <c r="B122" s="1017"/>
      <c r="C122" s="398"/>
      <c r="D122" s="993"/>
      <c r="E122" s="399"/>
      <c r="F122" s="400"/>
      <c r="G122" s="1289"/>
      <c r="H122" s="393"/>
    </row>
    <row r="123" spans="1:8" s="355" customFormat="1">
      <c r="A123" s="1007"/>
      <c r="B123" s="1017"/>
      <c r="C123" s="398"/>
      <c r="D123" s="993"/>
      <c r="E123" s="399"/>
      <c r="F123" s="400"/>
      <c r="G123" s="1289"/>
      <c r="H123" s="393"/>
    </row>
    <row r="124" spans="1:8" s="355" customFormat="1">
      <c r="A124" s="1007"/>
      <c r="B124" s="1017"/>
      <c r="C124" s="398"/>
      <c r="D124" s="993"/>
      <c r="E124" s="399"/>
      <c r="F124" s="400"/>
      <c r="G124" s="1289"/>
      <c r="H124" s="393"/>
    </row>
    <row r="125" spans="1:8" s="355" customFormat="1">
      <c r="A125" s="1007"/>
      <c r="B125" s="1017"/>
      <c r="C125" s="398"/>
      <c r="D125" s="993"/>
      <c r="E125" s="399"/>
      <c r="F125" s="400"/>
      <c r="G125" s="1289"/>
      <c r="H125" s="393"/>
    </row>
    <row r="126" spans="1:8" s="355" customFormat="1">
      <c r="A126" s="1007"/>
      <c r="B126" s="1017"/>
      <c r="C126" s="398"/>
      <c r="D126" s="993"/>
      <c r="E126" s="399"/>
      <c r="F126" s="400"/>
      <c r="G126" s="1289"/>
      <c r="H126" s="393"/>
    </row>
    <row r="127" spans="1:8" s="355" customFormat="1">
      <c r="A127" s="1007"/>
      <c r="B127" s="1017"/>
      <c r="C127" s="398"/>
      <c r="D127" s="993"/>
      <c r="E127" s="399"/>
      <c r="F127" s="400"/>
      <c r="G127" s="1289"/>
      <c r="H127" s="393"/>
    </row>
    <row r="128" spans="1:8" s="355" customFormat="1">
      <c r="A128" s="1007"/>
      <c r="B128" s="1017"/>
      <c r="C128" s="398"/>
      <c r="D128" s="993"/>
      <c r="E128" s="399"/>
      <c r="F128" s="400"/>
      <c r="G128" s="1289"/>
      <c r="H128" s="393"/>
    </row>
    <row r="129" spans="1:8" s="355" customFormat="1">
      <c r="A129" s="1007"/>
      <c r="B129" s="1017"/>
      <c r="C129" s="398"/>
      <c r="D129" s="993"/>
      <c r="E129" s="399"/>
      <c r="F129" s="400"/>
      <c r="G129" s="1289"/>
      <c r="H129" s="393"/>
    </row>
    <row r="130" spans="1:8" s="355" customFormat="1">
      <c r="A130" s="1007"/>
      <c r="B130" s="1017"/>
      <c r="C130" s="398"/>
      <c r="D130" s="993"/>
      <c r="E130" s="399"/>
      <c r="F130" s="400"/>
      <c r="G130" s="1289"/>
      <c r="H130" s="393"/>
    </row>
    <row r="131" spans="1:8" s="355" customFormat="1">
      <c r="A131" s="1007"/>
      <c r="B131" s="1017"/>
      <c r="C131" s="398"/>
      <c r="D131" s="993"/>
      <c r="E131" s="399"/>
      <c r="F131" s="400"/>
      <c r="G131" s="1289"/>
      <c r="H131" s="393"/>
    </row>
    <row r="132" spans="1:8" s="355" customFormat="1">
      <c r="A132" s="1007"/>
      <c r="B132" s="1017"/>
      <c r="C132" s="398"/>
      <c r="D132" s="993"/>
      <c r="E132" s="399"/>
      <c r="F132" s="400"/>
      <c r="G132" s="1289"/>
      <c r="H132" s="393"/>
    </row>
    <row r="133" spans="1:8" s="355" customFormat="1">
      <c r="A133" s="1007"/>
      <c r="B133" s="1017"/>
      <c r="C133" s="398"/>
      <c r="D133" s="993"/>
      <c r="E133" s="399"/>
      <c r="F133" s="400"/>
      <c r="G133" s="1289"/>
      <c r="H133" s="393"/>
    </row>
    <row r="134" spans="1:8" s="355" customFormat="1">
      <c r="A134" s="1007"/>
      <c r="B134" s="1017"/>
      <c r="C134" s="398"/>
      <c r="D134" s="993"/>
      <c r="E134" s="399"/>
      <c r="F134" s="400"/>
      <c r="G134" s="1289"/>
      <c r="H134" s="393"/>
    </row>
    <row r="135" spans="1:8" s="355" customFormat="1">
      <c r="A135" s="1007"/>
      <c r="B135" s="1017"/>
      <c r="C135" s="398"/>
      <c r="D135" s="993"/>
      <c r="E135" s="399"/>
      <c r="F135" s="400"/>
      <c r="G135" s="1289"/>
      <c r="H135" s="393"/>
    </row>
    <row r="136" spans="1:8" s="355" customFormat="1">
      <c r="A136" s="1007"/>
      <c r="B136" s="1017"/>
      <c r="C136" s="398"/>
      <c r="D136" s="993"/>
      <c r="E136" s="399"/>
      <c r="F136" s="400"/>
      <c r="G136" s="1289"/>
      <c r="H136" s="393"/>
    </row>
    <row r="137" spans="1:8" s="355" customFormat="1">
      <c r="A137" s="1007"/>
      <c r="B137" s="1017"/>
      <c r="C137" s="398"/>
      <c r="D137" s="993"/>
      <c r="E137" s="399"/>
      <c r="F137" s="400"/>
      <c r="G137" s="1289"/>
      <c r="H137" s="393"/>
    </row>
    <row r="138" spans="1:8" s="355" customFormat="1">
      <c r="A138" s="1007"/>
      <c r="B138" s="1017"/>
      <c r="C138" s="398"/>
      <c r="D138" s="993"/>
      <c r="E138" s="399"/>
      <c r="F138" s="400"/>
      <c r="G138" s="1289"/>
      <c r="H138" s="393"/>
    </row>
    <row r="139" spans="1:8" s="355" customFormat="1">
      <c r="A139" s="1007"/>
      <c r="B139" s="1017"/>
      <c r="C139" s="398"/>
      <c r="D139" s="993"/>
      <c r="E139" s="399"/>
      <c r="F139" s="400"/>
      <c r="G139" s="1289"/>
      <c r="H139" s="393"/>
    </row>
    <row r="140" spans="1:8" s="355" customFormat="1">
      <c r="A140" s="1007"/>
      <c r="B140" s="1017"/>
      <c r="C140" s="398"/>
      <c r="D140" s="993"/>
      <c r="E140" s="399"/>
      <c r="F140" s="400"/>
      <c r="G140" s="1289"/>
      <c r="H140" s="393"/>
    </row>
    <row r="141" spans="1:8" s="355" customFormat="1">
      <c r="A141" s="1007"/>
      <c r="B141" s="1017"/>
      <c r="C141" s="398"/>
      <c r="D141" s="993"/>
      <c r="E141" s="399"/>
      <c r="F141" s="400"/>
      <c r="G141" s="1289"/>
      <c r="H141" s="393"/>
    </row>
    <row r="142" spans="1:8" s="355" customFormat="1">
      <c r="A142" s="1007"/>
      <c r="B142" s="1017"/>
      <c r="C142" s="398"/>
      <c r="D142" s="993"/>
      <c r="E142" s="399"/>
      <c r="F142" s="400"/>
      <c r="G142" s="1289"/>
      <c r="H142" s="393"/>
    </row>
    <row r="143" spans="1:8" s="355" customFormat="1">
      <c r="A143" s="1007"/>
      <c r="B143" s="1017"/>
      <c r="C143" s="398"/>
      <c r="D143" s="993"/>
      <c r="E143" s="399"/>
      <c r="F143" s="400"/>
      <c r="G143" s="1289"/>
      <c r="H143" s="393"/>
    </row>
    <row r="144" spans="1:8" s="355" customFormat="1">
      <c r="A144" s="1007"/>
      <c r="B144" s="1017"/>
      <c r="C144" s="398"/>
      <c r="D144" s="993"/>
      <c r="E144" s="399"/>
      <c r="F144" s="400"/>
      <c r="G144" s="1289"/>
      <c r="H144" s="393"/>
    </row>
    <row r="145" spans="1:8" s="355" customFormat="1">
      <c r="A145" s="1007"/>
      <c r="B145" s="1017"/>
      <c r="C145" s="398"/>
      <c r="D145" s="993"/>
      <c r="E145" s="399"/>
      <c r="F145" s="400"/>
      <c r="G145" s="1289"/>
      <c r="H145" s="393"/>
    </row>
    <row r="146" spans="1:8" s="355" customFormat="1">
      <c r="A146" s="1007"/>
      <c r="B146" s="1017"/>
      <c r="C146" s="398"/>
      <c r="D146" s="993"/>
      <c r="E146" s="399"/>
      <c r="F146" s="400"/>
      <c r="G146" s="1289"/>
      <c r="H146" s="393"/>
    </row>
    <row r="147" spans="1:8" s="355" customFormat="1">
      <c r="A147" s="1007"/>
      <c r="B147" s="1017"/>
      <c r="C147" s="398"/>
      <c r="D147" s="993"/>
      <c r="E147" s="399"/>
      <c r="F147" s="400"/>
      <c r="G147" s="1289"/>
      <c r="H147" s="393"/>
    </row>
    <row r="148" spans="1:8" s="355" customFormat="1">
      <c r="A148" s="1007"/>
      <c r="B148" s="1017"/>
      <c r="C148" s="398"/>
      <c r="D148" s="993"/>
      <c r="E148" s="399"/>
      <c r="F148" s="400"/>
      <c r="G148" s="1289"/>
      <c r="H148" s="393"/>
    </row>
    <row r="149" spans="1:8" s="355" customFormat="1">
      <c r="A149" s="1007"/>
      <c r="B149" s="1017"/>
      <c r="C149" s="398"/>
      <c r="D149" s="993"/>
      <c r="E149" s="399"/>
      <c r="F149" s="400"/>
      <c r="G149" s="1289"/>
      <c r="H149" s="393"/>
    </row>
    <row r="150" spans="1:8" s="355" customFormat="1">
      <c r="A150" s="1007"/>
      <c r="B150" s="1017"/>
      <c r="C150" s="398"/>
      <c r="D150" s="993"/>
      <c r="E150" s="399"/>
      <c r="F150" s="400"/>
      <c r="G150" s="1289"/>
      <c r="H150" s="393"/>
    </row>
    <row r="151" spans="1:8" s="355" customFormat="1">
      <c r="A151" s="1007"/>
      <c r="B151" s="1017"/>
      <c r="C151" s="398"/>
      <c r="D151" s="993"/>
      <c r="E151" s="399"/>
      <c r="F151" s="400"/>
      <c r="G151" s="1289"/>
      <c r="H151" s="393"/>
    </row>
    <row r="152" spans="1:8" s="355" customFormat="1">
      <c r="A152" s="1007"/>
      <c r="B152" s="1017"/>
      <c r="C152" s="398"/>
      <c r="D152" s="993"/>
      <c r="E152" s="399"/>
      <c r="F152" s="400"/>
      <c r="G152" s="1289"/>
      <c r="H152" s="393"/>
    </row>
    <row r="153" spans="1:8" s="355" customFormat="1">
      <c r="A153" s="1007"/>
      <c r="B153" s="1017"/>
      <c r="C153" s="398"/>
      <c r="D153" s="993"/>
      <c r="E153" s="399"/>
      <c r="F153" s="400"/>
      <c r="G153" s="1289"/>
      <c r="H153" s="393"/>
    </row>
    <row r="154" spans="1:8" s="355" customFormat="1">
      <c r="A154" s="1007"/>
      <c r="B154" s="1017"/>
      <c r="C154" s="398"/>
      <c r="D154" s="993"/>
      <c r="E154" s="399"/>
      <c r="F154" s="400"/>
      <c r="G154" s="1289"/>
      <c r="H154" s="393"/>
    </row>
    <row r="155" spans="1:8" s="355" customFormat="1">
      <c r="A155" s="1007"/>
      <c r="B155" s="1017"/>
      <c r="C155" s="398"/>
      <c r="D155" s="993"/>
      <c r="E155" s="399"/>
      <c r="F155" s="400"/>
      <c r="G155" s="1289"/>
      <c r="H155" s="393"/>
    </row>
    <row r="156" spans="1:8" s="355" customFormat="1">
      <c r="A156" s="1007"/>
      <c r="B156" s="1017"/>
      <c r="C156" s="398"/>
      <c r="D156" s="993"/>
      <c r="E156" s="399"/>
      <c r="F156" s="400"/>
      <c r="G156" s="1289"/>
      <c r="H156" s="393"/>
    </row>
    <row r="157" spans="1:8" s="355" customFormat="1">
      <c r="A157" s="1007"/>
      <c r="B157" s="1017"/>
      <c r="C157" s="398"/>
      <c r="D157" s="993"/>
      <c r="E157" s="399"/>
      <c r="F157" s="400"/>
      <c r="G157" s="1289"/>
      <c r="H157" s="393"/>
    </row>
    <row r="158" spans="1:8" s="355" customFormat="1">
      <c r="A158" s="1007"/>
      <c r="B158" s="1017"/>
      <c r="C158" s="398"/>
      <c r="D158" s="993"/>
      <c r="E158" s="399"/>
      <c r="F158" s="400"/>
      <c r="G158" s="1289"/>
      <c r="H158" s="393"/>
    </row>
    <row r="159" spans="1:8">
      <c r="A159" s="2229"/>
      <c r="B159" s="428"/>
      <c r="C159" s="502"/>
      <c r="D159" s="429"/>
      <c r="E159" s="428"/>
      <c r="F159" s="432"/>
      <c r="G159" s="431"/>
      <c r="H159" s="2086"/>
    </row>
    <row r="160" spans="1:8">
      <c r="A160" s="799"/>
      <c r="B160" s="316"/>
      <c r="C160" s="490"/>
      <c r="D160" s="491" t="s">
        <v>1026</v>
      </c>
      <c r="E160" s="316"/>
      <c r="F160" s="492"/>
      <c r="G160" s="1019"/>
      <c r="H160" s="1278">
        <f>SUM(H81:H158)</f>
        <v>14670</v>
      </c>
    </row>
    <row r="163" spans="8:8">
      <c r="H163" s="509"/>
    </row>
  </sheetData>
  <sheetProtection algorithmName="SHA-512" hashValue="AoVix4Cb0Q35DizkjxIrmcbh2oPufCoKRHsQ0ZA3K4u7bcmrIDyaEhrOAPWbJWcXCV9oKjhy+A/SCmd4ZJ1pUw==" saltValue="qXKq9MP5VOhW5+82urruLg==" spinCount="100000" sheet="1" objects="1" scenarios="1"/>
  <mergeCells count="1">
    <mergeCell ref="A1:H1"/>
  </mergeCells>
  <phoneticPr fontId="33" type="noConversion"/>
  <pageMargins left="0.59055118110236227" right="0.59055118110236227" top="1.1023622047244095" bottom="0.78740157480314965" header="0.27559055118110237" footer="0.27559055118110237"/>
  <pageSetup paperSize="9" scale="64" firstPageNumber="77" fitToHeight="0" orientation="portrait" useFirstPageNumber="1" r:id="rId1"/>
  <headerFooter alignWithMargins="0">
    <oddHeader>&amp;L&amp;G&amp;CContract JW 14425
Bushkoppie Wastewater Treatment Works:
Infrastructure Renewal Plan
Volume 1 
C 2.2 Bill of Quantities&amp;R&amp;G</oddHeader>
    <oddFooter>&amp;C&amp;12
&amp;G
C.&amp;P</oddFooter>
  </headerFooter>
  <rowBreaks count="1" manualBreakCount="1">
    <brk id="80" max="7"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D2B9B1670C7B4F9A97E3C94A743B92" ma:contentTypeVersion="4" ma:contentTypeDescription="Create a new document." ma:contentTypeScope="" ma:versionID="442a03d785c24826d2cdedbaac791dfd">
  <xsd:schema xmlns:xsd="http://www.w3.org/2001/XMLSchema" xmlns:xs="http://www.w3.org/2001/XMLSchema" xmlns:p="http://schemas.microsoft.com/office/2006/metadata/properties" xmlns:ns2="9989435f-9230-4bdb-a27a-0966cf53854d" targetNamespace="http://schemas.microsoft.com/office/2006/metadata/properties" ma:root="true" ma:fieldsID="747b7748b8ec47b1535598159a7fd038" ns2:_="">
    <xsd:import namespace="9989435f-9230-4bdb-a27a-0966cf5385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9435f-9230-4bdb-a27a-0966cf5385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CB047B-652A-4BF6-A42B-1BD955876C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9435f-9230-4bdb-a27a-0966cf5385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9E533-4936-4018-8544-363F3388BE89}">
  <ds:schemaRefs>
    <ds:schemaRef ds:uri="http://schemas.microsoft.com/sharepoint/v3/contenttype/forms"/>
  </ds:schemaRefs>
</ds:datastoreItem>
</file>

<file path=customXml/itemProps3.xml><?xml version="1.0" encoding="utf-8"?>
<ds:datastoreItem xmlns:ds="http://schemas.openxmlformats.org/officeDocument/2006/customXml" ds:itemID="{05ED147F-CBE3-4FF9-86F0-28869D73A13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62</vt:i4>
      </vt:variant>
    </vt:vector>
  </HeadingPairs>
  <TitlesOfParts>
    <vt:vector size="91" baseType="lpstr">
      <vt:lpstr>Master Rates</vt:lpstr>
      <vt:lpstr>1 - P&amp;G</vt:lpstr>
      <vt:lpstr>2 - ACCESS ROADS</vt:lpstr>
      <vt:lpstr>3 - HoW</vt:lpstr>
      <vt:lpstr>4 - PST's</vt:lpstr>
      <vt:lpstr>5 - Fermenters</vt:lpstr>
      <vt:lpstr>6 - SECONDARY TREATMENT</vt:lpstr>
      <vt:lpstr>7 - WASH WATER</vt:lpstr>
      <vt:lpstr>8 - EMERGENCY DAM</vt:lpstr>
      <vt:lpstr>9 - MECHANICAL EQUIP</vt:lpstr>
      <vt:lpstr>10 - ELECT AND C &amp; I</vt:lpstr>
      <vt:lpstr>9 - LIME PLANT</vt:lpstr>
      <vt:lpstr>10 - MINOR STRUCTURES</vt:lpstr>
      <vt:lpstr>11 - INTERCONNECTING PIPEWORK</vt:lpstr>
      <vt:lpstr>12 - SECURITY UPGRADES</vt:lpstr>
      <vt:lpstr>13 - Mech (HoW)</vt:lpstr>
      <vt:lpstr>14 - Mech (PST's)</vt:lpstr>
      <vt:lpstr>15 - Mech (Fermenters)</vt:lpstr>
      <vt:lpstr>16 - Mech (Sec.Treatm.)</vt:lpstr>
      <vt:lpstr>17 - Mech (Washwater)</vt:lpstr>
      <vt:lpstr>18 - Mech (Lime Plant)</vt:lpstr>
      <vt:lpstr>19 - Electrical (To be Removed)</vt:lpstr>
      <vt:lpstr>19 - Electrical</vt:lpstr>
      <vt:lpstr>20 - C&amp;I</vt:lpstr>
      <vt:lpstr>SUM Certs</vt:lpstr>
      <vt:lpstr>SUM Certs (2)</vt:lpstr>
      <vt:lpstr>Sequencing</vt:lpstr>
      <vt:lpstr>SUMMARY</vt:lpstr>
      <vt:lpstr>CPA calc</vt:lpstr>
      <vt:lpstr>E11kV</vt:lpstr>
      <vt:lpstr>Eclar</vt:lpstr>
      <vt:lpstr>Eexww</vt:lpstr>
      <vt:lpstr>Elime</vt:lpstr>
      <vt:lpstr>Emod1CS</vt:lpstr>
      <vt:lpstr>Emod1FS</vt:lpstr>
      <vt:lpstr>Emod1grit</vt:lpstr>
      <vt:lpstr>Emod2CS</vt:lpstr>
      <vt:lpstr>Emod2grit</vt:lpstr>
      <vt:lpstr>Enewblow</vt:lpstr>
      <vt:lpstr>EnewWW</vt:lpstr>
      <vt:lpstr>Ereact</vt:lpstr>
      <vt:lpstr>Etrash</vt:lpstr>
      <vt:lpstr>Evand</vt:lpstr>
      <vt:lpstr>'1 - P&amp;G'!Print_Area</vt:lpstr>
      <vt:lpstr>'10 - MINOR STRUCTURES'!Print_Area</vt:lpstr>
      <vt:lpstr>'11 - INTERCONNECTING PIPEWORK'!Print_Area</vt:lpstr>
      <vt:lpstr>'12 - SECURITY UPGRADES'!Print_Area</vt:lpstr>
      <vt:lpstr>'13 - Mech (HoW)'!Print_Area</vt:lpstr>
      <vt:lpstr>'14 - Mech (PST''s)'!Print_Area</vt:lpstr>
      <vt:lpstr>'15 - Mech (Fermenters)'!Print_Area</vt:lpstr>
      <vt:lpstr>'16 - Mech (Sec.Treatm.)'!Print_Area</vt:lpstr>
      <vt:lpstr>'17 - Mech (Washwater)'!Print_Area</vt:lpstr>
      <vt:lpstr>'18 - Mech (Lime Plant)'!Print_Area</vt:lpstr>
      <vt:lpstr>'19 - Electrical'!Print_Area</vt:lpstr>
      <vt:lpstr>'19 - Electrical (To be Removed)'!Print_Area</vt:lpstr>
      <vt:lpstr>'2 - ACCESS ROADS'!Print_Area</vt:lpstr>
      <vt:lpstr>'20 - C&amp;I'!Print_Area</vt:lpstr>
      <vt:lpstr>'3 - HoW'!Print_Area</vt:lpstr>
      <vt:lpstr>'4 - PST''s'!Print_Area</vt:lpstr>
      <vt:lpstr>'5 - Fermenters'!Print_Area</vt:lpstr>
      <vt:lpstr>'6 - SECONDARY TREATMENT'!Print_Area</vt:lpstr>
      <vt:lpstr>'7 - WASH WATER'!Print_Area</vt:lpstr>
      <vt:lpstr>'8 - EMERGENCY DAM'!Print_Area</vt:lpstr>
      <vt:lpstr>'9 - LIME PLANT'!Print_Area</vt:lpstr>
      <vt:lpstr>'9 - MECHANICAL EQUIP'!Print_Area</vt:lpstr>
      <vt:lpstr>'CPA calc'!Print_Area</vt:lpstr>
      <vt:lpstr>Sequencing!Print_Area</vt:lpstr>
      <vt:lpstr>SUMMARY!Print_Area</vt:lpstr>
      <vt:lpstr>'1 - P&amp;G'!Print_Titles</vt:lpstr>
      <vt:lpstr>'10 - ELECT AND C &amp; I'!Print_Titles</vt:lpstr>
      <vt:lpstr>'10 - MINOR STRUCTURES'!Print_Titles</vt:lpstr>
      <vt:lpstr>'11 - INTERCONNECTING PIPEWORK'!Print_Titles</vt:lpstr>
      <vt:lpstr>'12 - SECURITY UPGRADES'!Print_Titles</vt:lpstr>
      <vt:lpstr>'13 - Mech (HoW)'!Print_Titles</vt:lpstr>
      <vt:lpstr>'14 - Mech (PST''s)'!Print_Titles</vt:lpstr>
      <vt:lpstr>'15 - Mech (Fermenters)'!Print_Titles</vt:lpstr>
      <vt:lpstr>'16 - Mech (Sec.Treatm.)'!Print_Titles</vt:lpstr>
      <vt:lpstr>'17 - Mech (Washwater)'!Print_Titles</vt:lpstr>
      <vt:lpstr>'18 - Mech (Lime Plant)'!Print_Titles</vt:lpstr>
      <vt:lpstr>'19 - Electrical'!Print_Titles</vt:lpstr>
      <vt:lpstr>'19 - Electrical (To be Removed)'!Print_Titles</vt:lpstr>
      <vt:lpstr>'2 - ACCESS ROADS'!Print_Titles</vt:lpstr>
      <vt:lpstr>'20 - C&amp;I'!Print_Titles</vt:lpstr>
      <vt:lpstr>'3 - HoW'!Print_Titles</vt:lpstr>
      <vt:lpstr>'4 - PST''s'!Print_Titles</vt:lpstr>
      <vt:lpstr>'5 - Fermenters'!Print_Titles</vt:lpstr>
      <vt:lpstr>'6 - SECONDARY TREATMENT'!Print_Titles</vt:lpstr>
      <vt:lpstr>'7 - WASH WATER'!Print_Titles</vt:lpstr>
      <vt:lpstr>'8 - EMERGENCY DAM'!Print_Titles</vt:lpstr>
      <vt:lpstr>'9 - LIME PLANT'!Print_Titles</vt:lpstr>
      <vt:lpstr>'9 - MECHANICAL EQUIP'!Print_Titles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dc:creator>
  <cp:keywords/>
  <dc:description/>
  <cp:lastModifiedBy>Gcina Ndela</cp:lastModifiedBy>
  <cp:revision/>
  <dcterms:created xsi:type="dcterms:W3CDTF">2014-08-20T13:28:10Z</dcterms:created>
  <dcterms:modified xsi:type="dcterms:W3CDTF">2025-04-30T12:40:32Z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0x0101009AD2B9B1670C7B4F9A97E3C94A743B92</vt:lpwstr>
  </property>
</Properties>
</file>