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7.xml" ContentType="application/vnd.openxmlformats-officedocument.drawing+xml"/>
  <Override PartName="/xl/drawings/drawing8.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drawings/drawing9.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threadedComments/threadedComment4.xml" ContentType="application/vnd.ms-excel.threadedcomments+xml"/>
  <Override PartName="/xl/comments6.xml" ContentType="application/vnd.openxmlformats-officedocument.spreadsheetml.comments+xml"/>
  <Override PartName="/xl/threadedComments/threadedComment5.xml" ContentType="application/vnd.ms-excel.threadedcomments+xml"/>
  <Override PartName="/xl/drawings/drawing10.xml" ContentType="application/vnd.openxmlformats-officedocument.drawing+xml"/>
  <Override PartName="/xl/comments7.xml" ContentType="application/vnd.openxmlformats-officedocument.spreadsheetml.comments+xml"/>
  <Override PartName="/xl/threadedComments/threadedComment6.xml" ContentType="application/vnd.ms-excel.threadedcomments+xml"/>
  <Override PartName="/xl/comments8.xml" ContentType="application/vnd.openxmlformats-officedocument.spreadsheetml.comments+xml"/>
  <Override PartName="/xl/threadedComments/threadedComment7.xml" ContentType="application/vnd.ms-excel.threadedcomments+xml"/>
  <Override PartName="/xl/comments9.xml" ContentType="application/vnd.openxmlformats-officedocument.spreadsheetml.comments+xml"/>
  <Override PartName="/xl/threadedComments/threadedComment8.xml" ContentType="application/vnd.ms-excel.threadedcomments+xml"/>
  <Override PartName="/xl/comments10.xml" ContentType="application/vnd.openxmlformats-officedocument.spreadsheetml.comments+xml"/>
  <Override PartName="/xl/threadedComments/threadedComment9.xml" ContentType="application/vnd.ms-excel.threadedcomments+xml"/>
  <Override PartName="/xl/comments11.xml" ContentType="application/vnd.openxmlformats-officedocument.spreadsheetml.comments+xml"/>
  <Override PartName="/xl/threadedComments/threadedComment10.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Z:\DEMAND TENDER ADMINISTRATOR FILES\2023 FILES\TENDER DOCUMENTS\"/>
    </mc:Choice>
  </mc:AlternateContent>
  <xr:revisionPtr revIDLastSave="0" documentId="8_{83C56310-C279-4EA5-B90F-1AFDBFB2D130}" xr6:coauthVersionLast="47" xr6:coauthVersionMax="47" xr10:uidLastSave="{00000000-0000-0000-0000-000000000000}"/>
  <bookViews>
    <workbookView xWindow="-120" yWindow="-120" windowWidth="20730" windowHeight="11160" tabRatio="810" firstSheet="18" activeTab="21" xr2:uid="{28E09CA0-9797-4AC7-B8E0-2FF349FFD450}"/>
  </bookViews>
  <sheets>
    <sheet name="Summary Sheet(OLD)" sheetId="16" state="hidden" r:id="rId1"/>
    <sheet name="Fee Calc" sheetId="17" state="hidden" r:id="rId2"/>
    <sheet name="PS - SCOUR PIPE DETAIL" sheetId="26" state="hidden" r:id="rId3"/>
    <sheet name="PS - OVERFLOW PIPING" sheetId="25" state="hidden" r:id="rId4"/>
    <sheet name="PS- DRAIN PIPING" sheetId="29" state="hidden" r:id="rId5"/>
    <sheet name="PS- VALVE BUILDING" sheetId="28" state="hidden" r:id="rId6"/>
    <sheet name="PS- SCOURBOX " sheetId="27" state="hidden" r:id="rId7"/>
    <sheet name="PS - FLOW CHAMBERS" sheetId="30" state="hidden" r:id="rId8"/>
    <sheet name="Pipe Schedule00" sheetId="23" state="hidden" r:id="rId9"/>
    <sheet name="Pipe Schedule" sheetId="32" r:id="rId10"/>
    <sheet name="1. P&amp;G" sheetId="1" r:id="rId11"/>
    <sheet name="Master Rates" sheetId="10" state="hidden" r:id="rId12"/>
    <sheet name="2. Site Prep &amp; Fencing " sheetId="20" r:id="rId13"/>
    <sheet name="3. Roads &amp; Stormwater" sheetId="21" r:id="rId14"/>
    <sheet name="4.Reservoir" sheetId="6" r:id="rId15"/>
    <sheet name="6.Interconnecting Pipework (2)" sheetId="22" state="hidden" r:id="rId16"/>
    <sheet name="5.Chambers &amp; Boxes" sheetId="4" r:id="rId17"/>
    <sheet name="6.Interconnecting Pipework" sheetId="5" r:id="rId18"/>
    <sheet name="7. Guard House" sheetId="14" r:id="rId19"/>
    <sheet name="8. Telemetry Hut" sheetId="15" r:id="rId20"/>
    <sheet name="9. Valve Building" sheetId="19" r:id="rId21"/>
    <sheet name="10. ElectricaI and C&amp;I" sheetId="35" r:id="rId22"/>
    <sheet name="Summary" sheetId="33" r:id="rId23"/>
    <sheet name="Sheet1" sheetId="11" state="hidden" r:id="rId24"/>
  </sheets>
  <externalReferences>
    <externalReference r:id="rId25"/>
  </externalReferences>
  <definedNames>
    <definedName name="_Key1" localSheetId="21" hidden="1">#REF!</definedName>
    <definedName name="_Key1" hidden="1">#REF!</definedName>
    <definedName name="_Order1" hidden="1">0</definedName>
    <definedName name="_Order2" hidden="1">0</definedName>
    <definedName name="_SEC1200" localSheetId="21">#REF!</definedName>
    <definedName name="_SEC1200">#REF!</definedName>
    <definedName name="_Sort" hidden="1">#REF!</definedName>
    <definedName name="HEINZ">#REF!</definedName>
    <definedName name="Items_01">#REF!</definedName>
    <definedName name="_xlnm.Print_Area" localSheetId="10">'1. P&amp;G'!$A$1:$G$383</definedName>
    <definedName name="_xlnm.Print_Area" localSheetId="21">'10. ElectricaI and C&amp;I'!$A$1:$G$500</definedName>
    <definedName name="_xlnm.Print_Area" localSheetId="12">'2. Site Prep &amp; Fencing '!$A$1:$J$163</definedName>
    <definedName name="_xlnm.Print_Area" localSheetId="13">'3. Roads &amp; Stormwater'!$A$1:$G$234</definedName>
    <definedName name="_xlnm.Print_Area" localSheetId="14">'4.Reservoir'!$A$1:$G$300</definedName>
    <definedName name="_xlnm.Print_Area" localSheetId="16">'5.Chambers &amp; Boxes'!$A$1:$G$560</definedName>
    <definedName name="_xlnm.Print_Area" localSheetId="17">'6.Interconnecting Pipework'!$A$1:$K$230</definedName>
    <definedName name="_xlnm.Print_Area" localSheetId="15">'6.Interconnecting Pipework (2)'!$A$1:$G$538</definedName>
    <definedName name="_xlnm.Print_Area" localSheetId="18">'7. Guard House'!$A$1:$H$154</definedName>
    <definedName name="_xlnm.Print_Area" localSheetId="19">'8. Telemetry Hut'!$A$1:$G$154</definedName>
    <definedName name="_xlnm.Print_Area" localSheetId="20">'9. Valve Building'!$A$1:$G$233</definedName>
    <definedName name="_xlnm.Print_Area" localSheetId="9">'Pipe Schedule'!$A$1:$H$142</definedName>
    <definedName name="_xlnm.Print_Area" localSheetId="8">'Pipe Schedule00'!$A$1:$H$309</definedName>
    <definedName name="_xlnm.Print_Area" localSheetId="7">'PS - FLOW CHAMBERS'!$A$1:$H$49</definedName>
    <definedName name="_xlnm.Print_Area" localSheetId="3">'PS - OVERFLOW PIPING'!$A$1:$H$15</definedName>
    <definedName name="_xlnm.Print_Area" localSheetId="2">'PS - SCOUR PIPE DETAIL'!$A$1:$H$14</definedName>
    <definedName name="_xlnm.Print_Area" localSheetId="4">'PS- DRAIN PIPING'!$A$1:$H$17</definedName>
    <definedName name="_xlnm.Print_Area" localSheetId="6">'PS- SCOURBOX '!$A$1:$H$19</definedName>
    <definedName name="_xlnm.Print_Area" localSheetId="5">'PS- VALVE BUILDING'!$A$1:$H$50</definedName>
    <definedName name="_xlnm.Print_Area" localSheetId="22">Summary!$A$1:$D$36</definedName>
    <definedName name="_xlnm.Print_Titles" localSheetId="10">'1. P&amp;G'!$1:$3</definedName>
    <definedName name="_xlnm.Print_Titles" localSheetId="21">'10. ElectricaI and C&amp;I'!$1:$4</definedName>
    <definedName name="_xlnm.Print_Titles" localSheetId="12">'2. Site Prep &amp; Fencing '!$1:$3</definedName>
    <definedName name="_xlnm.Print_Titles" localSheetId="13">'3. Roads &amp; Stormwater'!$1:$3</definedName>
    <definedName name="_xlnm.Print_Titles" localSheetId="14">'4.Reservoir'!$1:$4</definedName>
    <definedName name="_xlnm.Print_Titles" localSheetId="16">'5.Chambers &amp; Boxes'!$1:$4</definedName>
    <definedName name="_xlnm.Print_Titles" localSheetId="17">'6.Interconnecting Pipework'!$1:$4</definedName>
    <definedName name="_xlnm.Print_Titles" localSheetId="15">'6.Interconnecting Pipework (2)'!$1:$8</definedName>
    <definedName name="_xlnm.Print_Titles" localSheetId="18">'7. Guard House'!$1:$4</definedName>
    <definedName name="_xlnm.Print_Titles" localSheetId="19">'8. Telemetry Hut'!$1:$4</definedName>
    <definedName name="_xlnm.Print_Titles" localSheetId="20">'9. Valve Building'!$1:$4</definedName>
    <definedName name="_xlnm.Print_Titles" localSheetId="9">'Pipe Schedule'!$1:$3</definedName>
    <definedName name="_xlnm.Print_Titles" localSheetId="8">'Pipe Schedule00'!$1:$10</definedName>
    <definedName name="_xlnm.Print_Titles" localSheetId="7">'PS - FLOW CHAMBERS'!$1:$10</definedName>
    <definedName name="_xlnm.Print_Titles" localSheetId="3">'PS - OVERFLOW PIPING'!$1:$10</definedName>
    <definedName name="_xlnm.Print_Titles" localSheetId="2">'PS - SCOUR PIPE DETAIL'!$1:$10</definedName>
    <definedName name="_xlnm.Print_Titles" localSheetId="4">'PS- DRAIN PIPING'!$1:$10</definedName>
    <definedName name="_xlnm.Print_Titles" localSheetId="6">'PS- SCOURBOX '!$1:$10</definedName>
    <definedName name="_xlnm.Print_Titles" localSheetId="5">'PS- VALVE BUILDING'!$1:$10</definedName>
    <definedName name="_xlnm.Print_Titles" localSheetId="22">Summary!$1:$2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8" i="33" l="1"/>
  <c r="D28" i="33" s="1"/>
  <c r="D30" i="33" s="1"/>
  <c r="D34" i="33"/>
  <c r="H22" i="32"/>
  <c r="H21" i="32"/>
  <c r="H20" i="32"/>
  <c r="H19" i="32"/>
  <c r="H18" i="32"/>
  <c r="H17" i="32"/>
  <c r="H14" i="32"/>
  <c r="H13" i="32"/>
  <c r="H9" i="32"/>
  <c r="H10" i="32"/>
  <c r="H8" i="32"/>
  <c r="E64" i="6"/>
  <c r="E62" i="6"/>
  <c r="E172" i="21" l="1"/>
  <c r="E410" i="35"/>
  <c r="E406" i="35"/>
  <c r="G333" i="1"/>
  <c r="F239" i="1" l="1"/>
  <c r="G239" i="1" s="1"/>
  <c r="F216" i="1"/>
  <c r="E473" i="4"/>
  <c r="E469" i="4"/>
  <c r="E467" i="4"/>
  <c r="E457" i="4"/>
  <c r="E455" i="4"/>
  <c r="E453" i="4"/>
  <c r="E451" i="4"/>
  <c r="E449" i="4"/>
  <c r="E437" i="4"/>
  <c r="E417" i="4"/>
  <c r="E369" i="4"/>
  <c r="E264" i="4"/>
  <c r="E204" i="4"/>
  <c r="E184" i="4"/>
  <c r="E178" i="4"/>
  <c r="E180" i="4" s="1"/>
  <c r="E174" i="4"/>
  <c r="E99" i="4"/>
  <c r="E221" i="6"/>
  <c r="E219" i="6"/>
  <c r="E213" i="6"/>
  <c r="E207" i="6"/>
  <c r="E205" i="6"/>
  <c r="E197" i="6"/>
  <c r="E189" i="6"/>
  <c r="E187" i="6"/>
  <c r="E181" i="6"/>
  <c r="E179" i="6"/>
  <c r="E177" i="6"/>
  <c r="E169" i="6"/>
  <c r="E165" i="6"/>
  <c r="E146" i="6"/>
  <c r="E144" i="6"/>
  <c r="E142" i="6"/>
  <c r="E138" i="6"/>
  <c r="E136" i="6"/>
  <c r="E134" i="6"/>
  <c r="E124" i="6"/>
  <c r="E122" i="6"/>
  <c r="E120" i="6"/>
  <c r="E116" i="6"/>
  <c r="E114" i="6"/>
  <c r="E108" i="6"/>
  <c r="E102" i="6"/>
  <c r="E100" i="6"/>
  <c r="E98" i="6"/>
  <c r="E86" i="6"/>
  <c r="E178" i="21"/>
  <c r="E170" i="21"/>
  <c r="E174" i="21" s="1"/>
  <c r="E176" i="21" s="1"/>
  <c r="E149" i="21"/>
  <c r="I143" i="21"/>
  <c r="E143" i="21"/>
  <c r="I142" i="21"/>
  <c r="E117" i="21"/>
  <c r="E115" i="21"/>
  <c r="E87" i="21"/>
  <c r="E67" i="21"/>
  <c r="K65" i="21"/>
  <c r="J65" i="21"/>
  <c r="H63" i="21"/>
  <c r="I63" i="21" s="1"/>
  <c r="L65" i="21" l="1"/>
  <c r="E54" i="6"/>
  <c r="E14" i="6"/>
  <c r="E74" i="6"/>
  <c r="E26" i="6"/>
  <c r="G216" i="1" l="1"/>
  <c r="E112" i="35"/>
  <c r="E108" i="35"/>
  <c r="E394" i="35"/>
  <c r="E398" i="35"/>
  <c r="F237" i="1" l="1"/>
  <c r="F235" i="1"/>
  <c r="F212" i="1"/>
  <c r="E241" i="1" l="1"/>
  <c r="E64" i="19" l="1"/>
  <c r="E66" i="19"/>
  <c r="E68" i="19"/>
  <c r="E70" i="19"/>
  <c r="E90" i="19"/>
  <c r="E98" i="19"/>
  <c r="E132" i="19"/>
  <c r="E130" i="19"/>
  <c r="E128" i="19"/>
  <c r="E70" i="35"/>
  <c r="E66" i="35"/>
  <c r="E62" i="35"/>
  <c r="E58" i="35"/>
  <c r="G237" i="1" l="1"/>
  <c r="G235" i="1"/>
  <c r="G212" i="1" l="1"/>
  <c r="E33" i="20" l="1"/>
  <c r="E31" i="20"/>
  <c r="E104" i="5" l="1"/>
  <c r="E102" i="5"/>
  <c r="E98" i="5"/>
  <c r="E96" i="5"/>
  <c r="E28" i="5"/>
  <c r="E53" i="21"/>
  <c r="E531" i="4" l="1"/>
  <c r="E527" i="4"/>
  <c r="E521" i="4"/>
  <c r="E517" i="4"/>
  <c r="E511" i="4"/>
  <c r="E509" i="4"/>
  <c r="E507" i="4"/>
  <c r="E505" i="4"/>
  <c r="E501" i="4"/>
  <c r="E497" i="4"/>
  <c r="E491" i="4"/>
  <c r="E485" i="4"/>
  <c r="C106" i="10"/>
  <c r="E487" i="4" l="1"/>
  <c r="E112" i="15"/>
  <c r="E106" i="15"/>
  <c r="E100" i="14"/>
  <c r="E94" i="14"/>
  <c r="E317" i="1" l="1"/>
  <c r="E315" i="1"/>
  <c r="E313" i="1"/>
  <c r="E295" i="1"/>
  <c r="E293" i="1"/>
  <c r="E297" i="1"/>
  <c r="E58" i="19" l="1"/>
  <c r="E183" i="19"/>
  <c r="E179" i="19"/>
  <c r="E148" i="19"/>
  <c r="E146" i="19"/>
  <c r="E140" i="19"/>
  <c r="E138" i="19"/>
  <c r="E134" i="19"/>
  <c r="E126" i="19"/>
  <c r="E122" i="19"/>
  <c r="E120" i="19"/>
  <c r="E118" i="19"/>
  <c r="E116" i="19"/>
  <c r="E112" i="19"/>
  <c r="E108" i="19"/>
  <c r="E104" i="19"/>
  <c r="E36" i="15" l="1"/>
  <c r="E87" i="20"/>
  <c r="E120" i="14"/>
  <c r="E122" i="14"/>
  <c r="E124" i="15"/>
  <c r="E126" i="14"/>
  <c r="E132" i="14"/>
  <c r="E130" i="14"/>
  <c r="E120" i="15"/>
  <c r="E98" i="15"/>
  <c r="E104" i="15"/>
  <c r="E118" i="15"/>
  <c r="E60" i="15"/>
  <c r="E72" i="15"/>
  <c r="H72" i="15"/>
  <c r="E92" i="15"/>
  <c r="E88" i="15"/>
  <c r="E86" i="15"/>
  <c r="E76" i="15"/>
  <c r="E22" i="15"/>
  <c r="E14" i="15"/>
  <c r="E20" i="15"/>
  <c r="E64" i="15"/>
  <c r="E163" i="5"/>
  <c r="E161" i="5"/>
  <c r="E138" i="5"/>
  <c r="E136" i="5"/>
  <c r="E40" i="5"/>
  <c r="C8" i="16"/>
  <c r="E292" i="4"/>
  <c r="E282" i="4"/>
  <c r="E383" i="4"/>
  <c r="E288" i="4"/>
  <c r="E312" i="4"/>
  <c r="E47" i="4"/>
  <c r="E45" i="4"/>
  <c r="E63" i="4"/>
  <c r="E77" i="4"/>
  <c r="E82" i="4"/>
  <c r="E41" i="20" l="1"/>
  <c r="E51" i="20" s="1"/>
  <c r="H39" i="20"/>
  <c r="E55" i="20" l="1"/>
  <c r="E59" i="20"/>
  <c r="E63" i="20"/>
  <c r="E61" i="20"/>
  <c r="E49" i="20"/>
  <c r="E45" i="20"/>
  <c r="E9" i="20" l="1"/>
  <c r="E27" i="20" l="1"/>
  <c r="E15" i="21" l="1"/>
  <c r="H38" i="30" l="1"/>
  <c r="H11" i="30"/>
  <c r="G13" i="30"/>
  <c r="H13" i="30" s="1"/>
  <c r="H19" i="30"/>
  <c r="H22" i="30"/>
  <c r="H27" i="30"/>
  <c r="H31" i="30"/>
  <c r="H33" i="30"/>
  <c r="H34" i="30"/>
  <c r="H40" i="30" s="1"/>
  <c r="H48" i="30" s="1"/>
  <c r="H35" i="30"/>
  <c r="H36" i="30"/>
  <c r="H42" i="30"/>
  <c r="H43" i="30"/>
  <c r="H45" i="30"/>
  <c r="H46" i="30"/>
  <c r="H47" i="30"/>
  <c r="H14" i="29"/>
  <c r="H16" i="29"/>
  <c r="H47" i="28"/>
  <c r="H39" i="28"/>
  <c r="H37" i="28"/>
  <c r="G36" i="28"/>
  <c r="H36" i="28" s="1"/>
  <c r="H35" i="28"/>
  <c r="H34" i="28"/>
  <c r="H33" i="28"/>
  <c r="H29" i="28"/>
  <c r="H27" i="28"/>
  <c r="G21" i="28"/>
  <c r="H21" i="28" s="1"/>
  <c r="H20" i="28"/>
  <c r="H18" i="28"/>
  <c r="H16" i="28"/>
  <c r="H15" i="28"/>
  <c r="H13" i="28"/>
  <c r="H11" i="28"/>
  <c r="H17" i="27"/>
  <c r="H16" i="27"/>
  <c r="H14" i="27"/>
  <c r="H13" i="27"/>
  <c r="H12" i="27"/>
  <c r="H11" i="27"/>
  <c r="H13" i="26"/>
  <c r="H14" i="25"/>
  <c r="E54" i="14"/>
  <c r="H23" i="30" l="1"/>
  <c r="H25" i="30" s="1"/>
  <c r="H23" i="28"/>
  <c r="H18" i="27"/>
  <c r="H25" i="28" l="1"/>
  <c r="H43" i="28" s="1"/>
  <c r="E14" i="19"/>
  <c r="E16" i="19"/>
  <c r="H45" i="28" l="1"/>
  <c r="H49" i="28" s="1"/>
  <c r="E16" i="5"/>
  <c r="E51" i="4"/>
  <c r="E37" i="4"/>
  <c r="E39" i="4"/>
  <c r="E23" i="4"/>
  <c r="E21" i="4"/>
  <c r="E17" i="4"/>
  <c r="E15" i="4"/>
  <c r="E152" i="6"/>
  <c r="E68" i="6"/>
  <c r="E66" i="6"/>
  <c r="E60" i="6"/>
  <c r="E58" i="6"/>
  <c r="E52" i="6"/>
  <c r="E11" i="20"/>
  <c r="E53" i="4" l="1"/>
  <c r="E54" i="19"/>
  <c r="H54" i="19"/>
  <c r="H52" i="19"/>
  <c r="E58" i="14"/>
  <c r="E89" i="20" l="1"/>
  <c r="E169" i="19"/>
  <c r="H133" i="19"/>
  <c r="H126" i="19"/>
  <c r="H122" i="19"/>
  <c r="H120" i="19"/>
  <c r="H118" i="19"/>
  <c r="H116" i="19"/>
  <c r="H93" i="19"/>
  <c r="H90" i="19"/>
  <c r="H88" i="19"/>
  <c r="H86" i="19"/>
  <c r="H84" i="19"/>
  <c r="H72" i="19"/>
  <c r="H70" i="19"/>
  <c r="H68" i="19"/>
  <c r="H66" i="19"/>
  <c r="H58" i="19"/>
  <c r="H60" i="19"/>
  <c r="E56" i="19"/>
  <c r="H14" i="23" l="1"/>
  <c r="H71" i="23" s="1"/>
  <c r="E70" i="14"/>
  <c r="E36" i="14"/>
  <c r="E108" i="5"/>
  <c r="E36" i="5"/>
  <c r="E34" i="5"/>
  <c r="E20" i="5"/>
  <c r="E18" i="5"/>
  <c r="E133" i="4"/>
  <c r="E135" i="4"/>
  <c r="E137" i="4"/>
  <c r="E387" i="4"/>
  <c r="E139" i="4" l="1"/>
  <c r="E389" i="4"/>
  <c r="E24" i="6" l="1"/>
  <c r="E17" i="20" l="1"/>
  <c r="E19" i="21"/>
  <c r="E42" i="14" l="1"/>
  <c r="H129" i="23" l="1"/>
  <c r="H128" i="23"/>
  <c r="H127" i="23"/>
  <c r="H112" i="23"/>
  <c r="G115" i="23" l="1"/>
  <c r="H115" i="23" s="1"/>
  <c r="H114" i="23"/>
  <c r="H121" i="23"/>
  <c r="H209" i="23"/>
  <c r="H257" i="23"/>
  <c r="H254" i="23"/>
  <c r="H240" i="23"/>
  <c r="H250" i="23"/>
  <c r="H274" i="23"/>
  <c r="H273" i="23"/>
  <c r="H271" i="23"/>
  <c r="H262" i="23"/>
  <c r="H85" i="23"/>
  <c r="H144" i="23"/>
  <c r="H133" i="23"/>
  <c r="H105" i="23"/>
  <c r="G225" i="23"/>
  <c r="H225" i="23" s="1"/>
  <c r="H214" i="23"/>
  <c r="H123" i="23"/>
  <c r="H131" i="23"/>
  <c r="H256" i="23"/>
  <c r="H237" i="23"/>
  <c r="H270" i="23"/>
  <c r="H261" i="23"/>
  <c r="H83" i="23"/>
  <c r="H82" i="23"/>
  <c r="H81" i="23"/>
  <c r="H80" i="23"/>
  <c r="H275" i="23"/>
  <c r="G130" i="23"/>
  <c r="H130" i="23" s="1"/>
  <c r="H109" i="23"/>
  <c r="H86" i="23"/>
  <c r="H110" i="23"/>
  <c r="H107" i="23"/>
  <c r="H99" i="23" l="1"/>
  <c r="H101" i="23" s="1"/>
  <c r="H116" i="23" s="1"/>
  <c r="H118" i="23" l="1"/>
  <c r="H138" i="23" s="1"/>
  <c r="H140" i="23" s="1"/>
  <c r="H200" i="23" l="1"/>
  <c r="H202" i="23" s="1"/>
  <c r="H217" i="23" l="1"/>
  <c r="H221" i="23" s="1"/>
  <c r="H244" i="23" s="1"/>
  <c r="H246" i="23" s="1"/>
  <c r="H266" i="23" s="1"/>
  <c r="F521" i="22" l="1"/>
  <c r="G521" i="22" s="1"/>
  <c r="G517" i="22"/>
  <c r="F517" i="22"/>
  <c r="F513" i="22"/>
  <c r="G513" i="22" s="1"/>
  <c r="G509" i="22"/>
  <c r="G503" i="22"/>
  <c r="G499" i="22"/>
  <c r="G495" i="22"/>
  <c r="G486" i="22"/>
  <c r="G484" i="22"/>
  <c r="G473" i="22"/>
  <c r="G469" i="22"/>
  <c r="G465" i="22"/>
  <c r="G461" i="22"/>
  <c r="G459" i="22"/>
  <c r="G457" i="22"/>
  <c r="G455" i="22"/>
  <c r="G437" i="22"/>
  <c r="G433" i="22"/>
  <c r="G429" i="22"/>
  <c r="G425" i="22"/>
  <c r="G423" i="22"/>
  <c r="G421" i="22"/>
  <c r="G410" i="22"/>
  <c r="G406" i="22"/>
  <c r="G404" i="22"/>
  <c r="G402" i="22"/>
  <c r="G391" i="22"/>
  <c r="G389" i="22"/>
  <c r="G385" i="22"/>
  <c r="G381" i="22"/>
  <c r="G379" i="22"/>
  <c r="G377" i="22"/>
  <c r="G375" i="22"/>
  <c r="G373" i="22"/>
  <c r="G371" i="22"/>
  <c r="G360" i="22"/>
  <c r="G356" i="22"/>
  <c r="G354" i="22"/>
  <c r="G347" i="22"/>
  <c r="G343" i="22"/>
  <c r="G339" i="22"/>
  <c r="G337" i="22"/>
  <c r="G333" i="22"/>
  <c r="G329" i="22"/>
  <c r="G327" i="22"/>
  <c r="G325" i="22"/>
  <c r="G323" i="22"/>
  <c r="G321" i="22"/>
  <c r="G319" i="22"/>
  <c r="G317" i="22"/>
  <c r="G315" i="22"/>
  <c r="G298" i="22"/>
  <c r="G294" i="22"/>
  <c r="G290" i="22"/>
  <c r="G286" i="22"/>
  <c r="G284" i="22"/>
  <c r="G282" i="22"/>
  <c r="G280" i="22"/>
  <c r="F280" i="22"/>
  <c r="G278" i="22"/>
  <c r="G267" i="22"/>
  <c r="G263" i="22"/>
  <c r="G255" i="22"/>
  <c r="G253" i="22"/>
  <c r="G251" i="22"/>
  <c r="G240" i="22"/>
  <c r="G236" i="22"/>
  <c r="G232" i="22"/>
  <c r="G230" i="22"/>
  <c r="G228" i="22"/>
  <c r="G217" i="22"/>
  <c r="G213" i="22"/>
  <c r="G203" i="22"/>
  <c r="G199" i="22"/>
  <c r="G191" i="22"/>
  <c r="G187" i="22"/>
  <c r="G183" i="22"/>
  <c r="G179" i="22"/>
  <c r="G177" i="22"/>
  <c r="G173" i="22"/>
  <c r="G169" i="22"/>
  <c r="G165" i="22"/>
  <c r="G161" i="22"/>
  <c r="G151" i="22"/>
  <c r="G147" i="22"/>
  <c r="G145" i="22"/>
  <c r="G143" i="22"/>
  <c r="G141" i="22"/>
  <c r="G130" i="22"/>
  <c r="G126" i="22"/>
  <c r="G122" i="22"/>
  <c r="G118" i="22"/>
  <c r="G114" i="22"/>
  <c r="G110" i="22"/>
  <c r="G100" i="22"/>
  <c r="G96" i="22"/>
  <c r="G92" i="22"/>
  <c r="G90" i="22"/>
  <c r="G88" i="22"/>
  <c r="G86" i="22"/>
  <c r="F75" i="22"/>
  <c r="G75" i="22" s="1"/>
  <c r="E75" i="22"/>
  <c r="F71" i="22"/>
  <c r="G71" i="22" s="1"/>
  <c r="G69" i="22"/>
  <c r="F69" i="22"/>
  <c r="F67" i="22"/>
  <c r="G67" i="22" s="1"/>
  <c r="F65" i="22"/>
  <c r="G65" i="22" s="1"/>
  <c r="F63" i="22"/>
  <c r="G63" i="22" s="1"/>
  <c r="E63" i="22"/>
  <c r="G59" i="22"/>
  <c r="G51" i="22"/>
  <c r="G47" i="22"/>
  <c r="G45" i="22"/>
  <c r="F39" i="22"/>
  <c r="E39" i="22"/>
  <c r="G39" i="22" s="1"/>
  <c r="F37" i="22"/>
  <c r="E37" i="22"/>
  <c r="G37" i="22" s="1"/>
  <c r="G32" i="22"/>
  <c r="E30" i="22"/>
  <c r="G30" i="22" s="1"/>
  <c r="G28" i="22"/>
  <c r="E28" i="22"/>
  <c r="E26" i="22"/>
  <c r="G26" i="22" s="1"/>
  <c r="G22" i="22"/>
  <c r="E22" i="22"/>
  <c r="E20" i="22"/>
  <c r="G20" i="22" s="1"/>
  <c r="G18" i="22"/>
  <c r="G55" i="22" s="1"/>
  <c r="G56" i="22" s="1"/>
  <c r="E18" i="22"/>
  <c r="F34" i="17"/>
  <c r="F33" i="17"/>
  <c r="G105" i="22" l="1"/>
  <c r="G106" i="22" s="1"/>
  <c r="G156" i="22" s="1"/>
  <c r="G157" i="22" s="1"/>
  <c r="G210" i="22" s="1"/>
  <c r="G211" i="22" s="1"/>
  <c r="G258" i="22" s="1"/>
  <c r="G259" i="22" s="1"/>
  <c r="G305" i="22" s="1"/>
  <c r="G306" i="22" s="1"/>
  <c r="G351" i="22" s="1"/>
  <c r="G352" i="22" s="1"/>
  <c r="G398" i="22" s="1"/>
  <c r="G399" i="22" s="1"/>
  <c r="G447" i="22" s="1"/>
  <c r="G448" i="22" s="1"/>
  <c r="G490" i="22" s="1"/>
  <c r="G491" i="22" s="1"/>
  <c r="G538" i="22" s="1"/>
  <c r="E133" i="21" l="1"/>
  <c r="E135" i="21" l="1"/>
  <c r="E139" i="21" s="1"/>
  <c r="L83" i="20" l="1"/>
  <c r="H83" i="20"/>
  <c r="H84" i="20"/>
  <c r="H86" i="20"/>
  <c r="H87" i="20"/>
  <c r="H90" i="20"/>
  <c r="L90" i="20" s="1"/>
  <c r="H91" i="20"/>
  <c r="E22" i="19" l="1"/>
  <c r="E24" i="19"/>
  <c r="F32" i="17" l="1"/>
  <c r="F31" i="17"/>
  <c r="F30" i="17"/>
  <c r="F27" i="17"/>
  <c r="F35" i="17" l="1"/>
  <c r="O78" i="10" l="1"/>
  <c r="O77" i="10"/>
  <c r="O74" i="10"/>
  <c r="O72" i="10"/>
  <c r="O69" i="10"/>
  <c r="O68" i="10"/>
  <c r="O66" i="10"/>
  <c r="O65" i="10"/>
  <c r="O60" i="10"/>
  <c r="O59" i="10"/>
  <c r="O56" i="10"/>
  <c r="O55" i="10"/>
  <c r="O54" i="10"/>
  <c r="O51" i="10"/>
  <c r="O50" i="10"/>
  <c r="O47" i="10"/>
  <c r="O46" i="10"/>
  <c r="O45" i="10"/>
  <c r="O42" i="10"/>
  <c r="O22" i="10"/>
  <c r="O21" i="10"/>
  <c r="K83" i="10"/>
  <c r="K82" i="10"/>
  <c r="K81" i="10"/>
  <c r="K80" i="10"/>
  <c r="K79" i="10"/>
  <c r="K78" i="10"/>
  <c r="K75" i="10"/>
  <c r="K73" i="10"/>
  <c r="K71" i="10"/>
  <c r="K70" i="10"/>
  <c r="K67" i="10"/>
  <c r="K66" i="10"/>
  <c r="K63" i="10"/>
  <c r="K62" i="10"/>
  <c r="K58" i="10"/>
  <c r="K50" i="10"/>
  <c r="K43" i="10"/>
  <c r="K41" i="10"/>
  <c r="K31" i="10"/>
  <c r="K26" i="10"/>
  <c r="K22" i="10"/>
  <c r="K16" i="10"/>
  <c r="K7" i="10"/>
  <c r="I66" i="15"/>
  <c r="E48" i="15"/>
  <c r="E46" i="15"/>
  <c r="E42" i="15"/>
  <c r="J34" i="15"/>
  <c r="J35" i="15" s="1"/>
  <c r="K28" i="15"/>
  <c r="E14" i="14"/>
  <c r="E48" i="14"/>
  <c r="E78" i="14"/>
  <c r="E92" i="14"/>
  <c r="J11" i="11" l="1"/>
  <c r="I11" i="11"/>
  <c r="M4" i="11"/>
  <c r="F12" i="11"/>
  <c r="F11" i="11"/>
  <c r="G4" i="11"/>
  <c r="I4" i="11" s="1"/>
  <c r="I5" i="11" s="1"/>
  <c r="L4" i="11" l="1"/>
  <c r="L5" i="11" s="1"/>
  <c r="M5" i="11" s="1"/>
  <c r="H268" i="23" l="1"/>
  <c r="H308" i="23" s="1"/>
  <c r="C4" i="16" l="1"/>
  <c r="C5" i="16" l="1"/>
  <c r="C6" i="16" l="1"/>
  <c r="C9" i="16"/>
  <c r="C7" i="16"/>
  <c r="C10" i="16"/>
  <c r="C12" i="16" l="1"/>
  <c r="H7" i="33" l="1"/>
  <c r="H16" i="33" l="1"/>
  <c r="I16" i="33" s="1"/>
  <c r="C11" i="16"/>
  <c r="C14" i="16" s="1"/>
  <c r="C15" i="16" s="1"/>
  <c r="C16" i="16" s="1"/>
  <c r="C17" i="16" s="1"/>
  <c r="C18" i="16" s="1"/>
  <c r="G7" i="33" l="1"/>
  <c r="C10" i="17"/>
  <c r="B14" i="17" s="1"/>
  <c r="C19" i="16"/>
  <c r="C20" i="16" s="1"/>
  <c r="F39" i="17" s="1"/>
  <c r="F21" i="17" l="1"/>
  <c r="F23" i="17"/>
  <c r="F20" i="17"/>
  <c r="F22" i="17"/>
  <c r="F19" i="17"/>
  <c r="F18" i="17"/>
  <c r="F25" i="17" s="1"/>
  <c r="F37" i="17" s="1"/>
  <c r="F41" i="17" s="1"/>
  <c r="F42" i="17" l="1"/>
  <c r="F43"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tc={58DBC82C-1182-4B9C-994B-6E6F58F89AA6}</author>
  </authors>
  <commentList>
    <comment ref="C14" authorId="0" shapeId="0" xr:uid="{58DBC82C-1182-4B9C-994B-6E6F58F89AA6}">
      <text>
        <t>[Threaded comment]
Your version of Excel allows you to read this threaded comment; however, any edits to it will get removed if the file is opened in a newer version of Excel. Learn more: https://go.microsoft.com/fwlink/?linkid=870924
Comment:
    LC BOQ - EPOXY MILD STEEL</t>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tc={0A5EE5ED-F349-4839-B2B9-C2EB93B7EB3C}</author>
    <author>tc={29FE9187-AF6F-4C7B-826B-795355AF54C2}</author>
    <author>tc={DBF6753F-D4F6-45D4-BB39-3720F5688E29}</author>
    <author>tc={43F7ED1E-98F2-4B80-BDA1-A769C996736E}</author>
    <author>tc={45D7EE81-3AA5-4E5A-8465-F5A30E66EA1C}</author>
  </authors>
  <commentList>
    <comment ref="C34" authorId="0" shapeId="0" xr:uid="{0A5EE5ED-F349-4839-B2B9-C2EB93B7EB3C}">
      <text>
        <t>[Threaded comment]
Your version of Excel allows you to read this threaded comment; however, any edits to it will get removed if the file is opened in a newer version of Excel. Learn more: https://go.microsoft.com/fwlink/?linkid=870924
Comment:
    What about formwork for slab joints eg apron slab?
Reply:
    doesn't appear to be included. drawing doesnt include apron slab, hence it was not measured.</t>
      </text>
    </comment>
    <comment ref="C36" authorId="1" shapeId="0" xr:uid="{29FE9187-AF6F-4C7B-826B-795355AF54C2}">
      <text>
        <t>[Threaded comment]
Your version of Excel allows you to read this threaded comment; however, any edits to it will get removed if the file is opened in a newer version of Excel. Learn more: https://go.microsoft.com/fwlink/?linkid=870924
Comment:
    Not cast against?
Reply:
    Should i remove this?</t>
      </text>
    </comment>
    <comment ref="C64" authorId="2" shapeId="0" xr:uid="{DBF6753F-D4F6-45D4-BB39-3720F5688E29}">
      <text>
        <t>[Threaded comment]
Your version of Excel allows you to read this threaded comment; however, any edits to it will get removed if the file is opened in a newer version of Excel. Learn more: https://go.microsoft.com/fwlink/?linkid=870924
Comment:
    19mm stone ie 15/19</t>
      </text>
    </comment>
    <comment ref="C104" authorId="3" shapeId="0" xr:uid="{43F7ED1E-98F2-4B80-BDA1-A769C996736E}">
      <text>
        <t>[Threaded comment]
Your version of Excel allows you to read this threaded comment; however, any edits to it will get removed if the file is opened in a newer version of Excel. Learn more: https://go.microsoft.com/fwlink/?linkid=870924
Comment:
    doors, windows not structural steel
Reply:
    Replaced with PSU 8.8</t>
      </text>
    </comment>
    <comment ref="C106" authorId="4" shapeId="0" xr:uid="{45D7EE81-3AA5-4E5A-8465-F5A30E66EA1C}">
      <text>
        <t>[Threaded comment]
Your version of Excel allows you to read this threaded comment; however, any edits to it will get removed if the file is opened in a newer version of Excel. Learn more: https://go.microsoft.com/fwlink/?linkid=870924
Comment:
    doors and windows are not classed as structural steel. they fall under iron mongery
Reply:
    As above</t>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tc={7620A470-4D7C-4981-8044-5C058613AD64}</author>
  </authors>
  <commentList>
    <comment ref="C124" authorId="0" shapeId="0" xr:uid="{7620A470-4D7C-4981-8044-5C058613AD64}">
      <text>
        <t>[Threaded comment]
Your version of Excel allows you to read this threaded comment; however, any edits to it will get removed if the file is opened in a newer version of Excel. Learn more: https://go.microsoft.com/fwlink/?linkid=870924
Comment:
    strength , type - eg 14MPa face or 7MPa stock
Reply:
    I'm assuming 14Mpa since facebrick? not included in spec</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tc={3D4BA0C6-309E-42C3-926E-C79285648131}</author>
  </authors>
  <commentList>
    <comment ref="F17" authorId="0" shapeId="0" xr:uid="{3D4BA0C6-309E-42C3-926E-C79285648131}">
      <text>
        <t>[Threaded comment]
Your version of Excel allows you to read this threaded comment; however, any edits to it will get removed if the file is opened in a newer version of Excel. Learn more: https://go.microsoft.com/fwlink/?linkid=870924
Comment:
    2</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tc={01427011-8782-49B5-A296-FDCF43A89701}</author>
    <author>tc={894FE007-55A4-4EF3-895F-6D5164D3CF72}</author>
  </authors>
  <commentList>
    <comment ref="F86" authorId="0" shapeId="0" xr:uid="{01427011-8782-49B5-A296-FDCF43A89701}">
      <text>
        <t>[Threaded comment]
Your version of Excel allows you to read this threaded comment; however, any edits to it will get removed if the file is opened in a newer version of Excel. Learn more: https://go.microsoft.com/fwlink/?linkid=870924
Comment:
    2</t>
      </text>
    </comment>
    <comment ref="C209" authorId="1" shapeId="0" xr:uid="{894FE007-55A4-4EF3-895F-6D5164D3CF72}">
      <text>
        <t>[Threaded comment]
Your version of Excel allows you to read this threaded comment; however, any edits to it will get removed if the file is opened in a newer version of Excel. Learn more: https://go.microsoft.com/fwlink/?linkid=870924
Comment:
    LC BOQ - EPOXY MILD STEEL</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HP</author>
  </authors>
  <commentList>
    <comment ref="O21" authorId="0" shapeId="0" xr:uid="{2F1542AA-D96A-47E5-970C-AC2DEAD60272}">
      <text>
        <r>
          <rPr>
            <b/>
            <sz val="9"/>
            <color indexed="81"/>
            <rFont val="Tahoma"/>
            <family val="2"/>
          </rPr>
          <t>Sourced from Rocla</t>
        </r>
      </text>
    </comment>
    <comment ref="O22" authorId="0" shapeId="0" xr:uid="{7F79C192-232A-486C-A989-946AD20506AB}">
      <text>
        <r>
          <rPr>
            <b/>
            <sz val="9"/>
            <color indexed="81"/>
            <rFont val="Tahoma"/>
            <family val="2"/>
          </rPr>
          <t>Sourced from Rocla</t>
        </r>
      </text>
    </comment>
    <comment ref="K41" authorId="0" shapeId="0" xr:uid="{550345F4-4F31-4F61-9544-445DE09A06B9}">
      <text>
        <r>
          <rPr>
            <b/>
            <sz val="9"/>
            <color indexed="81"/>
            <rFont val="Tahoma"/>
            <family val="2"/>
          </rPr>
          <t>Calculated From Rocla</t>
        </r>
      </text>
    </comment>
    <comment ref="K43" authorId="0" shapeId="0" xr:uid="{FECD1736-374C-41FB-95D5-1608FFF7DBEC}">
      <text>
        <r>
          <rPr>
            <b/>
            <sz val="9"/>
            <color indexed="81"/>
            <rFont val="Tahoma"/>
            <family val="2"/>
          </rPr>
          <t>Grid Inlet 400x600mm = R2000 from Saint Gobain Africa in 2018 therefor R2000 * 1.06^2 = R2247</t>
        </r>
      </text>
    </comment>
    <comment ref="O65" authorId="0" shapeId="0" xr:uid="{E343CA4F-CE5A-4D78-A29F-FE4231A85FFF}">
      <text>
        <r>
          <rPr>
            <b/>
            <sz val="9"/>
            <color indexed="81"/>
            <rFont val="Tahoma"/>
            <family val="2"/>
          </rPr>
          <t>From Driefontein WwTW 2018</t>
        </r>
      </text>
    </comment>
    <comment ref="O66" authorId="0" shapeId="0" xr:uid="{A986AE80-CC45-4020-AA21-3311C00A279A}">
      <text>
        <r>
          <rPr>
            <b/>
            <sz val="9"/>
            <color indexed="81"/>
            <rFont val="Tahoma"/>
            <family val="2"/>
          </rPr>
          <t>From Driefontein WwTW 2018</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tc={B5BAE61D-4546-4B71-AF56-B63FFB3D7305}</author>
  </authors>
  <commentList>
    <comment ref="C21" authorId="0" shapeId="0" xr:uid="{B5BAE61D-4546-4B71-AF56-B63FFB3D7305}">
      <text>
        <t>[Threaded comment]
Your version of Excel allows you to read this threaded comment; however, any edits to it will get removed if the file is opened in a newer version of Excel. Learn more: https://go.microsoft.com/fwlink/?linkid=870924
Comment:
    Distance specified somewhere?
Reply:
    Yes, in the doc. anything greater than 1km is overhaul</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tc={D53D5771-3C66-4E3D-B2DB-B33E4D58FE74}</author>
    <author>tc={0E9B57FD-300C-491E-A6BD-ED295AB60137}</author>
    <author>tc={EFF38630-B16B-46E5-A7DB-1911F32F7FE7}</author>
  </authors>
  <commentList>
    <comment ref="C29" authorId="0" shapeId="0" xr:uid="{D53D5771-3C66-4E3D-B2DB-B33E4D58FE74}">
      <text>
        <t>[Threaded comment]
Your version of Excel allows you to read this threaded comment; however, any edits to it will get removed if the file is opened in a newer version of Excel. Learn more: https://go.microsoft.com/fwlink/?linkid=870924
Comment:
    Specify whether G5, G6, G7 or G8 - might get G10 otherwise</t>
      </text>
    </comment>
    <comment ref="C115" authorId="1" shapeId="0" xr:uid="{0E9B57FD-300C-491E-A6BD-ED295AB60137}">
      <text>
        <t>[Threaded comment]
Your version of Excel allows you to read this threaded comment; however, any edits to it will get removed if the file is opened in a newer version of Excel. Learn more: https://go.microsoft.com/fwlink/?linkid=870924
Comment:
    specify grade eg G6...
Reply:
    NG to assist</t>
      </text>
    </comment>
    <comment ref="C147" authorId="2" shapeId="0" xr:uid="{EFF38630-B16B-46E5-A7DB-1911F32F7FE7}">
      <text>
        <t>[Threaded comment]
Your version of Excel allows you to read this threaded comment; however, any edits to it will get removed if the file is opened in a newer version of Excel. Learn more: https://go.microsoft.com/fwlink/?linkid=870924
Comment:
    20/19?</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tc={DE60FD79-1864-4AA4-B057-658A52883F20}</author>
  </authors>
  <commentList>
    <comment ref="G191" authorId="0" shapeId="0" xr:uid="{DE60FD79-1864-4AA4-B057-658A52883F20}">
      <text>
        <t>[Threaded comment]
Your version of Excel allows you to read this threaded comment; however, any edits to it will get removed if the file is opened in a newer version of Excel. Learn more: https://go.microsoft.com/fwlink/?linkid=870924
Comment:
    Removed - this is one of the hiding of money items lol.</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tc={F7907364-8524-4839-9305-2E396BD19051}</author>
  </authors>
  <commentList>
    <comment ref="C170" authorId="0" shapeId="0" xr:uid="{F7907364-8524-4839-9305-2E396BD19051}">
      <text>
        <t>[Threaded comment]
Your version of Excel allows you to read this threaded comment; however, any edits to it will get removed if the file is opened in a newer version of Excel. Learn more: https://go.microsoft.com/fwlink/?linkid=870924
Comment:
    water tightness not a problem? No cast in flanges?
Reply:
    There are cast in flanges. Must we make the diameter bigger to account for this?</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tc={E6E47254-B374-4360-960A-0F134A22480D}</author>
  </authors>
  <commentList>
    <comment ref="C12" authorId="0" shapeId="0" xr:uid="{E6E47254-B374-4360-960A-0F134A22480D}">
      <text>
        <t>[Threaded comment]
Your version of Excel allows you to read this threaded comment; however, any edits to it will get removed if the file is opened in a newer version of Excel. Learn more: https://go.microsoft.com/fwlink/?linkid=870924
Comment:
    Shoring included?
Reply:
    This is covered in SANS 1200D, 5.1. The contractor is instructed to include brace the sides of excavations in this clause so i believe it is covered. Clause 8.3.2 of SANS1200DB refrences CLause 5.1 which in turn refrences SANS 1200D, 5.1</t>
      </text>
    </comment>
  </commentList>
</comments>
</file>

<file path=xl/sharedStrings.xml><?xml version="1.0" encoding="utf-8"?>
<sst xmlns="http://schemas.openxmlformats.org/spreadsheetml/2006/main" count="4893" uniqueCount="2355">
  <si>
    <t>Description</t>
  </si>
  <si>
    <t>Amount</t>
  </si>
  <si>
    <t>2. Site Preparation &amp; Fencing</t>
  </si>
  <si>
    <t>3. Roads &amp; Stormwater</t>
  </si>
  <si>
    <t>4. Reservoir</t>
  </si>
  <si>
    <t>5. Chambers &amp; Boxes</t>
  </si>
  <si>
    <t>6. Interconnecting Pipework</t>
  </si>
  <si>
    <t>7. Guard House</t>
  </si>
  <si>
    <t>8. Telemetry Hut</t>
  </si>
  <si>
    <t>9. Valve Building</t>
  </si>
  <si>
    <t>10. Elec &amp; C&amp;I</t>
  </si>
  <si>
    <t>Sub Total A</t>
  </si>
  <si>
    <t>P &amp; G (20%)</t>
  </si>
  <si>
    <t>Escalation (10%)</t>
  </si>
  <si>
    <t>Contingencies (10%)</t>
  </si>
  <si>
    <t>Total</t>
  </si>
  <si>
    <t>CONTRACT NO. :</t>
  </si>
  <si>
    <t>EI1306</t>
  </si>
  <si>
    <t>CONTRACT NAME :</t>
  </si>
  <si>
    <t>CARLSWALD 10ML RESERVOIR</t>
  </si>
  <si>
    <t>CLIENT :</t>
  </si>
  <si>
    <t>JOHANNESBURG WATER (SOC) Ltd.</t>
  </si>
  <si>
    <t>ZC PROJECT NUMBER :</t>
  </si>
  <si>
    <t>PROJECT BUDGET : SUMMARY</t>
  </si>
  <si>
    <t>Fee Calculation:</t>
  </si>
  <si>
    <t>FEE:</t>
  </si>
  <si>
    <t>Cost of Works x %Fee x Fee Adj. Factor</t>
  </si>
  <si>
    <t>Estimated Cost of Works :</t>
  </si>
  <si>
    <t>(Excluding VAT)</t>
  </si>
  <si>
    <t>%Fee =</t>
  </si>
  <si>
    <t>Fee Adj. Factor = [1 - 0.2] =</t>
  </si>
  <si>
    <t>Fees =</t>
  </si>
  <si>
    <t>NO.</t>
  </si>
  <si>
    <t>DESCRIPTION</t>
  </si>
  <si>
    <t>VALUE</t>
  </si>
  <si>
    <t>Professional Fees</t>
  </si>
  <si>
    <t>Inception</t>
  </si>
  <si>
    <t>Concept and Viability</t>
  </si>
  <si>
    <t>Design Development</t>
  </si>
  <si>
    <t>Documentation and Procurement</t>
  </si>
  <si>
    <t>Contract Administration and Inspection</t>
  </si>
  <si>
    <t>Close Out</t>
  </si>
  <si>
    <t>SUBTOTAL (FEES)</t>
  </si>
  <si>
    <t>Construction Monitoring (months)</t>
  </si>
  <si>
    <t>15</t>
  </si>
  <si>
    <t>50000</t>
  </si>
  <si>
    <t>Disbursements</t>
  </si>
  <si>
    <t>Geotechnical Investigation</t>
  </si>
  <si>
    <t>Topographical Survey</t>
  </si>
  <si>
    <t>Sub-Division</t>
  </si>
  <si>
    <t>Rezoning</t>
  </si>
  <si>
    <t>Handling Fee</t>
  </si>
  <si>
    <t>SUBTOTAL (DISBURSEMENTS)</t>
  </si>
  <si>
    <t>SUBTOTAL : PROFESSIONAL FEES</t>
  </si>
  <si>
    <t>Construction Works</t>
  </si>
  <si>
    <t>Estimated Cost of Works</t>
  </si>
  <si>
    <t>TOTAL (EXCL. VAT)</t>
  </si>
  <si>
    <t>VAT</t>
  </si>
  <si>
    <t>TOTAL (INCL. VAT)</t>
  </si>
  <si>
    <t>PROJECT NUMBER: EI1306</t>
  </si>
  <si>
    <t>CARLSWALD 20ML RESERVOIR</t>
  </si>
  <si>
    <t xml:space="preserve">                                      </t>
  </si>
  <si>
    <t>SECTION 6:</t>
  </si>
  <si>
    <t>INTERCONNECTING PIPEWORK</t>
  </si>
  <si>
    <t>(SCOUR PIPE DETAIL- DWG 13214-73-04-003)</t>
  </si>
  <si>
    <t>Mark on dwg</t>
  </si>
  <si>
    <t>NB (mm)</t>
  </si>
  <si>
    <t>Mat</t>
  </si>
  <si>
    <t>Decription</t>
  </si>
  <si>
    <t>Sketch</t>
  </si>
  <si>
    <t>No.</t>
  </si>
  <si>
    <t>Rate</t>
  </si>
  <si>
    <t>SP-001</t>
  </si>
  <si>
    <t>S.S</t>
  </si>
  <si>
    <t>90° SHORT RADIUS BEND ONE END 230mm C. TO F. OTHER END WITH BELLMOUTH O.A 1850mm LONG</t>
  </si>
  <si>
    <t>SP-002</t>
  </si>
  <si>
    <t>FLANGED PIPE O.A 3300mm</t>
  </si>
  <si>
    <t xml:space="preserve">SUB TOTAL CARRIED FORWARD </t>
  </si>
  <si>
    <t>(OVERFLOW PIPING DETAILS - DWG 13214-73-04-003)</t>
  </si>
  <si>
    <t>OF-001</t>
  </si>
  <si>
    <t>FLANGED BELLMOUTH O.A 600mm BELLMOUTH 550mm DIA.</t>
  </si>
  <si>
    <t>OF-002</t>
  </si>
  <si>
    <t>FLANGED 90° SHORT RADIUS BEND. ONE END 360mm C. to F. OTHER 3620mm C. to F.</t>
  </si>
  <si>
    <t>OF-003</t>
  </si>
  <si>
    <t>FLANGED PIPE O.A 3100mm</t>
  </si>
  <si>
    <t>(DRAIN PIPING- DWG 13214-73-04-003)</t>
  </si>
  <si>
    <t>DR-001</t>
  </si>
  <si>
    <t>FLANGED 90° SHORT RADIUS BEND. ONE END 230mm C. TO F. OTHER END PLAIN 3620mm O.A WITH PUDDLE FLANGE 125mm FROM PLAIN END</t>
  </si>
  <si>
    <t>DR-002</t>
  </si>
  <si>
    <t>FLANGED PIPE O.A 2950mm</t>
  </si>
  <si>
    <t>DR-003</t>
  </si>
  <si>
    <t>FLANGED 45° MEDIUM RADIUS BEND 230mm C. TO F.</t>
  </si>
  <si>
    <t>DR-004</t>
  </si>
  <si>
    <t>FLANGED PIPE 0.A 6000mm</t>
  </si>
  <si>
    <t>DR-005</t>
  </si>
  <si>
    <t>FLANGED PIPE O.A 5430mm</t>
  </si>
  <si>
    <t>SUB-TOTAL CARRIED FORWARD</t>
  </si>
  <si>
    <t>(VALVE BUILDING- DWG 13214-73-05-004/005/006)</t>
  </si>
  <si>
    <t>VB-001</t>
  </si>
  <si>
    <t>PUDDLE PIPE O.A 900mm BOTH ENDS FLANGED WITH PUDDLE FLANGE 450mm FROM ONE END.</t>
  </si>
  <si>
    <t>VB-002</t>
  </si>
  <si>
    <t>STANDARD FLANGED 90° Y-PIECE, BRANCH 1265mm C TO F. 50mm TAP OFF 320mm FROM FLANGED END</t>
  </si>
  <si>
    <t>VB-003</t>
  </si>
  <si>
    <t>STANDARD D.F 45° SHORT RADIUS BEND, 610mm C TO F.</t>
  </si>
  <si>
    <t>VB-004</t>
  </si>
  <si>
    <t>FLANGED PIPE O.A 730mm</t>
  </si>
  <si>
    <t>VB-005</t>
  </si>
  <si>
    <t>FLANGE ADAPTOR</t>
  </si>
  <si>
    <t>VB-006</t>
  </si>
  <si>
    <t>UN-EQUAL TEE TWO BRANCHES 610mm C. TO F. PLAIN BRANCH 2950mm O.A 3560mm.</t>
  </si>
  <si>
    <t>VB-007</t>
  </si>
  <si>
    <t>100X 600</t>
  </si>
  <si>
    <t>FLANGED 100⌀ PIPE O.A 335mm. ONE END WITH 600⌀ FLANGE</t>
  </si>
  <si>
    <t>VB-008</t>
  </si>
  <si>
    <t>STANDARD FLANGED 90°Y-PIECE BRANCHS 1265 mm C TO F</t>
  </si>
  <si>
    <t>VB-009</t>
  </si>
  <si>
    <t>FLANGED PIPE O.A. 1940mm</t>
  </si>
  <si>
    <t>VB-010</t>
  </si>
  <si>
    <t>PUDDLE PIP O.A 900mm. BOTH ENDS FLANGED WITH PUDDLE FLANGE 450mm FROM ONE END.</t>
  </si>
  <si>
    <t>VB-011</t>
  </si>
  <si>
    <t>STANDARD FLANGED 90° Y-PIECE, BRANCH'S 1100mm C. TO F. 50mm TAP OFF 300mm FROM FLANGED END.</t>
  </si>
  <si>
    <t>SUB-TOTAL BROUGHT FORWARD</t>
  </si>
  <si>
    <t>VB-012</t>
  </si>
  <si>
    <t>STANDARD D.F 45° SHORT RADIUS BEND 510mm C. TO F.</t>
  </si>
  <si>
    <t>VB-013</t>
  </si>
  <si>
    <t>500X300</t>
  </si>
  <si>
    <t>FLANGED ECCENTRIC REDUCER O.A 1110mm</t>
  </si>
  <si>
    <t>VB-014</t>
  </si>
  <si>
    <t>VB-015</t>
  </si>
  <si>
    <t>PIPE ONE END FLANGED O.A 800mm</t>
  </si>
  <si>
    <t>VB-016</t>
  </si>
  <si>
    <t>FLANGED PIPE 0.A. 2000mm.</t>
  </si>
  <si>
    <t>VB-017</t>
  </si>
  <si>
    <t>STANDARD FLANGED 90° Y-PIECE, BRANCH'S 1100mm C. TO F. 50mm TAP OFF 300mm FROM FLANGED END TOP AND BOTTOM OF Y-PIECE</t>
  </si>
  <si>
    <t>V-005</t>
  </si>
  <si>
    <t>ACTUATED FLANGED WEDGE GATE VALVE</t>
  </si>
  <si>
    <t>V-006</t>
  </si>
  <si>
    <t>FLANGED BALL VALVE</t>
  </si>
  <si>
    <t>V-007</t>
  </si>
  <si>
    <t>AIR RELEASE VALVE</t>
  </si>
  <si>
    <t>X</t>
  </si>
  <si>
    <t>V-008</t>
  </si>
  <si>
    <t>NON-RETURN VALVE</t>
  </si>
  <si>
    <t>V-009</t>
  </si>
  <si>
    <t>GEARED FLANGED WEDGE GATE VALVE</t>
  </si>
  <si>
    <t>V-010</t>
  </si>
  <si>
    <t>HYTROL VALVE</t>
  </si>
  <si>
    <t>V-011</t>
  </si>
  <si>
    <t>INLINE STRAINER</t>
  </si>
  <si>
    <t>V-012</t>
  </si>
  <si>
    <t>THREADED BALL VALVE</t>
  </si>
  <si>
    <t>V-013</t>
  </si>
  <si>
    <t>(SCOURBOX  - DWG 13214-73-04-011)</t>
  </si>
  <si>
    <t>SB-001</t>
  </si>
  <si>
    <t>PUDDLE PIPE O.A 1100mm. BOTH ENDS FLANGED WITH PUDDLE FLANGE 440mm FROM ONE END.</t>
  </si>
  <si>
    <t>SB-002</t>
  </si>
  <si>
    <t>PUDDLE PIPE O.A 1100mm. BOTH ENDS FLANGED WITH PUDDLE FLANGE 440mm FROM ONE END. WITH 50mm TAP OFF.</t>
  </si>
  <si>
    <t>SB-003</t>
  </si>
  <si>
    <t>PUDDLE PIPE 0.A 2400mm. ONE END FLANGED WITH PUDDLE FLANGE 465mm FROM FLAGED END.</t>
  </si>
  <si>
    <t>SB-004</t>
  </si>
  <si>
    <t>PUBBLE PIPE 0.A 955mm. BOTH ENDS PLAIN WITH PUDDLE FLANGED 705mm FROM END.</t>
  </si>
  <si>
    <t>SB-005</t>
  </si>
  <si>
    <t>FLANGED ADAPTOR</t>
  </si>
  <si>
    <t>V-001</t>
  </si>
  <si>
    <t>FLANGED WEDGE GATE VALVE</t>
  </si>
  <si>
    <t>V-002</t>
  </si>
  <si>
    <t>BALL VALVE</t>
  </si>
  <si>
    <t>(FLOW METER CHAMBERS- DWG 13214-73-04-005)</t>
  </si>
  <si>
    <t>IFC-001</t>
  </si>
  <si>
    <t>PUDDLE PIPE O.A. 900mm. BOTH ENDS FLANGED WITH PUDDLE FLANGE 450mm FROM ONE END.</t>
  </si>
  <si>
    <t>IFC-002</t>
  </si>
  <si>
    <t>FLANGED PIPE O.A. 2100mm</t>
  </si>
  <si>
    <t>IFC-003</t>
  </si>
  <si>
    <t>V-003</t>
  </si>
  <si>
    <t>CLAMP ON FLOW METER</t>
  </si>
  <si>
    <t>OFC-001</t>
  </si>
  <si>
    <t>PUDDLE PIPE O.A 900mm. BOTH ENDS FLANGED WITH PUDDLE FLANGE 450mm FROM ONE END.</t>
  </si>
  <si>
    <t>OFC-002</t>
  </si>
  <si>
    <t>PIPE ONE END FLANGED O.A 2100mm</t>
  </si>
  <si>
    <t>OFC-003</t>
  </si>
  <si>
    <t>V-004</t>
  </si>
  <si>
    <t>IP-001</t>
  </si>
  <si>
    <t>COATED M.S.</t>
  </si>
  <si>
    <t>FLANGED PIPE O.A 600mm</t>
  </si>
  <si>
    <t>IP-002</t>
  </si>
  <si>
    <t>PIPE PME EMD FLANGED O.A 4400mm</t>
  </si>
  <si>
    <t>IP-003</t>
  </si>
  <si>
    <t>FLANGED PIPE O.A 5000mm</t>
  </si>
  <si>
    <t>IP-004</t>
  </si>
  <si>
    <t>FLANGED PIPE O.A 3200mm</t>
  </si>
  <si>
    <t>IP-005</t>
  </si>
  <si>
    <t>FLANGED PIPE O.A 1100mm</t>
  </si>
  <si>
    <t>IP-006</t>
  </si>
  <si>
    <t>FLANGED PIPE O.A 185mm</t>
  </si>
  <si>
    <t>FLANGED PIPE O.A 3670mm</t>
  </si>
  <si>
    <t>IP-007</t>
  </si>
  <si>
    <t>FLANGED 90°  MEDIUM RADIUS BEND. ONE END 1020mm c. TO F. OTHER END 6000mm C. TO F.</t>
  </si>
  <si>
    <t>IP-008</t>
  </si>
  <si>
    <t xml:space="preserve">FLANGED 90° SHORT RADIUS BEND. ONE END 5035mm C. TO F. OTHER END 510mm C. TO F. </t>
  </si>
  <si>
    <t>IP-009</t>
  </si>
  <si>
    <t>PUDDLE PIPE, PUDDLE FLANGE 690mm FROM FLANGED END WITH PLAIN EDED 90°  SHORT RADIUS BEND 510mm C. TO F.</t>
  </si>
  <si>
    <t>IP-010</t>
  </si>
  <si>
    <t>FLANGED 90° MEDIUM RADIUS BEND. 1020MM C. TO F.</t>
  </si>
  <si>
    <t>IP-011</t>
  </si>
  <si>
    <t>OP-001</t>
  </si>
  <si>
    <t>COATED M.S</t>
  </si>
  <si>
    <t>FLANGED PIPE O.A 6000mm</t>
  </si>
  <si>
    <t>OP-002</t>
  </si>
  <si>
    <t>PIPE ONE END FLANGED O.A 4400mm</t>
  </si>
  <si>
    <t>OP-003</t>
  </si>
  <si>
    <t>FLANGED PIPE O.A 3190mm</t>
  </si>
  <si>
    <t>OP-004</t>
  </si>
  <si>
    <t>FLANGED PIPE O.A 4440mm</t>
  </si>
  <si>
    <t>OP-005</t>
  </si>
  <si>
    <t>FLANGED PIPE O.A 3580mm</t>
  </si>
  <si>
    <t>OP-006</t>
  </si>
  <si>
    <t>FLANGED 90° MEDIUM RADIUS BEND. ONE END 1020mm C. TO F. OTHER END WITH BELLMOUTH O.A 3695mm</t>
  </si>
  <si>
    <t>OP-007</t>
  </si>
  <si>
    <t>FLANGED 90° MEDIUM RADIUS BEND. 1020mm C. TO F.</t>
  </si>
  <si>
    <t>OP-008</t>
  </si>
  <si>
    <t>brought forward</t>
  </si>
  <si>
    <t>SCOUR PIPING</t>
  </si>
  <si>
    <t>SCOUR BOX</t>
  </si>
  <si>
    <t>VALVE BUILDING</t>
  </si>
  <si>
    <t>DRAIN PIPING</t>
  </si>
  <si>
    <t>INLET FLOW METER CHAMBER</t>
  </si>
  <si>
    <t>OUTLET FLOW METER CHAMBER</t>
  </si>
  <si>
    <t>INLET PIPING</t>
  </si>
  <si>
    <t>OUTLET PIPING</t>
  </si>
  <si>
    <t>TOTAL FOR SECTION 6 (Carried to Summary)</t>
  </si>
  <si>
    <t>PIPE SCHEDULE</t>
  </si>
  <si>
    <t>SECTION 4: RESERVOIR</t>
  </si>
  <si>
    <t>OVERFLOW PIPING</t>
  </si>
  <si>
    <t>SS 304 3mm w.t.</t>
  </si>
  <si>
    <t>FLANGED BELLMOUTH, O.A. 6000mm, BELLMOUTH 550mm DIA.</t>
  </si>
  <si>
    <t>FLANGED 90° SHORT RADIUS BEND. ONE END 360mm C. to F. OTHER END 2635mm C. to F.</t>
  </si>
  <si>
    <t>FLANGED PIPE, O.A. 2950mm</t>
  </si>
  <si>
    <t>90° SHORT RADIUS BEND ONE END 230mm C. TO F. AND FLANGED, OTHER END 960mm C. to F. WITH BELLMOUTH OD OF 245mm</t>
  </si>
  <si>
    <t>FLANGED PIPE O.A.3200mm</t>
  </si>
  <si>
    <t>FLANGED 90° SHORT RADIUS BEND. ONE END 230mm C. TO F. OTHER END PLAIN 395mm O.A.WITH PUDDLE FLANGE 100mm FROM PLAIN END</t>
  </si>
  <si>
    <t>FLANGED PIPE 0.A 4380mm</t>
  </si>
  <si>
    <t>FLANGED 24° MEDIUM RADIUS BEND 230mm C. to F.</t>
  </si>
  <si>
    <t>FLANGED PIPE O.A.5430mm</t>
  </si>
  <si>
    <t>TOTAL CARRIED TO ITEM 4.2.1</t>
  </si>
  <si>
    <t>SECTION 5: CHAMBERS AND BOXES</t>
  </si>
  <si>
    <t>PUDDLE PIPE O.A.1300mm. BOTH ENDS FLANGED WITH PUDDLE FLANGE 650mm FROM ONE END.</t>
  </si>
  <si>
    <t>PUDDLE PIPE O.A.1300mm. BOTH ENDS FLANGED WITH P.F. 650mm FROM ONE END AND 50mm BOSS 250mm FROM OTHER END</t>
  </si>
  <si>
    <t>PUDDLE PIPE 0.A 2600mm. ONE END FLANGED WITH PUDDLE FLANGE 650mm FROM FLAGED END.</t>
  </si>
  <si>
    <t>PUDDLE PIPE 0.A 1020mm. BOTH ENDS PLAIN WITH PUDDLE FLANGED 250mm FROM END.</t>
  </si>
  <si>
    <t>Coated M.S.</t>
  </si>
  <si>
    <t>D.I.</t>
  </si>
  <si>
    <t xml:space="preserve">WEDGE GATE VALVE, PN10, NON RISING SPINDLE, CLOCKWISE CLOSING, COMPLETE WITH HANDWHEEL, DUCTILE IRON BODY AND COVER, STAINLESS STEEL SPINDLE, "O" RING GLAND SEAL ARRANGEMENT, PINNED GUNMETAL SEATS </t>
  </si>
  <si>
    <t>SS 304</t>
  </si>
  <si>
    <t>TOTAL CARRIED TO ITEM 5.1.6.1</t>
  </si>
  <si>
    <t>SS 304 4mm w.t.</t>
  </si>
  <si>
    <t>PUDDLE PIPE O.A. 1300mm. BOTH ENDS FLANGED WITH PUDDLE FLANGE 650mm FROM ONE END.</t>
  </si>
  <si>
    <t>TOTAL CARRIED TO ITEM 5.2.6.1</t>
  </si>
  <si>
    <t xml:space="preserve">PIPE O.A.2100mm, ONE END FLANGED OTHER END PLAIN </t>
  </si>
  <si>
    <t>TOTAL CARRIED TO ITEM 5.3.6.1</t>
  </si>
  <si>
    <t>VALVE CHAMBERS</t>
  </si>
  <si>
    <t>VC-001</t>
  </si>
  <si>
    <t>VC-002</t>
  </si>
  <si>
    <t>UN-EQUAL TEE, PLAIN ENDED BRANCH 810mm C. to F. 850mm C. to F. FROM FLANGED END, OTHER END PLAIN 715mm C. to F.</t>
  </si>
  <si>
    <t>VC-003</t>
  </si>
  <si>
    <t>VC-004</t>
  </si>
  <si>
    <t>WAFER TYPE KNIFE GATE VALVE WITH STAINLESS STEEL BLADE AND SPINDLE, PN10, O.A. 100mm</t>
  </si>
  <si>
    <t>VC-005</t>
  </si>
  <si>
    <t>SS 304 5mm w.t.</t>
  </si>
  <si>
    <t>VC-006</t>
  </si>
  <si>
    <t>UN-EQUAL TEE, PLAIN ENDED BRANCH 800mm C. to F. 850mm C. to F. FROM FLANGED END, OTHER END PLAIN 700mm C. to F.</t>
  </si>
  <si>
    <t>VC-007</t>
  </si>
  <si>
    <t>VC-008</t>
  </si>
  <si>
    <t>WAFER TYPE KNIFE GATE VALVE WITH STAINLESS STEEL BLADE AND SPINDLE, PN10, O.A. 110mm</t>
  </si>
  <si>
    <t>TOTAL CARRIED TO ITEM 5.5.6.1</t>
  </si>
  <si>
    <t>SECTION 6: INTERCONNECTING PIPEWORK</t>
  </si>
  <si>
    <t>Coated M.S.
 5mm w.t.</t>
  </si>
  <si>
    <t>FLANGED PIPE O.A.600mm</t>
  </si>
  <si>
    <t>PIPE PME EMD FLANGED O.A.6000mm</t>
  </si>
  <si>
    <t>FLANGED PIPE O.A.3850mm</t>
  </si>
  <si>
    <t>FLANGED PIPE O.A.3000mm</t>
  </si>
  <si>
    <t>FLANGED PIPE O.A.4950mm</t>
  </si>
  <si>
    <t>FLANGED PIPE O.A.1450mm</t>
  </si>
  <si>
    <t>FLANGED 90°  MEDIUM RADIUS BEND. ONE END 1020mm c. TO F. OTHER END 4100mm C. TO F.</t>
  </si>
  <si>
    <t>UNEQUAL 90° SHORT RADIUS BEND, ONE END PLAIN 510mm C. to F. OTHER END FLANGED 1510 C. to F. WITH P.F. 690mm FROM FLANGED END</t>
  </si>
  <si>
    <t>TOTAL CARRIED TO ITEM 6.2.5</t>
  </si>
  <si>
    <t>Coated M.S.
 6mm w.t.</t>
  </si>
  <si>
    <t>FLANGED PIPE O.A.6000mm</t>
  </si>
  <si>
    <t>PIPE ONE END FLANGED O.A.5300mm</t>
  </si>
  <si>
    <t>FLANGED PIPE O.A.5150mm</t>
  </si>
  <si>
    <t>FLANGED PIPE O.A.5100mm</t>
  </si>
  <si>
    <t>UNEQUAL 90° MEDIUM RADIUS BEND, ONE END FLANGED 2715mm C. to F. OTHER END WITH BELLMOUTH 1790mm C. to F.</t>
  </si>
  <si>
    <t>TOTAL CARRIED TO ITEM 6.2.6</t>
  </si>
  <si>
    <t>SECTION 9: VALVE BUILDING</t>
  </si>
  <si>
    <t>PUDDLE PIPE O.A.900mm BOTH ENDS FLANGED WITH PUDDLE FLANGE 450mm FROM ONE END.</t>
  </si>
  <si>
    <t>FLANGED 90° Y-PIECE, BRANCHES 1265mm C to F. MAIN PIPE 320mm C. to F. WITH 50mm BOSS 320mm FROM MAIN FLANGED END</t>
  </si>
  <si>
    <t>FLANGED PIPE O.A.730mm WITH 25mm BOSS 250mm FROM ONE END.</t>
  </si>
  <si>
    <t>UN-EQUAL TEE, ONE END FLANGED 610mm C.to F. OTHER END PLAIN 2790mm C. to F. WITH FLANGED ENDED BRANCH 610mm C. to F.</t>
  </si>
  <si>
    <t xml:space="preserve">600⌀ BLANK FLANGE DRILLED FOR 100⌀ PIPE O.A.335mm WITH FLANGED END </t>
  </si>
  <si>
    <t xml:space="preserve">FLANGED 90° Y-PIECE, BRANCHES 1265mm C to F. MAIN PIPE 320mm C. to F. </t>
  </si>
  <si>
    <t>D.F. PUDDLE PIPE O.A.1300mm. WITH P.F. 650mm FROM ONE END.</t>
  </si>
  <si>
    <t>VALVE BUILDING (CONTINUED)</t>
  </si>
  <si>
    <t>FLANGED 90° Y-PIECE, BRANCHES 1100mm C. to F. MAIN PIPE 300mm C. to F. WITH 50mm BOSS 300mm FROM FLANGED END.</t>
  </si>
  <si>
    <t>STANDARD D.F 45° SHORT RADIUS BEND 510mm       C. TO F.</t>
  </si>
  <si>
    <t>500X 300</t>
  </si>
  <si>
    <t>Coated M.S.
 4mm w.t.</t>
  </si>
  <si>
    <t>FLANGED ECCENTRIC 500mm to 300mm REDUCER AND 300mm DIA. PIPE O.A.1110mm</t>
  </si>
  <si>
    <t>PIPE ONE END FLANGED O.A.800mm</t>
  </si>
  <si>
    <t>PIPE ONE END FLANGED 0.A. 2000mm.</t>
  </si>
  <si>
    <t>FLANGED 90° Y-PIECE, BRANCHES 1100mm C. to F. MAIN PIPE 300mm C. to F. WITH 50mm THREADED ENDED BOSS 300mm FROM FLANGED END AT THE BOTTOM AND A 100mm DIA. FLANGED ENDED BOSS AT THE TOP.</t>
  </si>
  <si>
    <t>WEDGE GATE VALVE, PN10, NON RISING SPINDLE, CLOCKWISE CLOSING, GEARBOX OPERATED COMPLETE WITH HANDWHEEL, DUCTILE IRON BODY AND COVER, STAINLESS STEEL SPINDLE, "O" RING GLAND SEAL ARRANGEMENT, PINNED GUNMETAL SEATS, O.A. 600mm</t>
  </si>
  <si>
    <t>DOUBLE ORIFICE AIR RELEASE AND VACUUM BREAKER VALVE WITH ANTI SHOCK MECHANISM</t>
  </si>
  <si>
    <t>FLANGED TILITING DISC NON-RETURN VALVE</t>
  </si>
  <si>
    <t>WEDGE GATE VALVE, PN10, NON RISING SPINDLE, CLOCKWISE CLOSING, GEARBOX OPERATED COMPLETE WITH HANDWHEEL, DUCTILE IRON BODY AND COVER, STAINLESS STEEL SPINDLE, "O" RING GLAND SEAL ARRANGEMENT, PINNED GUNMETAL SEATS, O.A. 380MM</t>
  </si>
  <si>
    <t>HYDRAULIC CONTROL VALVE INCLUDING 20mm SS BI-LEVEL CONTROL PILOT INSIDE RESERVOIR WITH 15mm SS CONNECTION PIE</t>
  </si>
  <si>
    <t>FLANGED BASKET STRAINER, O.A. 800mm</t>
  </si>
  <si>
    <t>V-014</t>
  </si>
  <si>
    <t>WAFER TYE KNIFE GATE VALVE, PN 10, STAINLESS STEEL BLADE AND SPLINDLE, O.A 110mm.</t>
  </si>
  <si>
    <t>V-015</t>
  </si>
  <si>
    <t>WAFER TYPE KNIFE GATE VALVE, PN 10, STAINLESS STEEL BLADE AND SPINDLE, O.A. 70mm</t>
  </si>
  <si>
    <t>V-016</t>
  </si>
  <si>
    <t>TOTAL CARRIED TO ITEM 9.1.10</t>
  </si>
  <si>
    <t>SECTION 1: PRELIMINARY AND GENERAL</t>
  </si>
  <si>
    <t>ITEM NO</t>
  </si>
  <si>
    <t>PAYMENT CLAUSE</t>
  </si>
  <si>
    <t>UNIT</t>
  </si>
  <si>
    <t>QTY</t>
  </si>
  <si>
    <t>RATE</t>
  </si>
  <si>
    <t>AMOUNT</t>
  </si>
  <si>
    <t>SANS 1200A</t>
  </si>
  <si>
    <t xml:space="preserve">SECTION 1: PRELIMINARY &amp; GENERAL </t>
  </si>
  <si>
    <t>FIXED CHARGE AND VALUE RELATED ITEMS</t>
  </si>
  <si>
    <t>8.3.1</t>
  </si>
  <si>
    <t>Contractual Requirements</t>
  </si>
  <si>
    <t>1.1.1</t>
  </si>
  <si>
    <t>Surety or Bank Guarantee</t>
  </si>
  <si>
    <t>Sum</t>
  </si>
  <si>
    <t>1.1.2</t>
  </si>
  <si>
    <t>Insurance of Works</t>
  </si>
  <si>
    <t>1.1.3</t>
  </si>
  <si>
    <t>Common Law Liability Insurance</t>
  </si>
  <si>
    <t>1.1.4</t>
  </si>
  <si>
    <t>Third Party Insurance</t>
  </si>
  <si>
    <t>1.1.5</t>
  </si>
  <si>
    <t>Insurance of Construction Plant and Equipment</t>
  </si>
  <si>
    <t>1.1.6</t>
  </si>
  <si>
    <t>PSA 8.3.1</t>
  </si>
  <si>
    <t>Initial Insurance Deductible</t>
  </si>
  <si>
    <t>1.1.7a</t>
  </si>
  <si>
    <t>Any Other Insurances that the Tenderer deems necessary to comply with Insurance requirements
(Detail …………………………………………………........…....……........)</t>
  </si>
  <si>
    <t>1.1.7b</t>
  </si>
  <si>
    <t>Other (Detail …………………………………………………....……........)</t>
  </si>
  <si>
    <t>Forward Cover</t>
  </si>
  <si>
    <t>1.1.8</t>
  </si>
  <si>
    <t>PS 6.18</t>
  </si>
  <si>
    <t>In respect of the total value of imported content of goods used in the reservoir from page RD30 Imported Content Sheet
R ….........................................</t>
  </si>
  <si>
    <t>1.1.9</t>
  </si>
  <si>
    <t>Allow a Provisional Sum to cover variation in exchange rate prior to obtaining forward cover. Tenderer is to insert an amount = 20% of the above amount from Item 1.1.8</t>
  </si>
  <si>
    <t>Prov. Sum</t>
  </si>
  <si>
    <t>1.1.10</t>
  </si>
  <si>
    <t>Allow a Provisional Sum to cover the cost of forward cover Tenderer is to insert an amount = 10% of the above amount from item 1.1.8</t>
  </si>
  <si>
    <t>1.1.11</t>
  </si>
  <si>
    <t>Allowance as a percentage of the PC value of items under 1.1.9 and 1.1.10 for Contractor's cost and profit. Tenderer to insert the summed amount (calculated under 1.1.9 and 1.1.10) in the "Qty" column, and state percentage in the "Rate" column.</t>
  </si>
  <si>
    <t>%</t>
  </si>
  <si>
    <t>8.3.2</t>
  </si>
  <si>
    <t>Establish Facilities on the Site</t>
  </si>
  <si>
    <t xml:space="preserve">&gt;&gt; Check PSAB in Specs </t>
  </si>
  <si>
    <t>8.3.2.1</t>
  </si>
  <si>
    <t>Facilities for the Employer's Agent</t>
  </si>
  <si>
    <t>1.1.12</t>
  </si>
  <si>
    <t>PS 5.6.1</t>
  </si>
  <si>
    <t>(a) Offices (3 no. off)</t>
  </si>
  <si>
    <t>1.1.13</t>
  </si>
  <si>
    <t>(c) Nameboards</t>
  </si>
  <si>
    <t>1.1.14</t>
  </si>
  <si>
    <t>PSA 8.3.2.1</t>
  </si>
  <si>
    <t>(d) Latrine facilities</t>
  </si>
  <si>
    <t>1.1.15</t>
  </si>
  <si>
    <t>(e) Boardroom to accommodate 15 people</t>
  </si>
  <si>
    <t>1.1.16</t>
  </si>
  <si>
    <t>(f) Carports (5 off)</t>
  </si>
  <si>
    <t>1.1.17</t>
  </si>
  <si>
    <t>(h) Construction and setting out of survey beacons, including beacons to confirm property boundaries</t>
  </si>
  <si>
    <t>1.1.18</t>
  </si>
  <si>
    <t>(i) Furniture for offices and meeting rooms</t>
  </si>
  <si>
    <t>1.1.19</t>
  </si>
  <si>
    <t>(j) Laptop, Data and Software</t>
  </si>
  <si>
    <t>8.3.2.2</t>
  </si>
  <si>
    <t>Facilities for the Contractor</t>
  </si>
  <si>
    <t>1.1.20</t>
  </si>
  <si>
    <t>(a) Offices and Storage Sheds</t>
  </si>
  <si>
    <t>1.1.21</t>
  </si>
  <si>
    <t>(b) Workshops</t>
  </si>
  <si>
    <t>1.1.22</t>
  </si>
  <si>
    <t>(c) Laboratories</t>
  </si>
  <si>
    <t>1.1.23</t>
  </si>
  <si>
    <t>(e) Ablution and Latrine Facilities</t>
  </si>
  <si>
    <t xml:space="preserve">   </t>
  </si>
  <si>
    <t>1.1.24</t>
  </si>
  <si>
    <t>PSA 8.3.2.2</t>
  </si>
  <si>
    <t>(f) Tools and Equipment</t>
  </si>
  <si>
    <t>1.1.25</t>
  </si>
  <si>
    <t>(g) Water Supplies, Electric Power &amp; Communications</t>
  </si>
  <si>
    <t>1.1.26</t>
  </si>
  <si>
    <t>(h) Dealing with Water</t>
  </si>
  <si>
    <t>1.1.27</t>
  </si>
  <si>
    <t xml:space="preserve">(i) Access </t>
  </si>
  <si>
    <t>1.1.28</t>
  </si>
  <si>
    <t>(j) Plant</t>
  </si>
  <si>
    <t>1.1.29</t>
  </si>
  <si>
    <t>(k) Security of the works</t>
  </si>
  <si>
    <t>1.1.30</t>
  </si>
  <si>
    <t>(l) Personal protection equipment</t>
  </si>
  <si>
    <t>1.1.31</t>
  </si>
  <si>
    <t>8.3.3</t>
  </si>
  <si>
    <t>Other Fixed Charge Obligations</t>
  </si>
  <si>
    <t>1.1.32</t>
  </si>
  <si>
    <t>8.3.4</t>
  </si>
  <si>
    <t>Removal of Site Establishment</t>
  </si>
  <si>
    <t>1.1.33</t>
  </si>
  <si>
    <t>Compliance with the Occupational Health and Safety Act and Specification (Including compliance with COVID-19 Regulations)</t>
  </si>
  <si>
    <t>1.1.34</t>
  </si>
  <si>
    <t>Compliance with the Environmental Management Plan and Vegetation Management Plan</t>
  </si>
  <si>
    <t>1.1.35</t>
  </si>
  <si>
    <t>Hazard Identification and Risk Assessment</t>
  </si>
  <si>
    <t>1.1.36</t>
  </si>
  <si>
    <t>Construction Safety Officer and Other Appointments</t>
  </si>
  <si>
    <t>1.1.37</t>
  </si>
  <si>
    <t>Work Skills Plan and Implementation Report to CETA</t>
  </si>
  <si>
    <t>1.1.38</t>
  </si>
  <si>
    <t>Pre-Employment Medical Examinations</t>
  </si>
  <si>
    <t>TIME RELATED ITEMS</t>
  </si>
  <si>
    <t>8.4.1</t>
  </si>
  <si>
    <t>1.2.1</t>
  </si>
  <si>
    <t>1.2.2</t>
  </si>
  <si>
    <t>1.2.3</t>
  </si>
  <si>
    <t>1.2.4</t>
  </si>
  <si>
    <t>1.2.5</t>
  </si>
  <si>
    <t>Insurance of construction plant and equipment</t>
  </si>
  <si>
    <t>1.2.6a</t>
  </si>
  <si>
    <t>1.2.6b</t>
  </si>
  <si>
    <t>Other (Detail …………………………………………...........…..…….)</t>
  </si>
  <si>
    <t>8.4.2</t>
  </si>
  <si>
    <t>Operation and Maintenance of facilities on site, for the duration of construction, except where otherwise stated</t>
  </si>
  <si>
    <t>8.4.2.1</t>
  </si>
  <si>
    <t>Facilities for Employer's Agent  for the Duration of Construction</t>
  </si>
  <si>
    <t>1.2.7</t>
  </si>
  <si>
    <t>(a) Furnished offices (3 no. off.)</t>
  </si>
  <si>
    <t>1.2.8</t>
  </si>
  <si>
    <t>1.2.9</t>
  </si>
  <si>
    <t>PSA 8.4.2.1</t>
  </si>
  <si>
    <t>(e) Latrine facilities for the sole use of the Employer's Agent</t>
  </si>
  <si>
    <t>1.2.10</t>
  </si>
  <si>
    <t xml:space="preserve">(f) Boadroom to accommodate 15 personnel </t>
  </si>
  <si>
    <t>1.2.11</t>
  </si>
  <si>
    <t>(g) Carports (5 off)</t>
  </si>
  <si>
    <t>1.2.12</t>
  </si>
  <si>
    <t>(h) Construction and setting out of survey beacons</t>
  </si>
  <si>
    <t>1.2.13</t>
  </si>
  <si>
    <t>1.2.14</t>
  </si>
  <si>
    <t>8.4.2.2</t>
  </si>
  <si>
    <t>1.2.15</t>
  </si>
  <si>
    <t>1.2.16</t>
  </si>
  <si>
    <t>1.2.17</t>
  </si>
  <si>
    <t>1.2.18</t>
  </si>
  <si>
    <t>1.2.19</t>
  </si>
  <si>
    <t>1.2.20</t>
  </si>
  <si>
    <t>(g) Water supplies, electricpower and communications, dealing with water and access</t>
  </si>
  <si>
    <t>1.2.21</t>
  </si>
  <si>
    <t>(h) Dealing with water</t>
  </si>
  <si>
    <t>1.2.22</t>
  </si>
  <si>
    <t>(i) Access</t>
  </si>
  <si>
    <t>1.2.23</t>
  </si>
  <si>
    <t>1.2.24</t>
  </si>
  <si>
    <t>PSA 8.4.2.2</t>
  </si>
  <si>
    <t>1.2.25</t>
  </si>
  <si>
    <t>(l) Water tanker for dust suppression</t>
  </si>
  <si>
    <t>1.2.26</t>
  </si>
  <si>
    <t>PSA 8.4.3</t>
  </si>
  <si>
    <t>Supervision for the duration of the Contract</t>
  </si>
  <si>
    <t>1.2.27</t>
  </si>
  <si>
    <t>8.4.4</t>
  </si>
  <si>
    <t>Company and head office overhead costs for the duration of the contract</t>
  </si>
  <si>
    <t>1.2.28</t>
  </si>
  <si>
    <t>1.2.29</t>
  </si>
  <si>
    <t>1.2.30</t>
  </si>
  <si>
    <t>1.2.31</t>
  </si>
  <si>
    <t>1.2.32</t>
  </si>
  <si>
    <t>Compliance with contractual reporting requirements and managing of processes for local content</t>
  </si>
  <si>
    <t>1.2.33</t>
  </si>
  <si>
    <t>8.4.5</t>
  </si>
  <si>
    <t>Other time-related obligations</t>
  </si>
  <si>
    <t>…..........................</t>
  </si>
  <si>
    <t>PSA 8.5</t>
  </si>
  <si>
    <t>SUMS STATED PROVISIONALLY BY THE EMPLOYER'S AGENT</t>
  </si>
  <si>
    <t>1.3.1</t>
  </si>
  <si>
    <t>(b) (3)</t>
  </si>
  <si>
    <t xml:space="preserve">(a) Provisional sum for control testing to be carried out as required by the Employer's Agent including testing of the structure </t>
  </si>
  <si>
    <t>1.3.2</t>
  </si>
  <si>
    <t>(b) Additional tests ordered by the Employer's Agent</t>
  </si>
  <si>
    <t>1.3.3</t>
  </si>
  <si>
    <t>(c) Community Liaison Officer (CLO)</t>
  </si>
  <si>
    <t>Prov.Sum</t>
  </si>
  <si>
    <t>&gt;&gt; Check PSAB</t>
  </si>
  <si>
    <t>1.3.4</t>
  </si>
  <si>
    <t>(d) Training of targetted labour and SMME's</t>
  </si>
  <si>
    <t>1.3.5</t>
  </si>
  <si>
    <t>(e) Skills Development and Training</t>
  </si>
  <si>
    <t>1.3.6</t>
  </si>
  <si>
    <t>(f)  Signage for buildings</t>
  </si>
  <si>
    <t>1.3.7</t>
  </si>
  <si>
    <t>(g) GPR survey</t>
  </si>
  <si>
    <t>1.3.8</t>
  </si>
  <si>
    <t>(h) Protection of existing services</t>
  </si>
  <si>
    <t>1.3.9</t>
  </si>
  <si>
    <t>(i) Application for Environmental regulation</t>
  </si>
  <si>
    <t>1.3.10</t>
  </si>
  <si>
    <t>(j) Environmental Control Officer</t>
  </si>
  <si>
    <t>1.3.11</t>
  </si>
  <si>
    <t>(k) Full time Environmental Liaison Officer</t>
  </si>
  <si>
    <t>1.3.12</t>
  </si>
  <si>
    <t>(l) Project Mentor or support services for the Contractor or for Sub-contractors, SMME's, etc.</t>
  </si>
  <si>
    <t>1.3.13</t>
  </si>
  <si>
    <t>(m)  Contractor's percentage to cover cost of handling for items 1.3.1 to 1.3.12</t>
  </si>
  <si>
    <t>DAYWORK</t>
  </si>
  <si>
    <t>1.4.1</t>
  </si>
  <si>
    <t>PSA 8.7.1</t>
  </si>
  <si>
    <t>Expenditure on dayworks</t>
  </si>
  <si>
    <t>PSA 8.7.2</t>
  </si>
  <si>
    <t>Extra over item 1.4.1 for supervision, overheads and all other costs related to the Daywork items under item 1.4.2 to 1.4.4 for the following:</t>
  </si>
  <si>
    <t>1.4.2</t>
  </si>
  <si>
    <t>(a) Skilled labourers</t>
  </si>
  <si>
    <t>1.4.3</t>
  </si>
  <si>
    <t>(b) Unskilled labourers</t>
  </si>
  <si>
    <t>1.4.4</t>
  </si>
  <si>
    <t>(c) Material</t>
  </si>
  <si>
    <t>PS 8.7.3</t>
  </si>
  <si>
    <t>Plant Hire Rates</t>
  </si>
  <si>
    <t>The appropriate types and sizes (T&amp;S) of the plant shall be stated in the space provided:</t>
  </si>
  <si>
    <t>1.4.5</t>
  </si>
  <si>
    <t>Mobile cranes (Type &amp; Size ……….……………...………............…….)</t>
  </si>
  <si>
    <t>hrs</t>
  </si>
  <si>
    <t>1.4.6</t>
  </si>
  <si>
    <t>Front-end loader (T&amp;S…………....……………………………...............)</t>
  </si>
  <si>
    <t>1.4.7</t>
  </si>
  <si>
    <t>Bulldozer (T&amp;S……………………………………………........................)</t>
  </si>
  <si>
    <t>1.4.8</t>
  </si>
  <si>
    <t>Grader (T&amp;S…......................................................................................)</t>
  </si>
  <si>
    <t>1.4.9</t>
  </si>
  <si>
    <t>Excavators (T&amp;S………………..………………………….......................)</t>
  </si>
  <si>
    <t>1.4.10</t>
  </si>
  <si>
    <t>Tip Trucks (T&amp;S….................................................................................)</t>
  </si>
  <si>
    <t>1.4.11</t>
  </si>
  <si>
    <t>TLB's (T&amp;S…........................................................................................)</t>
  </si>
  <si>
    <t>1.4.12</t>
  </si>
  <si>
    <t>Portable compressor and breakers etc. (T&amp;S….....................................)</t>
  </si>
  <si>
    <t>1.4.13</t>
  </si>
  <si>
    <t>Portable pumps and hoses (T&amp;S…........................................................)</t>
  </si>
  <si>
    <t>1.4.14</t>
  </si>
  <si>
    <t>Others give full details:</t>
  </si>
  <si>
    <t>………………………………………………………………….</t>
  </si>
  <si>
    <t>rate/hr</t>
  </si>
  <si>
    <t>hrs only</t>
  </si>
  <si>
    <t>PSA 8.8</t>
  </si>
  <si>
    <t>TEMPORARY WORKS</t>
  </si>
  <si>
    <t>1.5.1</t>
  </si>
  <si>
    <t>PSA 8.8.2</t>
  </si>
  <si>
    <t>Dealing with traffic and maintain Roads</t>
  </si>
  <si>
    <t>PSA 8.8.4</t>
  </si>
  <si>
    <t>Relocation of services</t>
  </si>
  <si>
    <t>1.5.2</t>
  </si>
  <si>
    <t>Excavation for exposing services in the following depth ranges below ground level:</t>
  </si>
  <si>
    <t>(a) 0.0m up to 2.0m:</t>
  </si>
  <si>
    <t>1.5.3</t>
  </si>
  <si>
    <t>(i) Soft material</t>
  </si>
  <si>
    <t>m³</t>
  </si>
  <si>
    <t>1.5.4</t>
  </si>
  <si>
    <t>(ii) Intermediate material</t>
  </si>
  <si>
    <t>1.5.5</t>
  </si>
  <si>
    <t>(iii) Hard material</t>
  </si>
  <si>
    <t>(b) Exceeding 2.0m up 4.0m:</t>
  </si>
  <si>
    <t>1.5.6</t>
  </si>
  <si>
    <t>1.5.7</t>
  </si>
  <si>
    <t>1.5.8</t>
  </si>
  <si>
    <t xml:space="preserve">(iii) Hard material </t>
  </si>
  <si>
    <t>PSA 8.9</t>
  </si>
  <si>
    <t>DELAYS</t>
  </si>
  <si>
    <t>1.6.1</t>
  </si>
  <si>
    <t>Delay due to total work stoppage (the Daily rate must equal the total of the Daily Time Related P&amp;G Cost. Only this Daily rate will be paid in the event of ANY approved delays to the Due Completion Date of the Contract)</t>
  </si>
  <si>
    <t>days</t>
  </si>
  <si>
    <t>PSA 8.10</t>
  </si>
  <si>
    <t>SUBCONTRACTORS (SMME's)</t>
  </si>
  <si>
    <t>1.7.1</t>
  </si>
  <si>
    <t>Fixed-Charge items for the sub-contractors Contractual Requirements</t>
  </si>
  <si>
    <t>Refer to Summary Page</t>
  </si>
  <si>
    <t>1.7.2</t>
  </si>
  <si>
    <t>PSA 8.10.2</t>
  </si>
  <si>
    <t>Overhead, charges and profit for the Main Contractor to provide for fixed-charge items for the sub-contractors Contractual Requirements</t>
  </si>
  <si>
    <t>1.7.3</t>
  </si>
  <si>
    <t>Time Related items for the sub-contractors Contractual Requirements</t>
  </si>
  <si>
    <t>1.7.4</t>
  </si>
  <si>
    <t>PSA 8.10.3</t>
  </si>
  <si>
    <t>Overhead, charges and profit for the Main Contractor to provide for time related items for the sub-contractors Contractual Requirements</t>
  </si>
  <si>
    <t>1.7.5</t>
  </si>
  <si>
    <t>PSA 8.10.4</t>
  </si>
  <si>
    <t>Provisional Sum to cover costs incurred by the Contractor when making payments of behalf of the sub-contractor (ref Contract Data) or to provide ad-hoc services on behalf of the sub-contractor</t>
  </si>
  <si>
    <t>TOTAL FOR SECTION 1 (Carried to Summary)</t>
  </si>
  <si>
    <t>Master Rates</t>
  </si>
  <si>
    <t>Concrete Factors</t>
  </si>
  <si>
    <t>Site Clearance (per/m2)</t>
  </si>
  <si>
    <t>Concrete ( per m3)</t>
  </si>
  <si>
    <t>RETAINING WALLS</t>
  </si>
  <si>
    <r>
      <t>Concrete ( per m</t>
    </r>
    <r>
      <rPr>
        <vertAlign val="superscript"/>
        <sz val="10"/>
        <color indexed="8"/>
        <rFont val="Arial"/>
        <family val="2"/>
      </rPr>
      <t>3</t>
    </r>
    <r>
      <rPr>
        <sz val="10"/>
        <color indexed="8"/>
        <rFont val="Arial"/>
        <family val="2"/>
      </rPr>
      <t>)</t>
    </r>
  </si>
  <si>
    <t>Formwork ( per m2)</t>
  </si>
  <si>
    <t>ACCESS ROADS AND STORMWATER</t>
  </si>
  <si>
    <t>Blinding Layer</t>
  </si>
  <si>
    <t>Formwork Domed Roof ( per m2)</t>
  </si>
  <si>
    <t>HEAD OF WORKS</t>
  </si>
  <si>
    <t xml:space="preserve"> </t>
  </si>
  <si>
    <r>
      <t>Formwork ( per m</t>
    </r>
    <r>
      <rPr>
        <vertAlign val="superscript"/>
        <sz val="10"/>
        <color indexed="8"/>
        <rFont val="Arial"/>
        <family val="2"/>
      </rPr>
      <t>2</t>
    </r>
    <r>
      <rPr>
        <sz val="10"/>
        <color indexed="8"/>
        <rFont val="Arial"/>
        <family val="2"/>
      </rPr>
      <t>)</t>
    </r>
  </si>
  <si>
    <t>Formwork Walls ( per m2)</t>
  </si>
  <si>
    <t>PRIMARY TREATMENT</t>
  </si>
  <si>
    <r>
      <t>Wood Float Finish ( per m</t>
    </r>
    <r>
      <rPr>
        <vertAlign val="superscript"/>
        <sz val="10"/>
        <color indexed="8"/>
        <rFont val="Arial"/>
        <family val="2"/>
      </rPr>
      <t>2</t>
    </r>
    <r>
      <rPr>
        <sz val="10"/>
        <color indexed="8"/>
        <rFont val="Arial"/>
        <family val="2"/>
      </rPr>
      <t>)</t>
    </r>
  </si>
  <si>
    <t>Reinforcement Walls &amp; Footings at 400kg/m3 ( per ton)</t>
  </si>
  <si>
    <t>FLOW BALANCING</t>
  </si>
  <si>
    <t>Reinforcement ( per ton)</t>
  </si>
  <si>
    <t>Mesh Ref 245</t>
  </si>
  <si>
    <t>BIOLOGICAL REACTOR</t>
  </si>
  <si>
    <r>
      <t>Bulk Excavation (per m</t>
    </r>
    <r>
      <rPr>
        <vertAlign val="superscript"/>
        <sz val="10"/>
        <color indexed="8"/>
        <rFont val="Arial"/>
        <family val="2"/>
      </rPr>
      <t>3</t>
    </r>
    <r>
      <rPr>
        <sz val="10"/>
        <color indexed="8"/>
        <rFont val="Arial"/>
        <family val="2"/>
      </rPr>
      <t>)</t>
    </r>
  </si>
  <si>
    <t>Mesh Ref 617</t>
  </si>
  <si>
    <t>SECONDARY TREATMENT</t>
  </si>
  <si>
    <t>Soft</t>
  </si>
  <si>
    <t>Reinforcement Columns at 120kg/m3 ( per ton)</t>
  </si>
  <si>
    <t>DISINFECTION &amp; FINAL EFFLUENT</t>
  </si>
  <si>
    <t>Intermediate</t>
  </si>
  <si>
    <t>STORM FLOW DAM</t>
  </si>
  <si>
    <t>Hard</t>
  </si>
  <si>
    <t>Bulk Excavation (per m3)</t>
  </si>
  <si>
    <t>FERMENTER AREA</t>
  </si>
  <si>
    <t>Remove Top Soil</t>
  </si>
  <si>
    <t>ANCILLARY WORKS</t>
  </si>
  <si>
    <r>
      <t>Restricted Excavation (per m</t>
    </r>
    <r>
      <rPr>
        <vertAlign val="superscript"/>
        <sz val="10"/>
        <color indexed="8"/>
        <rFont val="Arial"/>
        <family val="2"/>
      </rPr>
      <t>3</t>
    </r>
    <r>
      <rPr>
        <sz val="10"/>
        <color indexed="8"/>
        <rFont val="Arial"/>
        <family val="2"/>
      </rPr>
      <t>)</t>
    </r>
  </si>
  <si>
    <t>Restricted Excavation (per m3)</t>
  </si>
  <si>
    <t xml:space="preserve">Pipelines </t>
  </si>
  <si>
    <t>Allowance for Mass Concrete</t>
  </si>
  <si>
    <t>Rate (R/m)</t>
  </si>
  <si>
    <t>Contingency by the Engineer</t>
  </si>
  <si>
    <t>Concrete Pipelines</t>
  </si>
  <si>
    <r>
      <t>Buildings Engineering (R/m</t>
    </r>
    <r>
      <rPr>
        <sz val="10"/>
        <color indexed="8"/>
        <rFont val="Arial Narrow"/>
        <family val="2"/>
      </rPr>
      <t>²</t>
    </r>
    <r>
      <rPr>
        <sz val="10"/>
        <color indexed="8"/>
        <rFont val="Arial"/>
        <family val="2"/>
      </rPr>
      <t>)</t>
    </r>
  </si>
  <si>
    <t>Class 100D Diameter 500 Concrete Pipe</t>
  </si>
  <si>
    <t>Building Architectural (R/m²)</t>
  </si>
  <si>
    <t>Class 100D Diameter 450 Concrete Pipe</t>
  </si>
  <si>
    <t>Class 100D Diameter 750 Concrete Pipe</t>
  </si>
  <si>
    <t xml:space="preserve">Restricted Excavation </t>
  </si>
  <si>
    <t>Class 100D Diameter 600 Concrete Pipe</t>
  </si>
  <si>
    <t>Class 100D Diameter 900 Concrete Pipe</t>
  </si>
  <si>
    <t>Buildings Engineering (R/m²)</t>
  </si>
  <si>
    <t>Class 100D Diameter 1000 Concrete Pipe</t>
  </si>
  <si>
    <t>Class 100D Diameter 1200 Concrete Pipe</t>
  </si>
  <si>
    <t xml:space="preserve">Hard </t>
  </si>
  <si>
    <t>Class 100D Diameter 1500 Concrete Pipe</t>
  </si>
  <si>
    <t xml:space="preserve">Bulk Excavation </t>
  </si>
  <si>
    <t>Class 100D Diameter 1800 Concrete Pipe</t>
  </si>
  <si>
    <t>HDPE Pipelines</t>
  </si>
  <si>
    <t xml:space="preserve">PN12.5 Diameter 160 HDPE Pipe </t>
  </si>
  <si>
    <r>
      <t>Bulk Excavation &amp; dispose (per m</t>
    </r>
    <r>
      <rPr>
        <vertAlign val="superscript"/>
        <sz val="10"/>
        <color indexed="8"/>
        <rFont val="Arial"/>
        <family val="2"/>
      </rPr>
      <t>3</t>
    </r>
    <r>
      <rPr>
        <sz val="10"/>
        <color indexed="8"/>
        <rFont val="Arial"/>
        <family val="2"/>
      </rPr>
      <t>)</t>
    </r>
  </si>
  <si>
    <t>PN12.5 Diameter 500 HDPE Pipe</t>
  </si>
  <si>
    <r>
      <t>Bulk Excavation &amp; Reuse (per m</t>
    </r>
    <r>
      <rPr>
        <vertAlign val="superscript"/>
        <sz val="10"/>
        <color indexed="8"/>
        <rFont val="Arial"/>
        <family val="2"/>
      </rPr>
      <t>3</t>
    </r>
    <r>
      <rPr>
        <sz val="10"/>
        <color indexed="8"/>
        <rFont val="Arial"/>
        <family val="2"/>
      </rPr>
      <t>)</t>
    </r>
  </si>
  <si>
    <t>Dispose</t>
  </si>
  <si>
    <t>Stainless Steel Pipes</t>
  </si>
  <si>
    <t>Reuse</t>
  </si>
  <si>
    <t>Bulk Excavation &amp; dispose (per m3)</t>
  </si>
  <si>
    <t>SS304 Diamter 150 Pipe</t>
  </si>
  <si>
    <t>Import G7 fill material</t>
  </si>
  <si>
    <t>SS304 Diamter 350 Pipe</t>
  </si>
  <si>
    <t>Import G5 fill material</t>
  </si>
  <si>
    <t>SS304 Diamter 200 Pipe</t>
  </si>
  <si>
    <t>SS304 Diamter 450 Pipe</t>
  </si>
  <si>
    <r>
      <t>80 mm Interlocking Paving Blocks (per m</t>
    </r>
    <r>
      <rPr>
        <sz val="10"/>
        <color indexed="8"/>
        <rFont val="Arial Narrow"/>
        <family val="2"/>
      </rPr>
      <t>²</t>
    </r>
    <r>
      <rPr>
        <sz val="10"/>
        <color indexed="8"/>
        <rFont val="Arial"/>
        <family val="2"/>
      </rPr>
      <t>)</t>
    </r>
  </si>
  <si>
    <t>SS304 Diamter 500 Pipe</t>
  </si>
  <si>
    <t>60 mm Interlocking Paving Blocks  (per m²)</t>
  </si>
  <si>
    <t>SS304 Diamter 900 Pipe</t>
  </si>
  <si>
    <t>80 mm Interlocking Paving Blocks (per m²)</t>
  </si>
  <si>
    <t>SS304 Diamter 600 Pipe</t>
  </si>
  <si>
    <r>
      <t>150 mm C4  (per m</t>
    </r>
    <r>
      <rPr>
        <sz val="10"/>
        <color indexed="8"/>
        <rFont val="Arial Narrow"/>
        <family val="2"/>
      </rPr>
      <t>³</t>
    </r>
    <r>
      <rPr>
        <sz val="10"/>
        <color indexed="8"/>
        <rFont val="Arial"/>
        <family val="2"/>
      </rPr>
      <t>)</t>
    </r>
  </si>
  <si>
    <t>SS304 Diamter 1000 Pipe</t>
  </si>
  <si>
    <t>SS304 Diamter 800 Pipe</t>
  </si>
  <si>
    <r>
      <t>150 mm rip and recompact  (per m</t>
    </r>
    <r>
      <rPr>
        <sz val="10"/>
        <color indexed="8"/>
        <rFont val="Arial Narrow"/>
        <family val="2"/>
      </rPr>
      <t>³</t>
    </r>
    <r>
      <rPr>
        <sz val="10"/>
        <color indexed="8"/>
        <rFont val="Arial"/>
        <family val="2"/>
      </rPr>
      <t>)</t>
    </r>
  </si>
  <si>
    <t>150 mm C4  (per m³)</t>
  </si>
  <si>
    <t>Precast kerbing units  (per m)</t>
  </si>
  <si>
    <t>uPVC Pipes</t>
  </si>
  <si>
    <t>150 mm rip and recompact  (per m³)</t>
  </si>
  <si>
    <t>SS304 Diamter 1200 Pipe</t>
  </si>
  <si>
    <t>Manholes with Concrete Cover (per 1 no. off)</t>
  </si>
  <si>
    <t>Diameter 200 Class 12</t>
  </si>
  <si>
    <t>Kerb Inlets (per 1 no. off)</t>
  </si>
  <si>
    <t>Diameter 110</t>
  </si>
  <si>
    <t>Manholes (per 1 no. off)</t>
  </si>
  <si>
    <t>Manholes with Grid Inlet (per 1 no. off)</t>
  </si>
  <si>
    <t>Diameter 50 Class 12</t>
  </si>
  <si>
    <t>Culverts (per 1 no. off)</t>
  </si>
  <si>
    <t>Weholite Pipes</t>
  </si>
  <si>
    <t>Grid Inlets (per m)</t>
  </si>
  <si>
    <t>Diameter 75 Class 12</t>
  </si>
  <si>
    <t>Diameter 450</t>
  </si>
  <si>
    <t>Diameter 110 Class 12</t>
  </si>
  <si>
    <r>
      <t>Emergency Dam (R/m³</t>
    </r>
    <r>
      <rPr>
        <sz val="8.5"/>
        <color indexed="8"/>
        <rFont val="Arial"/>
        <family val="2"/>
      </rPr>
      <t>)</t>
    </r>
  </si>
  <si>
    <t>Diameter 1500</t>
  </si>
  <si>
    <t>P &amp; G (%)</t>
  </si>
  <si>
    <t>Diameter 1800</t>
  </si>
  <si>
    <t>Emergency Dam (R/m³)</t>
  </si>
  <si>
    <t>Double Brickwork (per m2)</t>
  </si>
  <si>
    <t>Cutting &amp; Trimming Concrete Pipes</t>
  </si>
  <si>
    <t>Single Brickwork (per m2)</t>
  </si>
  <si>
    <t xml:space="preserve">Diameter 450 </t>
  </si>
  <si>
    <t>Brickwork (per m2)</t>
  </si>
  <si>
    <t>D1-Single steel door</t>
  </si>
  <si>
    <t>Diameter 600</t>
  </si>
  <si>
    <t>D2-Single steel door</t>
  </si>
  <si>
    <t>W1-Window</t>
  </si>
  <si>
    <t>Pipe Trenches: 300mm - 600mm Dia Pipes</t>
  </si>
  <si>
    <t>HDPE Pipes</t>
  </si>
  <si>
    <t>W2-Window</t>
  </si>
  <si>
    <t>0-1m</t>
  </si>
  <si>
    <t>Diameter 50 slotted drainage pipe</t>
  </si>
  <si>
    <t>Water Closet</t>
  </si>
  <si>
    <t>1-2m</t>
  </si>
  <si>
    <t>Diameter 75 slotted drainage pipe</t>
  </si>
  <si>
    <t>Sink</t>
  </si>
  <si>
    <t>2-3m</t>
  </si>
  <si>
    <t>Diameter 110 slotted drainage pipe</t>
  </si>
  <si>
    <t>Fencing(R/m)</t>
  </si>
  <si>
    <t>Pipe Bedding Material</t>
  </si>
  <si>
    <t>ClearVu Fencing(R/m)</t>
  </si>
  <si>
    <t>Access Gate</t>
  </si>
  <si>
    <t>From Trench or Other Excavations</t>
  </si>
  <si>
    <t>By Importation From Commerical Sources</t>
  </si>
  <si>
    <t>Joint Sealing</t>
  </si>
  <si>
    <t>SITE CLEARANCE</t>
  </si>
  <si>
    <t>110mm dia. uPVC Tee Piece</t>
  </si>
  <si>
    <t>Blinding (per m2)</t>
  </si>
  <si>
    <t>Clear and grub small trees and bushes</t>
  </si>
  <si>
    <t>Landscaping &amp; Grassing (per m2)</t>
  </si>
  <si>
    <t>Clear and grub strip 2 m wide for fence</t>
  </si>
  <si>
    <t>JOINTS</t>
  </si>
  <si>
    <t>Geotextile (per m2)</t>
  </si>
  <si>
    <t>Joint Filler</t>
  </si>
  <si>
    <t>BOX OUT VOIDS</t>
  </si>
  <si>
    <t>20mm wide between concrete members</t>
  </si>
  <si>
    <t>Steel covers (1800x1500)</t>
  </si>
  <si>
    <t xml:space="preserve">Cylindrical Opening: 0,00-0,01 m³ </t>
  </si>
  <si>
    <t>20mm wide between concrete and brickwork</t>
  </si>
  <si>
    <t>Steel covers (1800x1350)</t>
  </si>
  <si>
    <t>Cylindrical Opening: 0,01-0,05 m³</t>
  </si>
  <si>
    <t>Joint Sealer</t>
  </si>
  <si>
    <t>Steel covers (1800x900)</t>
  </si>
  <si>
    <t>Steel covers (900x900)</t>
  </si>
  <si>
    <t>HIGH TENSILE WELDED MESH</t>
  </si>
  <si>
    <t>Cast iron Manhole cover (900x900)</t>
  </si>
  <si>
    <t>Ref. 245</t>
  </si>
  <si>
    <t>No fines concrete (per m3)</t>
  </si>
  <si>
    <t>Ref. 193</t>
  </si>
  <si>
    <t>Tee Piece</t>
  </si>
  <si>
    <t>110mm Dia</t>
  </si>
  <si>
    <t>Joints</t>
  </si>
  <si>
    <t>Waterstop</t>
  </si>
  <si>
    <t>Manhole 1000mm Inside Diameter, 1m ind depth</t>
  </si>
  <si>
    <t>Sikadur Joint bandage system</t>
  </si>
  <si>
    <t>PLASTIC SHEETING</t>
  </si>
  <si>
    <t>Concrete Slab</t>
  </si>
  <si>
    <t>Filler - 150mm conc members</t>
  </si>
  <si>
    <t>Concrete Manhole Cover</t>
  </si>
  <si>
    <t>Filler - 200mm conc members</t>
  </si>
  <si>
    <t>SEGMENTED PAVING</t>
  </si>
  <si>
    <t>590 x 790mm Stormwater Grating &amp; Frame</t>
  </si>
  <si>
    <t xml:space="preserve">Sealant </t>
  </si>
  <si>
    <t>Process Base  Material By means of Stabilization</t>
  </si>
  <si>
    <t>Kerb Inlet</t>
  </si>
  <si>
    <t>Hypalon Bandage</t>
  </si>
  <si>
    <t>Compaction to 93$% Mod. AASHTO</t>
  </si>
  <si>
    <t>Hand railing</t>
  </si>
  <si>
    <t xml:space="preserve">Portland Cement </t>
  </si>
  <si>
    <t>Manhole Components - 10/11/20</t>
  </si>
  <si>
    <t>Kerbing - Fig 3</t>
  </si>
  <si>
    <t>1000 x 250 Starter Rings</t>
  </si>
  <si>
    <t>Kerbing - Edge Beam</t>
  </si>
  <si>
    <t>1000 x 250 Ring with Steps</t>
  </si>
  <si>
    <t>Ring Beam (m3)</t>
  </si>
  <si>
    <t>Cutting to Fit Edge Restraints</t>
  </si>
  <si>
    <t>Type 2A Covers</t>
  </si>
  <si>
    <t>Ring Beam (m3) (Excluding reinforcement, conc and FW)</t>
  </si>
  <si>
    <t>Type 2A Concrete Frame</t>
  </si>
  <si>
    <t>Granular Material</t>
  </si>
  <si>
    <t>Building Pipes into Concrete (500mm)</t>
  </si>
  <si>
    <t>Selected Fill</t>
  </si>
  <si>
    <t>Building Pipes into Concrete (600mm)</t>
  </si>
  <si>
    <t>Box out holes/form voids (1000mm x 1500mm)</t>
  </si>
  <si>
    <t>Concrete Strength 15/19</t>
  </si>
  <si>
    <t>Benching</t>
  </si>
  <si>
    <t>Wood float finish</t>
  </si>
  <si>
    <t>Steel Float Finish</t>
  </si>
  <si>
    <t>Rough Finish</t>
  </si>
  <si>
    <t>Plastic sheeting</t>
  </si>
  <si>
    <t>Open grid flooring</t>
  </si>
  <si>
    <t>Restricted Excavations</t>
  </si>
  <si>
    <t>0 - 2</t>
  </si>
  <si>
    <t xml:space="preserve">2 - 4 </t>
  </si>
  <si>
    <t>4 - 6</t>
  </si>
  <si>
    <t>Extra over for</t>
  </si>
  <si>
    <t>Hard Rock</t>
  </si>
  <si>
    <t>Step irons</t>
  </si>
  <si>
    <t>Impermeable Waterproofing ductile slurry</t>
  </si>
  <si>
    <t>SECTION 2: SITE PREPERATION &amp; FENCING</t>
  </si>
  <si>
    <t>SECTION 2: SITE PREPARATION &amp; FENCING</t>
  </si>
  <si>
    <t>SANS 
1200C</t>
  </si>
  <si>
    <t>2.1.1</t>
  </si>
  <si>
    <t>8.2.1</t>
  </si>
  <si>
    <t>ha</t>
  </si>
  <si>
    <t>2.1.2</t>
  </si>
  <si>
    <t>m</t>
  </si>
  <si>
    <t>SANS 
1200D</t>
  </si>
  <si>
    <t>EARTHWORKS</t>
  </si>
  <si>
    <t>Site Preparation</t>
  </si>
  <si>
    <t>2.2.1</t>
  </si>
  <si>
    <t>8.3.1.2</t>
  </si>
  <si>
    <t>Remove topsoil to nominal depth of 150 mm, stockpile and maintain (only where ordered by the Engineer)</t>
  </si>
  <si>
    <t>m²</t>
  </si>
  <si>
    <t>PSD 8.3.2</t>
  </si>
  <si>
    <t>Bulk Excavation</t>
  </si>
  <si>
    <t>8.3.2 (a)</t>
  </si>
  <si>
    <t>Excavate in all materials and use for embankment or backfill or dispose as ordered within freehaul distance</t>
  </si>
  <si>
    <t>2.2.2</t>
  </si>
  <si>
    <t>(1) Excavate to main terrace level of reservoir and ancilliary structures and dispose</t>
  </si>
  <si>
    <t xml:space="preserve">Cut </t>
  </si>
  <si>
    <t>2.2.3</t>
  </si>
  <si>
    <t>(2) Excavate to main terrace level of access road and dispose</t>
  </si>
  <si>
    <t>2.2.4</t>
  </si>
  <si>
    <t>Extra over items 2.2.2 to 2.2.3 for additional excavations required by the Engineer after excavation has been completed</t>
  </si>
  <si>
    <t>8.3.2(b)</t>
  </si>
  <si>
    <t>Extra over items 2.2.2 to 2.2.3 for excavations in:</t>
  </si>
  <si>
    <t>2.2.5</t>
  </si>
  <si>
    <t>(1) Intermediate material</t>
  </si>
  <si>
    <t>2.2.6</t>
  </si>
  <si>
    <t>(2) Hard rock material</t>
  </si>
  <si>
    <t>2.2.7</t>
  </si>
  <si>
    <t>8.3.6</t>
  </si>
  <si>
    <t>Overhaul</t>
  </si>
  <si>
    <t>m³.km</t>
  </si>
  <si>
    <t>PSBA</t>
  </si>
  <si>
    <t>Landscapping and Grassing</t>
  </si>
  <si>
    <t>Leak Detection</t>
  </si>
  <si>
    <t>Trimming:</t>
  </si>
  <si>
    <t>2.2.8</t>
  </si>
  <si>
    <t>PSBA 8.1 (a)</t>
  </si>
  <si>
    <t>Machine trimming areas to receive grass</t>
  </si>
  <si>
    <t>Preparing areas for grassing (Only where no trimming was done)</t>
  </si>
  <si>
    <t>2.2.9</t>
  </si>
  <si>
    <t>PSBA 8.3 (a)</t>
  </si>
  <si>
    <t>Scarifying where ordered by the Engineer</t>
  </si>
  <si>
    <t>PSAB 8.3 (b)</t>
  </si>
  <si>
    <t>Top soiling (100mm thick) with:</t>
  </si>
  <si>
    <t>2.2.10</t>
  </si>
  <si>
    <t>Topsoil obtained from stockpile on site</t>
  </si>
  <si>
    <t>2.2.11</t>
  </si>
  <si>
    <t>Topsoil obtained by the Contractor (from commercial sources)</t>
  </si>
  <si>
    <t>PSAB 8.3 (d)</t>
  </si>
  <si>
    <r>
      <t>Supplying and applying of Chemical Fertiliser @ 50g/m</t>
    </r>
    <r>
      <rPr>
        <b/>
        <vertAlign val="superscript"/>
        <sz val="10"/>
        <color theme="1"/>
        <rFont val="Arial Narrow"/>
        <family val="2"/>
      </rPr>
      <t>2</t>
    </r>
  </si>
  <si>
    <t>2.2.12</t>
  </si>
  <si>
    <t>2:3:2 (22) Fertilizer</t>
  </si>
  <si>
    <t>kg</t>
  </si>
  <si>
    <t>PSVA 8.4</t>
  </si>
  <si>
    <t>Grassing</t>
  </si>
  <si>
    <t>2.2.13</t>
  </si>
  <si>
    <t>PSVA 8.4 (b)</t>
  </si>
  <si>
    <t>Kikuyu sodding</t>
  </si>
  <si>
    <t>2.2.14</t>
  </si>
  <si>
    <t>PSVA 8.4 (d)</t>
  </si>
  <si>
    <t>Hydroseeding mix</t>
  </si>
  <si>
    <t>2.2.15</t>
  </si>
  <si>
    <t>PSVA 8.7</t>
  </si>
  <si>
    <t>Dealing with weeds</t>
  </si>
  <si>
    <t>2.2.16</t>
  </si>
  <si>
    <t>PSVA 8.8</t>
  </si>
  <si>
    <t>Extra over for Landcapping</t>
  </si>
  <si>
    <t>PSVB</t>
  </si>
  <si>
    <t>ACCESS CONTROL AND FENCING</t>
  </si>
  <si>
    <t>2-3</t>
  </si>
  <si>
    <t>3-4</t>
  </si>
  <si>
    <t>Supply and erection of new security fencing material</t>
  </si>
  <si>
    <t>Network 2</t>
  </si>
  <si>
    <t>2.3.1</t>
  </si>
  <si>
    <t>PSVB 8.1</t>
  </si>
  <si>
    <t>Supply and Install a new 2.4m Clear Galvanised Steel Mesh Fence</t>
  </si>
  <si>
    <t>2.3.2</t>
  </si>
  <si>
    <t>600mm Deep by 200mm wide concrete (Class 15/20) strip below fence into ground</t>
  </si>
  <si>
    <t>2.3.3</t>
  </si>
  <si>
    <t>PSVB 8.2</t>
  </si>
  <si>
    <t xml:space="preserve">Supply and Install a 7m Motorised Galvanised Steel Mesh Sliding Gate to suit 2.4m Galvanised Steel Mesh Fence </t>
  </si>
  <si>
    <t>2-4</t>
  </si>
  <si>
    <t>TOTAL FOR SECTION 2 (Carried to Summary)</t>
  </si>
  <si>
    <t>SECTION 3: ROADS &amp; STORMWATER</t>
  </si>
  <si>
    <t>SECTION 3: ROADS AND STORMWATER</t>
  </si>
  <si>
    <t>SANS 1200DB</t>
  </si>
  <si>
    <t>PIPE TRENCHES</t>
  </si>
  <si>
    <t>Excavate in all materials for trenches, backfill and compact, including disposal of surplus unsuitable material for pipes and cable ducts over 300 mm up to 600 mm diameter for depths.</t>
  </si>
  <si>
    <t>3.1.1</t>
  </si>
  <si>
    <t>(a) 0.0 m - 2.0 m</t>
  </si>
  <si>
    <t>&gt; Check whether the PS spec is in agreement with the limits specified</t>
  </si>
  <si>
    <t>&gt; Add PS spec reference</t>
  </si>
  <si>
    <t>3.1.2</t>
  </si>
  <si>
    <t>(b) 2.0 m - 4.0 m</t>
  </si>
  <si>
    <t>&gt; These quanitites should not include leak detection system - check</t>
  </si>
  <si>
    <t>3.1.3</t>
  </si>
  <si>
    <t>Extra over items 3.1.1 to 3.1.2 for additional excavations required by the Employer's Agent after excavation has been completed</t>
  </si>
  <si>
    <t>PSD 8.3.2(b)</t>
  </si>
  <si>
    <t>Extra over items 3.1.1 to 3.1.2 for</t>
  </si>
  <si>
    <t>3.1.4</t>
  </si>
  <si>
    <t>(1) Intermediate excavation</t>
  </si>
  <si>
    <r>
      <t>m</t>
    </r>
    <r>
      <rPr>
        <vertAlign val="superscript"/>
        <sz val="10"/>
        <rFont val="Arial Narrow"/>
        <family val="2"/>
      </rPr>
      <t>3</t>
    </r>
  </si>
  <si>
    <t>3.1.5</t>
  </si>
  <si>
    <t>(2) Hard rock excavation</t>
  </si>
  <si>
    <t>3.1.6</t>
  </si>
  <si>
    <t>8.3.2 (c)</t>
  </si>
  <si>
    <t>Excavate and dispose of unsuitable material from trench bottom (provisional)</t>
  </si>
  <si>
    <t>Excavation Ancilliaries</t>
  </si>
  <si>
    <t>Make up deficiency in backfill material (provisional)</t>
  </si>
  <si>
    <t>3.1.7</t>
  </si>
  <si>
    <t>(c) by importation from commercial sources (G7)</t>
  </si>
  <si>
    <r>
      <t>m</t>
    </r>
    <r>
      <rPr>
        <vertAlign val="superscript"/>
        <sz val="10"/>
        <color theme="1"/>
        <rFont val="Arial Narrow"/>
        <family val="2"/>
      </rPr>
      <t>3</t>
    </r>
  </si>
  <si>
    <t>3.1.8</t>
  </si>
  <si>
    <t>8.3.3.4</t>
  </si>
  <si>
    <t>3.1.9</t>
  </si>
  <si>
    <t>Particular Items</t>
  </si>
  <si>
    <t>3.1.10</t>
  </si>
  <si>
    <t>a) Shore trench opposite structure or service (Provisional)</t>
  </si>
  <si>
    <t>PSDB 8.3.5</t>
  </si>
  <si>
    <t>Existing Services that Intersect or Adjoin a Pipe Trench</t>
  </si>
  <si>
    <t>3.1.11</t>
  </si>
  <si>
    <t>(a) Services that intersect with the trench</t>
  </si>
  <si>
    <t>3.1.12</t>
  </si>
  <si>
    <t>(b) Services that adjoin a trench</t>
  </si>
  <si>
    <t>Finishing</t>
  </si>
  <si>
    <t>3.1.13</t>
  </si>
  <si>
    <t>8.3.6.1</t>
  </si>
  <si>
    <t>Reinstate road sidewalk complete with all courses at pipe crossings as per existing layerworks and surface treatment</t>
  </si>
  <si>
    <t>SANS 1200DM</t>
  </si>
  <si>
    <t>ACCESS ROAD</t>
  </si>
  <si>
    <t>Treatment of road-bed</t>
  </si>
  <si>
    <t>8.3.3.3 (a)</t>
  </si>
  <si>
    <t>Road Bed Preparatioin and Compaction of Materal to:</t>
  </si>
  <si>
    <t>3.2.1</t>
  </si>
  <si>
    <t>Rip and recompact in-situ material to 150mm depth, moisten and compact to minimum of 93% Mod. AASHTO density.</t>
  </si>
  <si>
    <t>3.2.2</t>
  </si>
  <si>
    <t xml:space="preserve">Tie into existing road </t>
  </si>
  <si>
    <t>SANS 1200G</t>
  </si>
  <si>
    <t>CONCRETE ROAD</t>
  </si>
  <si>
    <t>Formwork</t>
  </si>
  <si>
    <t>3.3.1</t>
  </si>
  <si>
    <t>Rough Formwork along sides of concrete road slabs</t>
  </si>
  <si>
    <t>Reinforcement</t>
  </si>
  <si>
    <t>3.3.2</t>
  </si>
  <si>
    <t>High tensile steel bars</t>
  </si>
  <si>
    <t>t</t>
  </si>
  <si>
    <t>3.3.3</t>
  </si>
  <si>
    <t>Mild steel bars</t>
  </si>
  <si>
    <t>High Tensile Welded Mesh</t>
  </si>
  <si>
    <t>3.3.4</t>
  </si>
  <si>
    <t>Ref. 888 for road slabs</t>
  </si>
  <si>
    <r>
      <t>m</t>
    </r>
    <r>
      <rPr>
        <vertAlign val="superscript"/>
        <sz val="10"/>
        <color theme="1"/>
        <rFont val="Arial Narrow"/>
        <family val="2"/>
      </rPr>
      <t>2</t>
    </r>
  </si>
  <si>
    <t>Concrete</t>
  </si>
  <si>
    <t>8.4.3</t>
  </si>
  <si>
    <t>Strength Concrete of Class 20/19 utilised for:</t>
  </si>
  <si>
    <t>3.3.5</t>
  </si>
  <si>
    <t>(a) Road Surface Slab</t>
  </si>
  <si>
    <t>Unformed Surface Finishes</t>
  </si>
  <si>
    <t>3.3.6</t>
  </si>
  <si>
    <t>(a) Wood-Floated Finish for road slab</t>
  </si>
  <si>
    <t>PSG 8.5</t>
  </si>
  <si>
    <t>PSG 8.5.2</t>
  </si>
  <si>
    <t>Filled Joints</t>
  </si>
  <si>
    <t>Joint filler consisting of closed cell expanded polyethylene with density not less than 120kg/m3 including bullnose finish to both sides of joint and tear off strip</t>
  </si>
  <si>
    <t>3.4.1</t>
  </si>
  <si>
    <t>20 mm wide between 200mm concrete members</t>
  </si>
  <si>
    <t>PSG 8.5.3</t>
  </si>
  <si>
    <t>Sealed Joints</t>
  </si>
  <si>
    <t>Joint sealer (20 x 15 mm) consisting of a two component polyether based polyurethane sealing compound on visible face of joint including primer and bond breaker</t>
  </si>
  <si>
    <t>3.4.2</t>
  </si>
  <si>
    <t>(a)</t>
  </si>
  <si>
    <t>20 mm x 15 mm joints between concrete members</t>
  </si>
  <si>
    <t xml:space="preserve">&gt;Ask DP to change the silicone to Polyeurethane material </t>
  </si>
  <si>
    <t>3.4.3</t>
  </si>
  <si>
    <t>Saw-cut Joints</t>
  </si>
  <si>
    <t xml:space="preserve">&gt; Include Saw-cut Joints as per the drawings </t>
  </si>
  <si>
    <t>SANS 1200LB</t>
  </si>
  <si>
    <t>PIPE BEDDING</t>
  </si>
  <si>
    <t>8.2.2</t>
  </si>
  <si>
    <t>Supply only of Bedding by Importation</t>
  </si>
  <si>
    <t>8.2.2.3</t>
  </si>
  <si>
    <t>From commercial sources</t>
  </si>
  <si>
    <t>3.5.1</t>
  </si>
  <si>
    <t xml:space="preserve">(a) </t>
  </si>
  <si>
    <t>Selected granular material (G7) compacted to 95% MOD AASHTO</t>
  </si>
  <si>
    <t>3.5.2</t>
  </si>
  <si>
    <t>(b)</t>
  </si>
  <si>
    <t>Selected fill blanket</t>
  </si>
  <si>
    <t>3.5.3</t>
  </si>
  <si>
    <t>8.2.4</t>
  </si>
  <si>
    <t>Encasing of 450 mm pipe in 15 MPa concrete</t>
  </si>
  <si>
    <t>&gt; Check this with the PS specs and add reference to it</t>
  </si>
  <si>
    <t>SANS 1200LE</t>
  </si>
  <si>
    <t>STORMWATER DRAINAGE</t>
  </si>
  <si>
    <t>Supply, handle, lay, bed Class B concrete pipes with interlocking joints</t>
  </si>
  <si>
    <t>3.6.1</t>
  </si>
  <si>
    <t>450 mm diameter Class 100D</t>
  </si>
  <si>
    <t>3.6.2</t>
  </si>
  <si>
    <t>Ancilliary Stormwater Infrastructure</t>
  </si>
  <si>
    <t>SANS 1200ME</t>
  </si>
  <si>
    <t>SUBBASE</t>
  </si>
  <si>
    <t>Construct the subbase course/ shoulder with material from commercial sources or designated borrow pits.</t>
  </si>
  <si>
    <t>3.7.1</t>
  </si>
  <si>
    <t>G7 material compacted in 150mm layer to 93% of modified AASHTO maximum density.</t>
  </si>
  <si>
    <t>3.7.2</t>
  </si>
  <si>
    <t>Construct 150mm layer of G5 base compacted to 93% of MOD AASHTO from commercial sources</t>
  </si>
  <si>
    <t>SANS 1200MF</t>
  </si>
  <si>
    <t>STABILISATION</t>
  </si>
  <si>
    <t>3.8.1</t>
  </si>
  <si>
    <t>8.3.5</t>
  </si>
  <si>
    <t>Process base material by Stabilisation</t>
  </si>
  <si>
    <t>8.3.8</t>
  </si>
  <si>
    <t>Stabilising Agent:</t>
  </si>
  <si>
    <t>1-2</t>
  </si>
  <si>
    <t>3.8.2</t>
  </si>
  <si>
    <t>8.3.8 (b)</t>
  </si>
  <si>
    <t>Portland Cement</t>
  </si>
  <si>
    <t>SANS 1200MK</t>
  </si>
  <si>
    <t>KERBING &amp; CHANNELLING</t>
  </si>
  <si>
    <t>Concrete kerbing (Class 20/20 Concrete)</t>
  </si>
  <si>
    <t>3.9.1</t>
  </si>
  <si>
    <t>Edge beam (150mm x 150mm)</t>
  </si>
  <si>
    <t>3.9.2</t>
  </si>
  <si>
    <t xml:space="preserve"> 300 x 150mm Barrier kerb (Straight) Fig 3</t>
  </si>
  <si>
    <t>3.9.3</t>
  </si>
  <si>
    <t>Allowance for 80mm thick interlocking paving blocks</t>
  </si>
  <si>
    <t>SANS 1200MM</t>
  </si>
  <si>
    <t xml:space="preserve">ANCILLIARY ROADWORKS </t>
  </si>
  <si>
    <t>3.10.1</t>
  </si>
  <si>
    <t>Allowance for signage, barriers and  markings</t>
  </si>
  <si>
    <t>3.10.2</t>
  </si>
  <si>
    <t>Tie into road stormwater network</t>
  </si>
  <si>
    <t>PROVISION FOR PAVING</t>
  </si>
  <si>
    <t>3.11.1</t>
  </si>
  <si>
    <t>3.11.2</t>
  </si>
  <si>
    <t>3.11.3</t>
  </si>
  <si>
    <t>3.11.4</t>
  </si>
  <si>
    <t>150 mm C4 compacted to 95% MOD. AASHTO.</t>
  </si>
  <si>
    <t>3.11.5</t>
  </si>
  <si>
    <t>Stabilizing agent: Portland cement (3%)</t>
  </si>
  <si>
    <t>TOTAL FOR SECTION 3  (Carried to Summary)</t>
  </si>
  <si>
    <t>SANS 1200D</t>
  </si>
  <si>
    <t>RESTRICTED EXCAVATION</t>
  </si>
  <si>
    <t>PSD 8.3.3(a)</t>
  </si>
  <si>
    <t>Excavate for restricted foundations, footings and pipe trenches in all materials and use as described for items 4.1.1 to 4.1.3</t>
  </si>
  <si>
    <t>4.1.1</t>
  </si>
  <si>
    <t>0 to 2m deep</t>
  </si>
  <si>
    <t>4.1.2</t>
  </si>
  <si>
    <t>2m to 4m deep</t>
  </si>
  <si>
    <t>PSD 8.3.3 (b)</t>
  </si>
  <si>
    <t>Extra over items 4.1.1 to 4.1.2 for</t>
  </si>
  <si>
    <t>4.1.3</t>
  </si>
  <si>
    <t>1)</t>
  </si>
  <si>
    <t>Intermediate excavation</t>
  </si>
  <si>
    <t>4.1.4</t>
  </si>
  <si>
    <t>2)</t>
  </si>
  <si>
    <t>Hard rock excavation</t>
  </si>
  <si>
    <t>4.1.5</t>
  </si>
  <si>
    <t>Extra over items 4.1.1 to 4.1.4 for additional excavations required by the Engineer after excavation has been completed</t>
  </si>
  <si>
    <t>4.1.6</t>
  </si>
  <si>
    <t>SANS 1200L</t>
  </si>
  <si>
    <t>PIPEWORK</t>
  </si>
  <si>
    <t>PSL 8.2.5</t>
  </si>
  <si>
    <t>PIPE SPECIALS</t>
  </si>
  <si>
    <t>4.2.1</t>
  </si>
  <si>
    <t>Supply, testing and installation of pipework, fittings and specials brought forward from the Pipe Schedule (building in of pipes measured elsewhere)</t>
  </si>
  <si>
    <t xml:space="preserve">PSLD </t>
  </si>
  <si>
    <t>BUILDING PIPES INTO CONCRETE WORK</t>
  </si>
  <si>
    <t>8.3 (a)</t>
  </si>
  <si>
    <t>Pipes supplied and installed by the Contractor (Irrespective of type)</t>
  </si>
  <si>
    <t>4.3.1</t>
  </si>
  <si>
    <t>150 mm diameter</t>
  </si>
  <si>
    <t>4.3.2</t>
  </si>
  <si>
    <t>500 mm diameter</t>
  </si>
  <si>
    <t>4.3.3</t>
  </si>
  <si>
    <t>600 mm diameter</t>
  </si>
  <si>
    <t>CONCRETE (STRUCTURAL)</t>
  </si>
  <si>
    <t>Smooth Formwork</t>
  </si>
  <si>
    <t>Plane Vertical</t>
  </si>
  <si>
    <t>4.4.1</t>
  </si>
  <si>
    <t>Drainage trench walls</t>
  </si>
  <si>
    <t>4.4.2</t>
  </si>
  <si>
    <t>Edges of butresses</t>
  </si>
  <si>
    <t>Curved Cylindrical</t>
  </si>
  <si>
    <t>4.4.3</t>
  </si>
  <si>
    <t>Vertical sides of reservoir wall footing (outer radius 30175 mm)</t>
  </si>
  <si>
    <t>4.4.4</t>
  </si>
  <si>
    <t>Vertical sides of reservoir wall footing (inner radius 28125 mm)</t>
  </si>
  <si>
    <t>4.4.5</t>
  </si>
  <si>
    <t>Wall of reservoir (outer radius 29450 mm)</t>
  </si>
  <si>
    <t>4.4.6</t>
  </si>
  <si>
    <t>Wall of reservoir (inner radius 29000 mm)</t>
  </si>
  <si>
    <t>4.4.7</t>
  </si>
  <si>
    <t>Ring beam (outer radius 29800 mm)</t>
  </si>
  <si>
    <t>4.4.8</t>
  </si>
  <si>
    <t>Ring beam (inner radius 29000 mm)</t>
  </si>
  <si>
    <t>4.4.9</t>
  </si>
  <si>
    <t>Roof Vent</t>
  </si>
  <si>
    <t>8.2.5</t>
  </si>
  <si>
    <t>Narrow width (up to 300mm wide)</t>
  </si>
  <si>
    <t>4.4.10</t>
  </si>
  <si>
    <t>Sides of drainage trench floor (250mm high)</t>
  </si>
  <si>
    <t>4.4.11</t>
  </si>
  <si>
    <t>Edge of apron around reservoir</t>
  </si>
  <si>
    <t>Curved Spherical</t>
  </si>
  <si>
    <t>4.4.12</t>
  </si>
  <si>
    <t>Internal soffit of reservoir roof</t>
  </si>
  <si>
    <t>8.2.6</t>
  </si>
  <si>
    <t>Box Out Holes/Form Voids</t>
  </si>
  <si>
    <t>4.4.13</t>
  </si>
  <si>
    <t>8.2.6(d)</t>
  </si>
  <si>
    <t>Rectangular openings for access hatch A (1000 x 1500 mm) as shown in drawing: 13214-73-04-001</t>
  </si>
  <si>
    <t>PSG 8.2.7</t>
  </si>
  <si>
    <t>Chamfers larger than 20mm x 20mm</t>
  </si>
  <si>
    <t>4.4.14</t>
  </si>
  <si>
    <t>25 mm along ringbeam</t>
  </si>
  <si>
    <t>4.4.15</t>
  </si>
  <si>
    <t>25mm roof ventilator</t>
  </si>
  <si>
    <t>4.4.16</t>
  </si>
  <si>
    <t>60x60 Plastic fillet along prestressed reservoir wall as per drawing 13214-73-04-001</t>
  </si>
  <si>
    <t>4.4.17</t>
  </si>
  <si>
    <t>4.4.18</t>
  </si>
  <si>
    <t>PSG 8.4.3</t>
  </si>
  <si>
    <t>Strength of Concrete: 15/19</t>
  </si>
  <si>
    <t>4.4.19</t>
  </si>
  <si>
    <t>Blinding layer 75mm thick in reservoir floor and footing (horizontal)</t>
  </si>
  <si>
    <t>4.4.20</t>
  </si>
  <si>
    <t>Blinding layer 50mm thick underneath drainage trench as per drawing 13214-73-04-001</t>
  </si>
  <si>
    <t>STRENGTH CONCRETE NF 20</t>
  </si>
  <si>
    <t>4.4.21</t>
  </si>
  <si>
    <t>No fines concrete layer 100mm thick (horizontal) in reservoir floor</t>
  </si>
  <si>
    <t>4.4.22</t>
  </si>
  <si>
    <t>300 x 300 mm No fines concrete around 110 diameter slotted PVC pipe as per drawing 13214-73-04-002</t>
  </si>
  <si>
    <t>4.4.23</t>
  </si>
  <si>
    <t>No fines concrete around 75 diameter perforated PVC pipe within the leak detection system as per drawing 13214-73-04-002</t>
  </si>
  <si>
    <t>4.4.24</t>
  </si>
  <si>
    <t>Mass concrete as ordered by the engineer</t>
  </si>
  <si>
    <t>Strength of Concrete: 25/19</t>
  </si>
  <si>
    <t>4.4.25</t>
  </si>
  <si>
    <t>Apron Slab</t>
  </si>
  <si>
    <t>Strength of Concrete: 35/19</t>
  </si>
  <si>
    <t>4.4.26</t>
  </si>
  <si>
    <t>Wall Footings</t>
  </si>
  <si>
    <t>4.4.27</t>
  </si>
  <si>
    <t>Floors</t>
  </si>
  <si>
    <t>4.4.28</t>
  </si>
  <si>
    <t>Walls (including 350 x 2000 Buttresses)</t>
  </si>
  <si>
    <t>4.4.29</t>
  </si>
  <si>
    <t>Ring beam</t>
  </si>
  <si>
    <t>4.4.30</t>
  </si>
  <si>
    <t>Roof (including base of ventilation structure)</t>
  </si>
  <si>
    <t>4.4.31</t>
  </si>
  <si>
    <t>Drainage trench floor</t>
  </si>
  <si>
    <t>4.4.32</t>
  </si>
  <si>
    <t>8.4.4 (a)</t>
  </si>
  <si>
    <t>Wood Floated Finish</t>
  </si>
  <si>
    <t>4.4.33</t>
  </si>
  <si>
    <t>Drainage trench (floor and top of walls)</t>
  </si>
  <si>
    <t>4.4.34</t>
  </si>
  <si>
    <t>Domed roof</t>
  </si>
  <si>
    <t>8.4.4 (b)</t>
  </si>
  <si>
    <t>Steel Floated Finish</t>
  </si>
  <si>
    <t>4.4.35</t>
  </si>
  <si>
    <t>Floor inside reservoir</t>
  </si>
  <si>
    <t>PSG 8.10</t>
  </si>
  <si>
    <t>Sealing of openings in top surface of NF-concrete layer with  plaster</t>
  </si>
  <si>
    <t>4.4.36</t>
  </si>
  <si>
    <t>horizontal</t>
  </si>
  <si>
    <t>Filled Joints (Including Formwork)</t>
  </si>
  <si>
    <r>
      <t>Joint Filler Consisting of Closed Cell Expanded Polyethylene with Density not Less than 100 kg/m</t>
    </r>
    <r>
      <rPr>
        <b/>
        <vertAlign val="superscript"/>
        <sz val="10"/>
        <color theme="1"/>
        <rFont val="Arial Narrow"/>
        <family val="2"/>
      </rPr>
      <t>3</t>
    </r>
    <r>
      <rPr>
        <b/>
        <sz val="10"/>
        <color theme="1"/>
        <rFont val="Arial Narrow"/>
        <family val="2"/>
      </rPr>
      <t xml:space="preserve"> Including Bullnose Finish to Both Sides of Joint.</t>
    </r>
  </si>
  <si>
    <t>4.5.1</t>
  </si>
  <si>
    <t>20 mm wide between 100 mm concrete members</t>
  </si>
  <si>
    <t>4.5.2</t>
  </si>
  <si>
    <t>20 mm wide between 150 mm concrete members</t>
  </si>
  <si>
    <t>4.5.3</t>
  </si>
  <si>
    <t>20 mm wide between 200 mm concrete members</t>
  </si>
  <si>
    <t>Joint Sealer (20 X 15 mm) Consisting of a two Component Polyether Based Polyurethane Sealing Compound on Visible Face of Joint Including Primer and Backing Cord or Bond Breaker</t>
  </si>
  <si>
    <t>4.5.4</t>
  </si>
  <si>
    <t>20 mm joints between concrete wall and floor interface as per drawings 13214-73-04-001</t>
  </si>
  <si>
    <t>4.5.5</t>
  </si>
  <si>
    <t>20 mm wide sealed expansion joint along perimeter of drainage trench as per drawing 13214-73-04-001</t>
  </si>
  <si>
    <t>4.5.6</t>
  </si>
  <si>
    <t>20 mm expansion joint along reservoir floor</t>
  </si>
  <si>
    <t>PSG 8.5.4</t>
  </si>
  <si>
    <t>Waterstops</t>
  </si>
  <si>
    <t>4.5.7</t>
  </si>
  <si>
    <t>200 mm wide Rearguard with centerbulb PVC waterstop at floor joints</t>
  </si>
  <si>
    <t>4.5.8</t>
  </si>
  <si>
    <t>250 mm Rearguard with centerbulb PVC waterstop at wall and floor joint (29m radius)</t>
  </si>
  <si>
    <t>4.5.9</t>
  </si>
  <si>
    <t>(c)</t>
  </si>
  <si>
    <t>Extra-over items (a) and (b) above for factory moulded intersection pieces</t>
  </si>
  <si>
    <t>PSG 8.5.5</t>
  </si>
  <si>
    <t>Bandaged Joints</t>
  </si>
  <si>
    <t>4.5.10</t>
  </si>
  <si>
    <t>200mm wide X 2mm thick epoxy-fixed bandage along floor expansion joints</t>
  </si>
  <si>
    <t xml:space="preserve">m </t>
  </si>
  <si>
    <t>4.5.11</t>
  </si>
  <si>
    <t>250mm wide x 2mm thick flexible epoxy-fixed bandage along horisontal wall construction joints</t>
  </si>
  <si>
    <t>4.5.12</t>
  </si>
  <si>
    <t>300mm wide X 2mm thick flexible epoxy-fixed bandage along wall and floor expansion joints (90 degree angle) incl. 60x60 corner fillet</t>
  </si>
  <si>
    <t>Sundry Items</t>
  </si>
  <si>
    <t>4.6.1</t>
  </si>
  <si>
    <t>PSLE 8.2.18</t>
  </si>
  <si>
    <t xml:space="preserve">250 micron PVC sheeting underneath floor slab </t>
  </si>
  <si>
    <t>4.6.2</t>
  </si>
  <si>
    <t>200 micron PVC sheeting adjacent to scour pipe as per drawing 13214-73-04-003: Scour Pipe Detail</t>
  </si>
  <si>
    <t>BEARING STRIPS</t>
  </si>
  <si>
    <t>4.7.1</t>
  </si>
  <si>
    <t>Supply and install 200 kN/m strip bearing at reservoir footing as per drawing 13214-73-04-001: Prestressed Wall/Footing Detail</t>
  </si>
  <si>
    <t>4.7.2</t>
  </si>
  <si>
    <t>Supply and install 95 kN/m strip bearing on top of reservoir wall as per drawing 13214-73-04-001: Ringbeam Detail</t>
  </si>
  <si>
    <t>WATERPROOFING</t>
  </si>
  <si>
    <t>4.8.1</t>
  </si>
  <si>
    <t>Impermeable ductile slurry coating on all internal tank wall and floor surfaces. Including the top external surface of the tank roof.</t>
  </si>
  <si>
    <t>4.9</t>
  </si>
  <si>
    <t>TESTING STRUCTURE FOR WATERTIGHTNESS</t>
  </si>
  <si>
    <t>4.9.1</t>
  </si>
  <si>
    <t>Reservoir</t>
  </si>
  <si>
    <t>SANS 1200HA</t>
  </si>
  <si>
    <t xml:space="preserve">STRUCTURAL STEELWORK </t>
  </si>
  <si>
    <t>Ladder</t>
  </si>
  <si>
    <t>4.10.1</t>
  </si>
  <si>
    <t>Heavy Duty Hot Dipped Galvanised SABS 763 - as per drawing 13214-73-04-002: Typical Cat Ladder Detail</t>
  </si>
  <si>
    <t>4.10.2</t>
  </si>
  <si>
    <t>Stainless Steel Grade 304 Access ladder including cage as per drawing 13214-73-04-002: Typical Cat Ladder Detail</t>
  </si>
  <si>
    <t>4.10.3</t>
  </si>
  <si>
    <t>Stainless Steel Grade 304 grating to fit in a stainless steel frame to be placed over outlet and scour pipes as per drawing 13214-73-04-003</t>
  </si>
  <si>
    <t>4.10.4</t>
  </si>
  <si>
    <t>Stainless Steel Grade 304 energy dissipating plate 4.5mm thick bolted to Reservoir wall with a neoprene rubber inbetween installed below inlet pipe as per drawing 13214-73-04-003</t>
  </si>
  <si>
    <t>GRP Products</t>
  </si>
  <si>
    <t>4.10.5</t>
  </si>
  <si>
    <t>GRP handrail assembly complete</t>
  </si>
  <si>
    <t>Access Hatch</t>
  </si>
  <si>
    <t>4.10.6</t>
  </si>
  <si>
    <t>Lockable access hatch (1000mm x 1500mm) as per drawing 13214-73-04-002: Plan on Access Hatch</t>
  </si>
  <si>
    <t>MEDIUM PRESSURE PIPELINES</t>
  </si>
  <si>
    <t>Specials and Fittings</t>
  </si>
  <si>
    <t>Extra over for the supply &amp; installation of fittings and specials as shown in drawing 13214-73-04-002: Typical Cross &amp; T Connection</t>
  </si>
  <si>
    <t>4.11.1</t>
  </si>
  <si>
    <t>(a) 110 diameter PVC cross</t>
  </si>
  <si>
    <t>4.11.2</t>
  </si>
  <si>
    <t>(b) 110 diameter PVC tee</t>
  </si>
  <si>
    <t>Mild Steel Pipes</t>
  </si>
  <si>
    <t>4.11.3</t>
  </si>
  <si>
    <t>50 mm Galvanised MS outlet pipes</t>
  </si>
  <si>
    <t>PSG 8.11</t>
  </si>
  <si>
    <t>RESERVOIR STERILIZATION</t>
  </si>
  <si>
    <t>4.12.1</t>
  </si>
  <si>
    <t>Sterilization of the reservoir</t>
  </si>
  <si>
    <t>PSU 8.14</t>
  </si>
  <si>
    <t>ROOF VENTILATOR</t>
  </si>
  <si>
    <t>4.13.1</t>
  </si>
  <si>
    <t>Supply and install Roof ventilator as per the detail on drawing 13214-73-04-001: Roof Ventilator Detail</t>
  </si>
  <si>
    <t>TOTAL FOR SECTION 4 (Carried to Summary)</t>
  </si>
  <si>
    <t>SCHEDULE OF QUANTITIES</t>
  </si>
  <si>
    <t>ITEM</t>
  </si>
  <si>
    <t>PAYMENT</t>
  </si>
  <si>
    <t>Notes</t>
  </si>
  <si>
    <t>NO</t>
  </si>
  <si>
    <t>CLAUSE</t>
  </si>
  <si>
    <t>Numbers to be updated</t>
  </si>
  <si>
    <t>Formatting to be fixed</t>
  </si>
  <si>
    <t>Levels to be confirmed and updated</t>
  </si>
  <si>
    <t>Piping config to be confirmed</t>
  </si>
  <si>
    <t>EXCAVATION</t>
  </si>
  <si>
    <t>Valves &amp; Pipe Specials to be confirmed</t>
  </si>
  <si>
    <t>Revise concrete grades as per EFM Spec</t>
  </si>
  <si>
    <t>EXCAVATE IN ALL MATERIALS FOR TRENCHES, BACKFILL AND COMPACT, INCLUDING DISPOSAL OF SURPLUS UNSUITABLE MATERNAL FOR PIPES</t>
  </si>
  <si>
    <t>UP TO 300 mm DIAMETER FOR DEPTHS OVER AND UP TO</t>
  </si>
  <si>
    <t>0.0 m - 1.0 m</t>
  </si>
  <si>
    <t>1.0 m - 2.0 m</t>
  </si>
  <si>
    <t>2.0 m - 3.0 m</t>
  </si>
  <si>
    <t xml:space="preserve">OVER 300 mm UP TO 600 mm DIAMETER FOR DEPTHS </t>
  </si>
  <si>
    <t>3.0 m - 4.0 m</t>
  </si>
  <si>
    <t>8.3.2 (b)</t>
  </si>
  <si>
    <t>EXTRA OVER ITEMS 15.1.1 TO 15.1.9 FOR EXCAVATIONS</t>
  </si>
  <si>
    <t>8.3.2 (I)</t>
  </si>
  <si>
    <t>Intermediate material</t>
  </si>
  <si>
    <r>
      <t>m</t>
    </r>
    <r>
      <rPr>
        <vertAlign val="superscript"/>
        <sz val="10"/>
        <rFont val="Arial"/>
        <family val="2"/>
      </rPr>
      <t>3</t>
    </r>
  </si>
  <si>
    <t>8.3.2 (ii)</t>
  </si>
  <si>
    <t>Hard rock material</t>
  </si>
  <si>
    <t>BEDDING</t>
  </si>
  <si>
    <t>8.2.2.1</t>
  </si>
  <si>
    <t>PROVISION OF BEDDING MATERIAL FROM TRENCH OR OTHER EXCAVATIONS WITHIN FREEHAUL DISTANCE</t>
  </si>
  <si>
    <t>Selected granular material</t>
  </si>
  <si>
    <t>PROVISION OF BEDDING MATERIAL  BY IMPORTATION FROM COMMERCIAL SOURCES</t>
  </si>
  <si>
    <t>CONCRETE AT PIPES</t>
  </si>
  <si>
    <t>Encasing of 110mm dia underfloor drainage pipes in concrete</t>
  </si>
  <si>
    <t>Encasing of 150mm dia drainage &amp; scour pipes in concrete</t>
  </si>
  <si>
    <t>Encasing of 350mm dia overflow pipe in concrete</t>
  </si>
  <si>
    <t>Encasing of 500mm dia inlet pipe in concrete</t>
  </si>
  <si>
    <t>Encasing of 600mm dia outlet pipe in concrete</t>
  </si>
  <si>
    <t xml:space="preserve">250 micron pvc sheeting underneath floor slab </t>
  </si>
  <si>
    <t>check this with NG or bidim</t>
  </si>
  <si>
    <t>SANS 
1200L</t>
  </si>
  <si>
    <t xml:space="preserve">INLET </t>
  </si>
  <si>
    <t>SUPPLY, LAY, JOIN AND TEST PIPEWORK</t>
  </si>
  <si>
    <t>PSL</t>
  </si>
  <si>
    <t>Testing of pipes, fittings and specials brought forward from the pipe schedule for Interconnecting Pipe Work (building in of pipes measured elsewhere)</t>
  </si>
  <si>
    <t>The correct wording for this item is …...
And it is for the total amount in the pipe schedule for this section</t>
  </si>
  <si>
    <t>Supplying, testing and installation of pipes, fittings and specials brought forward from the Pipe Schedule</t>
  </si>
  <si>
    <t>500mm dia Stainless steel puddle pipe 750mm long. Both ends flanged, with puddle flange 375mm from one end</t>
  </si>
  <si>
    <t>No</t>
  </si>
  <si>
    <t>300mm dia stainless steel flanged pipe 3500mm long</t>
  </si>
  <si>
    <t>300mm dia stainless steel flanged pipe 1750mm long</t>
  </si>
  <si>
    <t>Y-PIECE</t>
  </si>
  <si>
    <t>500mm  dia stainless steel flanged Y-Piece</t>
  </si>
  <si>
    <t>45' BEND</t>
  </si>
  <si>
    <t>500mm dia 45' Short radius bend</t>
  </si>
  <si>
    <t>ECCENTRIC REDUCER</t>
  </si>
  <si>
    <t xml:space="preserve">500mm x 300mm dia stainless steel  flanged eccentric reducer, 290mm long </t>
  </si>
  <si>
    <t>300mm stainless steel inline strainer 760mm long</t>
  </si>
  <si>
    <t>GATE VALVE</t>
  </si>
  <si>
    <t>300mm dia geared wedge gate valve, double flanged</t>
  </si>
  <si>
    <t>CONTROL VALVE</t>
  </si>
  <si>
    <t>300mm dia control valve</t>
  </si>
  <si>
    <t>300mm dia flange adaptor</t>
  </si>
  <si>
    <t xml:space="preserve">Extra Over </t>
  </si>
  <si>
    <t>Valves</t>
  </si>
  <si>
    <t xml:space="preserve">OUTLET </t>
  </si>
  <si>
    <t>600mm dia stainless steel puddle pipe 750mm long. Both ends flanged,  with puddle flange 375mm from one end</t>
  </si>
  <si>
    <t>600mm dia stainless steel flanged pipe 1000mm long</t>
  </si>
  <si>
    <t>600mm dia stainless steel flanged pipe 600mm long</t>
  </si>
  <si>
    <t>600mm  dia stainless steel flanged Y-Piece</t>
  </si>
  <si>
    <t>600mm dia 45' Short radius bend</t>
  </si>
  <si>
    <t>EQUAL TEE</t>
  </si>
  <si>
    <t>600mm stainless steel flanged unequal tee, 3500mm long</t>
  </si>
  <si>
    <t>Are there 2?</t>
  </si>
  <si>
    <t>AIR VALVE</t>
  </si>
  <si>
    <t>600mm Ventomat double orrifice, anti-shock, geared air valve screw ended</t>
  </si>
  <si>
    <t>600mm dia acctuated wedge gate valve, double flanged</t>
  </si>
  <si>
    <t>50mm dia ball valve</t>
  </si>
  <si>
    <t>100mm dia ball valve</t>
  </si>
  <si>
    <t>600mm dia flange adaptor</t>
  </si>
  <si>
    <t>NON RETURN VALVE</t>
  </si>
  <si>
    <t>600mm Non-Reurn valve</t>
  </si>
  <si>
    <t>Why 2?</t>
  </si>
  <si>
    <t>SAMPLE INLET, OUTLET &amp; MAINTENANCE PIPES</t>
  </si>
  <si>
    <t>50mm dia stainless steel pipe 6000mm long</t>
  </si>
  <si>
    <t>90' BEND</t>
  </si>
  <si>
    <t>50mm dia 90' Short radius bend</t>
  </si>
  <si>
    <t>Pipe Specials</t>
  </si>
  <si>
    <t>500mm dia stainless steel puddle pipe 900mm long. Both ends flanged,  with puddle flange 350mm from one end</t>
  </si>
  <si>
    <t>500mm dia stainless steel flanged pipe 2100mm long</t>
  </si>
  <si>
    <t>500mm dia flange adaptor</t>
  </si>
  <si>
    <t>600mm dia stainless steel puddle pipe 900mm long. Both ends flanged,  with puddle flange 350mm from one end</t>
  </si>
  <si>
    <t>600mm dia stainless steel flanged pipe 2100mm long</t>
  </si>
  <si>
    <t>SCOUR CHAMBER</t>
  </si>
  <si>
    <t>SUPPLY, LAY, JOIN, BED CLASS B AND TEST epoxy coated mild steel PIPEWORK</t>
  </si>
  <si>
    <t xml:space="preserve">150mm dia stainless steel puddle pipe 1050mm long. Both ends flanged,  with puddle flange 400mm from one end </t>
  </si>
  <si>
    <t>150mm dia stainless steel puddle pipe 1050mm long. Both ends flanged,  with puddle flange 400mm from one end including tap off</t>
  </si>
  <si>
    <t xml:space="preserve">350mm dia stainless steel puddle pipe 1050mm long. One end flanged,  with puddle flange 400mm from one end </t>
  </si>
  <si>
    <t xml:space="preserve">150mm dia stainless steel puddle pipe 955mm long. One end flanged,  with puddle flange 705mm from one end </t>
  </si>
  <si>
    <t>150mm dia wedge gate valve, double flanged</t>
  </si>
  <si>
    <t>OUTLET PIPEWORK</t>
  </si>
  <si>
    <t>600mm dia epoxy coated mild steel flanged pipe 6000mm long</t>
  </si>
  <si>
    <t>600mm dia epoxy coated mild steel flanged pipe 4441mm long</t>
  </si>
  <si>
    <t>600mm dia epoxy coated mild steel flanged pipe 3191mm long</t>
  </si>
  <si>
    <t>600mm dia epoxy coated mild steel single flanged pipe 4441mm long</t>
  </si>
  <si>
    <t>600mm dia stainless steel flanged pipe 625mm long</t>
  </si>
  <si>
    <t>600mm dia stainless steel flanged pipe 2475mm long</t>
  </si>
  <si>
    <t>600mm dia stainless steel flanged pipe 1885mm long</t>
  </si>
  <si>
    <t>600mm dia epoxy coated mild steel flange adaptor</t>
  </si>
  <si>
    <t>600mm dia epoxy coated mild steel flanged 90' medium radius bend</t>
  </si>
  <si>
    <t>600mm dia stainless steel flanged 90' medium radius bend, 2440mm centre to flange</t>
  </si>
  <si>
    <t>600mm epoxy coated mild steel flanged equal tee 610mm centre to flange</t>
  </si>
  <si>
    <t>BELLMOUTH</t>
  </si>
  <si>
    <t>600mm stainless steel flanged bellmouth 750mm long with 1800mm dia bellmouth</t>
  </si>
  <si>
    <t>Pipe Jacking</t>
  </si>
  <si>
    <t>Tie into exisiting line</t>
  </si>
  <si>
    <t>INLET PIPEWORK</t>
  </si>
  <si>
    <t>500mm dia epoxy coated mild steel flanged pipe 6000mm long</t>
  </si>
  <si>
    <t>500mm dia epoxy coated mild steel flanged pipe 1093mm long</t>
  </si>
  <si>
    <t>500mm dia stainless steel flanged pipe 3194mm long</t>
  </si>
  <si>
    <t>500mm dia epoxy coated mild steel flanged pipe 2190mm long</t>
  </si>
  <si>
    <t>500mm dia epoxy coated mild steel flanged pipe 5960mm long</t>
  </si>
  <si>
    <t>500mm epoxy coated mild steel flanged equal tee 460mm centre to flange</t>
  </si>
  <si>
    <t>500mm dia stainless steel flanged 90' medium radius bend, 1020mm centre to flange</t>
  </si>
  <si>
    <t>500mm dia stainless steel flanged 90' short radius bend</t>
  </si>
  <si>
    <t>500mm dia epoxy coated mild steel flange adaptor</t>
  </si>
  <si>
    <t>OVERFLOW PIPEWORK</t>
  </si>
  <si>
    <t>350mm dia epoxy coated mild steel flanged pipe 4200mm long</t>
  </si>
  <si>
    <t>350mm dia stainless steel flanged pipe 6000mm long</t>
  </si>
  <si>
    <t>350mm dia stainless steel flanged 90' short radius bend, 360mm centre to flange</t>
  </si>
  <si>
    <t>350mm stainless steel flanged bellmouth 3465mm long with 535mm dia bellmouth</t>
  </si>
  <si>
    <t>DRAINAGE PIPEWORK</t>
  </si>
  <si>
    <t>150mm dia epoxy coated mild steel flanged pipe 6000mm long</t>
  </si>
  <si>
    <t>150mm dia epoxy coated mild steel flanged pipe 2170mm long</t>
  </si>
  <si>
    <t>150mm dia epoxy coated mild steel puddle pipe 1250mm long. One end flanged,  with puddle flange 125mm from one end</t>
  </si>
  <si>
    <t>150mm dia epoxy coated mild steel flanged 45' short radius bend, 230mm centre to flange</t>
  </si>
  <si>
    <t>150mm dia epoxy coated mild steel flanged 90' medium radius bend, 230mm centre to flange</t>
  </si>
  <si>
    <t>SCOUR PIPEWORK</t>
  </si>
  <si>
    <t>150mm dia epoxy coated mild steel flanged pipe 3385mm long</t>
  </si>
  <si>
    <t>150mm dia Stainless steel flanged 90' short radius bend, 230mm centre to flange</t>
  </si>
  <si>
    <t>150mm stainless steel flanged bellmouth 1820mm long with 230mm dia bellmouth</t>
  </si>
  <si>
    <t>UNDERFLOOR DRAINAGE</t>
  </si>
  <si>
    <t>SUPPLY, LAY, JOIN, ENCASE AND TEST SLOTED uPVC CLASS 6 (Z-LOCK JOINTS)</t>
  </si>
  <si>
    <t>50 mm diameter</t>
  </si>
  <si>
    <t>SUPPLY, LAY, JOIN, ENCASE AND TEST uPVC CLASS 6 (Z-LOCK JOINTS)</t>
  </si>
  <si>
    <t>75 mm diameter</t>
  </si>
  <si>
    <t>110 mm diameter</t>
  </si>
  <si>
    <t>SECTION 5: CHAMBERS &amp; BOXES</t>
  </si>
  <si>
    <t>5.1.1</t>
  </si>
  <si>
    <t>PSD 8.3.3</t>
  </si>
  <si>
    <t>Restricted Excavation</t>
  </si>
  <si>
    <t>Excavate for Restricted Foundations, Footings and Pipe Trenches in all materials and use as described for Items</t>
  </si>
  <si>
    <t>5.1.1.1</t>
  </si>
  <si>
    <t>5.1.1.2</t>
  </si>
  <si>
    <t>Extra over items 5.1.1 to 5.1.2 for</t>
  </si>
  <si>
    <t>5.1.1.3</t>
  </si>
  <si>
    <t>5.1.1.4</t>
  </si>
  <si>
    <t>5.1.1.5</t>
  </si>
  <si>
    <t>Extra over items 5.1.1.3 to 5.1.1.4 for additional excavations required by the Engineer after excavation has been completed</t>
  </si>
  <si>
    <t>5.1.1.6</t>
  </si>
  <si>
    <t>5.1.2</t>
  </si>
  <si>
    <t>5.1.2.1</t>
  </si>
  <si>
    <t>Scour chamber walls (internal and external)</t>
  </si>
  <si>
    <t>5.1.2.2</t>
  </si>
  <si>
    <t>Scour chamber floors</t>
  </si>
  <si>
    <t>5.1.2.3</t>
  </si>
  <si>
    <t>Sides of valve supports</t>
  </si>
  <si>
    <t>5.1.2.4</t>
  </si>
  <si>
    <t>25 x 25 mm along scourbox cover</t>
  </si>
  <si>
    <t>5.1.2.5</t>
  </si>
  <si>
    <t>25 x 25 mm along walls of scourbox</t>
  </si>
  <si>
    <t>PSG 8.3</t>
  </si>
  <si>
    <t>5.1.2.6</t>
  </si>
  <si>
    <t>5.1.2.7</t>
  </si>
  <si>
    <t>5.1.2.8</t>
  </si>
  <si>
    <t>5.1.2.9</t>
  </si>
  <si>
    <t>Benching to floors of boxes</t>
  </si>
  <si>
    <t>5.1.2.10</t>
  </si>
  <si>
    <t>Mass Concrete</t>
  </si>
  <si>
    <t>5.1.2.11</t>
  </si>
  <si>
    <t xml:space="preserve">Blinding layer 50mm thick </t>
  </si>
  <si>
    <t>5.1.2.12</t>
  </si>
  <si>
    <t>5.1.2.13</t>
  </si>
  <si>
    <t>Walls</t>
  </si>
  <si>
    <t>5.1.2.14</t>
  </si>
  <si>
    <t>Pipe supports</t>
  </si>
  <si>
    <t>5.1.2.15</t>
  </si>
  <si>
    <t>Top surface of box walls</t>
  </si>
  <si>
    <t>5.1.2.16</t>
  </si>
  <si>
    <t>Benching in boxes</t>
  </si>
  <si>
    <t>5.1.3</t>
  </si>
  <si>
    <t>PRE-CAST CONCRETE</t>
  </si>
  <si>
    <t>5.1.3.1</t>
  </si>
  <si>
    <t>Precast concrete roof slab sections (1280mm x 2000mm x 300mm) (including lockable access hatch and holding brackets) as per drawing 13214-73-04-011: Scourbox Layout</t>
  </si>
  <si>
    <t>5.1.3.2</t>
  </si>
  <si>
    <t>Precast concrete roof slab sections (1280mm x 2000mm x 300mm)  as per drawing 13214-73-04-011: Scourbox Layout</t>
  </si>
  <si>
    <t>5.1.4</t>
  </si>
  <si>
    <t>5.1.4.1</t>
  </si>
  <si>
    <t>Galvanised steel cat ladder fixed with M16 chemical anchors</t>
  </si>
  <si>
    <t>5.1.4.2</t>
  </si>
  <si>
    <t>PSHA 5.2.13</t>
  </si>
  <si>
    <t>50 mm  Galvanised open floor grating</t>
  </si>
  <si>
    <t>5.1.4.3</t>
  </si>
  <si>
    <t>50x50x5L with 150x25x3 lugs as per drawing 13214-73-04-011: Galvanised Open Grid Flooring</t>
  </si>
  <si>
    <t>5.1.4.4</t>
  </si>
  <si>
    <t>Lockable access hatch (1535mm x 1535mm) as per drawing13214-73-04-002: Plan on Access Hatch</t>
  </si>
  <si>
    <t>5.1.5</t>
  </si>
  <si>
    <t>Pipes Supplied and Installed by the Contractor (Irrespective of type)</t>
  </si>
  <si>
    <t>5.1.5.1</t>
  </si>
  <si>
    <t xml:space="preserve">110mm </t>
  </si>
  <si>
    <t>5.1.5.2</t>
  </si>
  <si>
    <t>150mm</t>
  </si>
  <si>
    <t>5.1.5.3</t>
  </si>
  <si>
    <t>350mm</t>
  </si>
  <si>
    <t>5.1.5.4</t>
  </si>
  <si>
    <t>600mm</t>
  </si>
  <si>
    <t>5.1.6</t>
  </si>
  <si>
    <t>5.1.6.1</t>
  </si>
  <si>
    <t>Supplying, testing and installation of pipes, fittings and specials brought forward from the Scour Chamber Pipe Schedule</t>
  </si>
  <si>
    <t>INLET FLOWMETER CHAMBER</t>
  </si>
  <si>
    <t>5.2.1</t>
  </si>
  <si>
    <t>8.3.3(a) (i)</t>
  </si>
  <si>
    <t>5.2.1.1</t>
  </si>
  <si>
    <t>5.2.1.2</t>
  </si>
  <si>
    <t>5.2.1.3</t>
  </si>
  <si>
    <t>(b) Intermediate excavation</t>
  </si>
  <si>
    <t>5.2.1.4</t>
  </si>
  <si>
    <t>(c) Hard rock material</t>
  </si>
  <si>
    <t>5.2.1.5</t>
  </si>
  <si>
    <t>Extra over items 5.2.1.3 to 5.2.1.4 for additional excavations required by the Engineer after excavation has been completed</t>
  </si>
  <si>
    <t>5.2.1.6</t>
  </si>
  <si>
    <t>5.2.2</t>
  </si>
  <si>
    <t>5.2.2.1</t>
  </si>
  <si>
    <t>Internal &amp; external sides of inlet flowmeter chamber walls</t>
  </si>
  <si>
    <t>5.2.2.2</t>
  </si>
  <si>
    <t>Plane Horizontal</t>
  </si>
  <si>
    <t>PSG 8.2.6</t>
  </si>
  <si>
    <t>PSG 8.2.6(a)</t>
  </si>
  <si>
    <t xml:space="preserve">Circular holes for pipes </t>
  </si>
  <si>
    <t>5.2.2.3</t>
  </si>
  <si>
    <t>500mm</t>
  </si>
  <si>
    <t>5.2.2.4</t>
  </si>
  <si>
    <t>25 x 25 mm along flow meter chamber concrete cover</t>
  </si>
  <si>
    <t>5.2.2.5</t>
  </si>
  <si>
    <t>5.2.2.6</t>
  </si>
  <si>
    <t>Mild steel reinforcement</t>
  </si>
  <si>
    <t>5.2.2.7</t>
  </si>
  <si>
    <t>Ref. 245 for flow meter chamber cover</t>
  </si>
  <si>
    <t>5.2.2.8</t>
  </si>
  <si>
    <t>5.2.2.9</t>
  </si>
  <si>
    <t>5.2.2.10</t>
  </si>
  <si>
    <t>5.2.2.11</t>
  </si>
  <si>
    <t>5.2.2.12</t>
  </si>
  <si>
    <t>5.2.2.13</t>
  </si>
  <si>
    <t>500x500x300 deep sump</t>
  </si>
  <si>
    <t>5.2.2.14</t>
  </si>
  <si>
    <t>5.2.2.15</t>
  </si>
  <si>
    <t>5.2.3</t>
  </si>
  <si>
    <t>5.2.3.1</t>
  </si>
  <si>
    <t>Precast concrete roof slab sections (including lockable access hatch and holding brackets) as per drawing 13214-73-04-005</t>
  </si>
  <si>
    <t>5.2.4</t>
  </si>
  <si>
    <t>5.2.4.1</t>
  </si>
  <si>
    <t>Galvanised steel ladder fixed with M16 chemical anchors</t>
  </si>
  <si>
    <t>5.2.5</t>
  </si>
  <si>
    <t>5.2.5.1</t>
  </si>
  <si>
    <t>5.2.6</t>
  </si>
  <si>
    <t>5.2.6.1</t>
  </si>
  <si>
    <t>Supplying, testing and installation of pipes, fittings and specials brought forward from the Inlet Flow Meter Chamber Pipe Schedule</t>
  </si>
  <si>
    <t>OUTLET FLOWMETER CHAMBER</t>
  </si>
  <si>
    <t>5.3.1</t>
  </si>
  <si>
    <t>5.3.1.1</t>
  </si>
  <si>
    <t>(a) Soft excavation</t>
  </si>
  <si>
    <t>5.3.1.2</t>
  </si>
  <si>
    <t>5.3.1.3</t>
  </si>
  <si>
    <t>5.3.1.4</t>
  </si>
  <si>
    <r>
      <t xml:space="preserve">Extra over items </t>
    </r>
    <r>
      <rPr>
        <b/>
        <sz val="10"/>
        <color theme="2" tint="-0.89999084444715716"/>
        <rFont val="Arial Narrow"/>
        <family val="2"/>
      </rPr>
      <t xml:space="preserve">5.3.1.1 to 5.3.1.3 </t>
    </r>
    <r>
      <rPr>
        <sz val="10"/>
        <color theme="2" tint="-0.89999084444715716"/>
        <rFont val="Arial Narrow"/>
        <family val="2"/>
      </rPr>
      <t>for additional excavations required by the Engineer after excavation has been completed</t>
    </r>
  </si>
  <si>
    <t>5.3.1.5</t>
  </si>
  <si>
    <t>5.3.2</t>
  </si>
  <si>
    <t>5.3.2.1</t>
  </si>
  <si>
    <t>Internal &amp; external sides of inlet chamber walls</t>
  </si>
  <si>
    <t>5.3.2.2</t>
  </si>
  <si>
    <t>5.3.2.3</t>
  </si>
  <si>
    <t>5.3.2.4</t>
  </si>
  <si>
    <t>5.3.2.5</t>
  </si>
  <si>
    <t>5.3.2.6</t>
  </si>
  <si>
    <t>Strength of Concrete: 15/10</t>
  </si>
  <si>
    <t>5.3.2.7</t>
  </si>
  <si>
    <t>5.3.2.8</t>
  </si>
  <si>
    <t>5.3.2.9</t>
  </si>
  <si>
    <t>5.3.2.10</t>
  </si>
  <si>
    <t>5.3.2.11</t>
  </si>
  <si>
    <t>5.3.2.12</t>
  </si>
  <si>
    <t>5.3.2.13</t>
  </si>
  <si>
    <t>5.3.2.14</t>
  </si>
  <si>
    <t>5.3.3</t>
  </si>
  <si>
    <t>5.3.3.1</t>
  </si>
  <si>
    <t>5.3.4</t>
  </si>
  <si>
    <t>5.3.4.1</t>
  </si>
  <si>
    <t>5.3.5</t>
  </si>
  <si>
    <t>5.3.5.1</t>
  </si>
  <si>
    <t>5.3.6</t>
  </si>
  <si>
    <t>5.3.6.1</t>
  </si>
  <si>
    <t>DRAINAGE BOXES</t>
  </si>
  <si>
    <t>5.4.1</t>
  </si>
  <si>
    <t>5.4.1.1</t>
  </si>
  <si>
    <t>(i)(a) 0 m up to 2 m</t>
  </si>
  <si>
    <t>Extra Over Items for Excavations in:</t>
  </si>
  <si>
    <t>5.4.1.2</t>
  </si>
  <si>
    <t>(a) Intermediate excavation</t>
  </si>
  <si>
    <t>5.4.1.3</t>
  </si>
  <si>
    <t>(b) Hard rock material</t>
  </si>
  <si>
    <t>5.4.1.4</t>
  </si>
  <si>
    <r>
      <t xml:space="preserve">Extra over items </t>
    </r>
    <r>
      <rPr>
        <b/>
        <sz val="10"/>
        <rFont val="Arial Narrow"/>
        <family val="2"/>
      </rPr>
      <t xml:space="preserve">5.4.1.2 to 5.4.1.3 </t>
    </r>
    <r>
      <rPr>
        <sz val="10"/>
        <rFont val="Arial Narrow"/>
        <family val="2"/>
      </rPr>
      <t>for additional excavations required by the Engineer after excavation has been completed</t>
    </r>
  </si>
  <si>
    <t>5.4.2</t>
  </si>
  <si>
    <t>5.4.2.1</t>
  </si>
  <si>
    <t>Internal &amp; external sides of drainage chamber walls</t>
  </si>
  <si>
    <t>5.4.2.2</t>
  </si>
  <si>
    <t>25 x 25 mm along wall edge of drainage boxes</t>
  </si>
  <si>
    <t>5.4.2.3</t>
  </si>
  <si>
    <t>5.4.2.4</t>
  </si>
  <si>
    <t>5.4.2.5</t>
  </si>
  <si>
    <t>5.4.2.6</t>
  </si>
  <si>
    <t>5.4.2.7</t>
  </si>
  <si>
    <t>5.4.2.8</t>
  </si>
  <si>
    <t>5.4.2.9</t>
  </si>
  <si>
    <t>5.4.2.10</t>
  </si>
  <si>
    <t>5.4.3</t>
  </si>
  <si>
    <t>5.4.3.1</t>
  </si>
  <si>
    <t>Grade 304 Stainless Steel 900mm x 900mm frame to be cast into concrete walls of boxes</t>
  </si>
  <si>
    <t>5.4.4</t>
  </si>
  <si>
    <t>5.4.4.1</t>
  </si>
  <si>
    <t>GRP grating to fit inside item 5.4.3.1</t>
  </si>
  <si>
    <t>5.4.4.2</t>
  </si>
  <si>
    <t>5.5.1</t>
  </si>
  <si>
    <t>5.5.1.1</t>
  </si>
  <si>
    <t>5.5.1.2</t>
  </si>
  <si>
    <t>5.5.1.3</t>
  </si>
  <si>
    <t>5.5.1.4</t>
  </si>
  <si>
    <r>
      <t xml:space="preserve">Extra over items </t>
    </r>
    <r>
      <rPr>
        <b/>
        <sz val="10"/>
        <rFont val="Arial Narrow"/>
        <family val="2"/>
      </rPr>
      <t xml:space="preserve">5.3.1.1 to 5.3.1.3 </t>
    </r>
    <r>
      <rPr>
        <sz val="10"/>
        <rFont val="Arial Narrow"/>
        <family val="2"/>
      </rPr>
      <t>for additional excavations required by the Engineer after excavation has been completed</t>
    </r>
  </si>
  <si>
    <t>5.5.1.5</t>
  </si>
  <si>
    <t>5.5.2</t>
  </si>
  <si>
    <t>5.5.2.1</t>
  </si>
  <si>
    <t>5.5.2.2</t>
  </si>
  <si>
    <t>5.5.2.3</t>
  </si>
  <si>
    <t>25 x 25 mm along valve chamber concrete cover</t>
  </si>
  <si>
    <t>5.5.2.4</t>
  </si>
  <si>
    <t>5.5.2.5</t>
  </si>
  <si>
    <t>5.5.2.6</t>
  </si>
  <si>
    <r>
      <t>m</t>
    </r>
    <r>
      <rPr>
        <vertAlign val="superscript"/>
        <sz val="10"/>
        <rFont val="Arial Narrow"/>
        <family val="2"/>
      </rPr>
      <t>2</t>
    </r>
  </si>
  <si>
    <t>5.5.2.7</t>
  </si>
  <si>
    <t>5.5.2.8</t>
  </si>
  <si>
    <t>5.5.2.9</t>
  </si>
  <si>
    <t>5.5.2.10</t>
  </si>
  <si>
    <t>5.5.2.11</t>
  </si>
  <si>
    <t>5.5.2.12</t>
  </si>
  <si>
    <t>5.5.2.13</t>
  </si>
  <si>
    <t>5.5.2.14</t>
  </si>
  <si>
    <t>5.5.3</t>
  </si>
  <si>
    <t>5.5.3.1</t>
  </si>
  <si>
    <t>5.5.4</t>
  </si>
  <si>
    <t>5.5.4.1</t>
  </si>
  <si>
    <t>5.5.5</t>
  </si>
  <si>
    <t>5.5.5.1</t>
  </si>
  <si>
    <t>5.5.5.2</t>
  </si>
  <si>
    <t>5.5.6</t>
  </si>
  <si>
    <t>5.5.6.1</t>
  </si>
  <si>
    <t>TOTAL FOR SECTION 5 (Carried to Summary)</t>
  </si>
  <si>
    <t>Excavation</t>
  </si>
  <si>
    <t>Excavate in all materials For Trenches, Backfill and Compact, including Disposal of Surplus Unsuitable Maternal for Pipes</t>
  </si>
  <si>
    <t>Up to 300 mm Diameter for depths</t>
  </si>
  <si>
    <t>6.1.1</t>
  </si>
  <si>
    <t>6.1.2</t>
  </si>
  <si>
    <t>6.1.3</t>
  </si>
  <si>
    <t>Over 300mm up tp 600 mm diameter for depths</t>
  </si>
  <si>
    <t>6.1.4</t>
  </si>
  <si>
    <t>6.1.5</t>
  </si>
  <si>
    <t>6.1.6</t>
  </si>
  <si>
    <t>6.1.7</t>
  </si>
  <si>
    <t>Extra Over items 6.1.1 to 6.1.7 for excavations</t>
  </si>
  <si>
    <t>6.1.8</t>
  </si>
  <si>
    <t>6.1.9</t>
  </si>
  <si>
    <t>Excavation Ancillaries</t>
  </si>
  <si>
    <t>6.1.10</t>
  </si>
  <si>
    <t>8.3.3.3</t>
  </si>
  <si>
    <t>Compaction in road reserve (provisional)</t>
  </si>
  <si>
    <t>6.1.11</t>
  </si>
  <si>
    <t>Existing Services that Intersect or Adjoin of a Pipe Trench</t>
  </si>
  <si>
    <t>6.1.12</t>
  </si>
  <si>
    <t>6.1.13</t>
  </si>
  <si>
    <t>6.1.14</t>
  </si>
  <si>
    <t>(a) Reinstate road surface complete with all courses at pipe crossings</t>
  </si>
  <si>
    <t>6.1.15</t>
  </si>
  <si>
    <t>8.3.7</t>
  </si>
  <si>
    <t>Accommodation of Traffic</t>
  </si>
  <si>
    <t>MEDIUM PRESSURE PIPEWORK</t>
  </si>
  <si>
    <t>Interconnecting Pipework</t>
  </si>
  <si>
    <t>Supply, lay, join and test pipework on granular bedding</t>
  </si>
  <si>
    <t>6.2.1</t>
  </si>
  <si>
    <t xml:space="preserve">50 mm  diameter PVC drainage pipe in concrete </t>
  </si>
  <si>
    <t>6.2.2</t>
  </si>
  <si>
    <t>50 mm  diameter PE100PN10 HDPE pipe</t>
  </si>
  <si>
    <t>6.2.3</t>
  </si>
  <si>
    <t>75 mm diameter  PVC perforated drainage in no fines concrete</t>
  </si>
  <si>
    <t>6.2.4</t>
  </si>
  <si>
    <t>PSLE 8.</t>
  </si>
  <si>
    <t>110 mm diameter PVC perforated drainage pipe in no fines concrete</t>
  </si>
  <si>
    <t>6.2.5</t>
  </si>
  <si>
    <t>Supply, testing and installation of pipework, fittings and specials brought forward from the Pipe Schedule for the Inlet Pipe (building in of pipes measured elsewhere)</t>
  </si>
  <si>
    <t>6.2.6</t>
  </si>
  <si>
    <t>Supply, testing and installation of pipework, fittings and specials brought forward from the Pipe Schedule for the Oulet Pipe (building in of pipes measured elsewhere)</t>
  </si>
  <si>
    <t>8.2.11</t>
  </si>
  <si>
    <t>Thrust Blocks</t>
  </si>
  <si>
    <t>6.2.7</t>
  </si>
  <si>
    <t>Concrete grade 15/20 in thrust blocks (per Employer's Agent instruction)</t>
  </si>
  <si>
    <t>6.2.8</t>
  </si>
  <si>
    <t>Rough shuttering at thrust blocks (per Employer's Agent's instruction)</t>
  </si>
  <si>
    <t>Provision of bedding material from trench or other excavations within freehaul distance</t>
  </si>
  <si>
    <t>6.3.1</t>
  </si>
  <si>
    <t>6.3.2</t>
  </si>
  <si>
    <t>Provision of bedding material by importation from commercial sources.</t>
  </si>
  <si>
    <t>6.3.3</t>
  </si>
  <si>
    <t>6.3.4</t>
  </si>
  <si>
    <t>Concrete at Pipes</t>
  </si>
  <si>
    <t>6.3.5</t>
  </si>
  <si>
    <t>6.3.6</t>
  </si>
  <si>
    <t>6.3.7</t>
  </si>
  <si>
    <t>6.3.8</t>
  </si>
  <si>
    <t>6.3.9</t>
  </si>
  <si>
    <t>SANS 1200LG</t>
  </si>
  <si>
    <t>PIPE JACKING</t>
  </si>
  <si>
    <t>Supply and install pipes by pipe jacking method, complete with excavations</t>
  </si>
  <si>
    <t>6.4.1</t>
  </si>
  <si>
    <t>for 500mm steel pipe</t>
  </si>
  <si>
    <t>6.4.2</t>
  </si>
  <si>
    <t>for 600mm steel pipe</t>
  </si>
  <si>
    <t>SEWERS</t>
  </si>
  <si>
    <t>6.5</t>
  </si>
  <si>
    <t>PSD 8.3.3 (a)</t>
  </si>
  <si>
    <t>Excavate in all materials for backfill, compact and dispose of material</t>
  </si>
  <si>
    <t>state for pipe sizes</t>
  </si>
  <si>
    <t>6.5.1</t>
  </si>
  <si>
    <t>0m - 2m</t>
  </si>
  <si>
    <t>Extra-over items for excavating in</t>
  </si>
  <si>
    <t>6.5.2</t>
  </si>
  <si>
    <t>6.5.3</t>
  </si>
  <si>
    <t>6.5.4</t>
  </si>
  <si>
    <t>Extra over items 6.5.1 to 6.5.3 for additional excavations required by the Employer's Agent after excavation has been completed</t>
  </si>
  <si>
    <t>&gt;&gt; Add: Additional Excavation as insructed by the Employer's Agent</t>
  </si>
  <si>
    <t>Provision of Bedding Material from Trench or Other Excavations within Freehaul Distance</t>
  </si>
  <si>
    <t>6.6.1</t>
  </si>
  <si>
    <t>Provision of bedding material by importation from commercial sources</t>
  </si>
  <si>
    <t>Add these items</t>
  </si>
  <si>
    <t>6.6.3</t>
  </si>
  <si>
    <t>6.6.4</t>
  </si>
  <si>
    <t>6.6.5</t>
  </si>
  <si>
    <t>8.2.3</t>
  </si>
  <si>
    <t>Grade 20/19 concrete in bedding cradle</t>
  </si>
  <si>
    <t>6.7</t>
  </si>
  <si>
    <t>SANS 1200LD</t>
  </si>
  <si>
    <t>SEWER RETICULATION</t>
  </si>
  <si>
    <t>Supply, Lay, Joint and test uPVC Pipes</t>
  </si>
  <si>
    <t>6.7.1</t>
  </si>
  <si>
    <t>50 mm diameter uPVC basin drain from guard house</t>
  </si>
  <si>
    <t>6.7.2</t>
  </si>
  <si>
    <t>110 mm diameter PVC sewer drainage pipe connecting from guard house</t>
  </si>
  <si>
    <t>6.7.3</t>
  </si>
  <si>
    <t>200 mm diameter uPVC sewer drainage pipe connecting from guard house</t>
  </si>
  <si>
    <t>Manholes</t>
  </si>
  <si>
    <t>Manholes 1250 mm inside diameter complete with concrete base, type 4 cover and frame, for depths</t>
  </si>
  <si>
    <t>6.7.4</t>
  </si>
  <si>
    <t>0.5 m - 1.0 m</t>
  </si>
  <si>
    <t>6.7.5</t>
  </si>
  <si>
    <t>1.0 m - 1.5 m</t>
  </si>
  <si>
    <t>Extra over for type 2A manhole cover and frame</t>
  </si>
  <si>
    <t>Services that Intersect a pipe trench</t>
  </si>
  <si>
    <t>6.7.6</t>
  </si>
  <si>
    <t>Electrical cables (irrespective of diameter)</t>
  </si>
  <si>
    <t>6.7.7</t>
  </si>
  <si>
    <t>Pipeline (irrespective of diameter)</t>
  </si>
  <si>
    <t>Services that adjoin a pipe trench</t>
  </si>
  <si>
    <t>6.7.8</t>
  </si>
  <si>
    <t>6.7.9</t>
  </si>
  <si>
    <t>8.2.7</t>
  </si>
  <si>
    <t>Encasement of pipes in class 15/20 concrete where directed by the Employer's Agent only</t>
  </si>
  <si>
    <t>Connection Existing Sewer Line</t>
  </si>
  <si>
    <t>6.7.10</t>
  </si>
  <si>
    <t>Tie into exisiting 500 dia. pipe</t>
  </si>
  <si>
    <t>6.7.11</t>
  </si>
  <si>
    <t>Tie into exisiting 600 dia. pipe</t>
  </si>
  <si>
    <t>6.7.12</t>
  </si>
  <si>
    <t>8.2.12</t>
  </si>
  <si>
    <t>Raising or lowering of existing manholes</t>
  </si>
  <si>
    <t>Building Pipes into Brickwork</t>
  </si>
  <si>
    <t>&gt;&gt; Building in of sewer into brickwork -PSLD 8.3</t>
  </si>
  <si>
    <t>SUPPLYING AND BUILDING HDPE OR uPVC PIPES AS SPECIFIED INTO BRICKWORK (FOR CABLE SLEEVES OR PIPE SLEEVES)</t>
  </si>
  <si>
    <t>6.7.13</t>
  </si>
  <si>
    <t>50 mm dia.  uPVC Tee piece</t>
  </si>
  <si>
    <t>6.7.14</t>
  </si>
  <si>
    <t>110 mm dia.  uPVC Tee piece</t>
  </si>
  <si>
    <t>SECTION 7: GUARD HOUSE</t>
  </si>
  <si>
    <t>SANS 1200 D</t>
  </si>
  <si>
    <t>Excavate for restricted foundations, footings and pipe trenches in all materials and use for backfill or embankment or dispose</t>
  </si>
  <si>
    <t>7.1.1</t>
  </si>
  <si>
    <t xml:space="preserve">Strip Footings </t>
  </si>
  <si>
    <t>7.1.2</t>
  </si>
  <si>
    <t>7.1.3</t>
  </si>
  <si>
    <t>7.1.4</t>
  </si>
  <si>
    <t>Extra over items 7.1.2 to 7.1.4 for additional excavations required by the Engineer after excavation has been completed</t>
  </si>
  <si>
    <t>&gt;&gt; Add: Additional Excavation as insructed by the engineer</t>
  </si>
  <si>
    <t>7.1.5</t>
  </si>
  <si>
    <t>7.2</t>
  </si>
  <si>
    <t>Rough Formwork</t>
  </si>
  <si>
    <t>7.2.1</t>
  </si>
  <si>
    <t>Sides of Footings</t>
  </si>
  <si>
    <t>7.2.2</t>
  </si>
  <si>
    <t>Edge of roof slab</t>
  </si>
  <si>
    <t>7.2.3</t>
  </si>
  <si>
    <t>Edge of apron slab (80mm thick)</t>
  </si>
  <si>
    <t>7.2.4</t>
  </si>
  <si>
    <t>Soffit of Roof slab</t>
  </si>
  <si>
    <t>7.2.5</t>
  </si>
  <si>
    <t>&gt;&gt; High Tensile + Mild Steel</t>
  </si>
  <si>
    <t>7.2.6</t>
  </si>
  <si>
    <t>7.2.7</t>
  </si>
  <si>
    <t>Ref. 245 for floor slabs</t>
  </si>
  <si>
    <t>7.2.8</t>
  </si>
  <si>
    <t>Ref. 193 for apron slabs</t>
  </si>
  <si>
    <t>swop the two types</t>
  </si>
  <si>
    <t>8.1.3</t>
  </si>
  <si>
    <t>Blinding Layer in Grade 15/19 concrete with 50mm thickness</t>
  </si>
  <si>
    <t>7.2.9</t>
  </si>
  <si>
    <t>Underneath footing</t>
  </si>
  <si>
    <t>Building floor slabs normally only have plastic not blinding</t>
  </si>
  <si>
    <t>Strength Concrete 25/19</t>
  </si>
  <si>
    <t>7.2.10</t>
  </si>
  <si>
    <t>Strip footing (600 mm wide, 250 mm thick)</t>
  </si>
  <si>
    <t>7.2.11</t>
  </si>
  <si>
    <t>Floor slab</t>
  </si>
  <si>
    <t>7.2.12</t>
  </si>
  <si>
    <t>Apron Slabs (80mm thick)</t>
  </si>
  <si>
    <t>8.4.4 a)</t>
  </si>
  <si>
    <t>Wood float finish for upper surfaces of:</t>
  </si>
  <si>
    <t>7.2.13</t>
  </si>
  <si>
    <t>Top of floors and apron slabs</t>
  </si>
  <si>
    <t>8.5</t>
  </si>
  <si>
    <t>8.5.2</t>
  </si>
  <si>
    <r>
      <t>Joint filler consisting of closed cell expanded polyethylene with density not less than 120kg/m</t>
    </r>
    <r>
      <rPr>
        <b/>
        <vertAlign val="superscript"/>
        <sz val="10"/>
        <color theme="1"/>
        <rFont val="Arial Narrow"/>
        <family val="2"/>
      </rPr>
      <t>3</t>
    </r>
    <r>
      <rPr>
        <b/>
        <sz val="10"/>
        <color theme="1"/>
        <rFont val="Arial Narrow"/>
        <family val="2"/>
      </rPr>
      <t xml:space="preserve"> including bullnose finish to both sides of joint and tear off strip</t>
    </r>
  </si>
  <si>
    <t>7.2.14</t>
  </si>
  <si>
    <t>10 mm wide between 100 mm concrete apron</t>
  </si>
  <si>
    <t>7.2.15</t>
  </si>
  <si>
    <t>20 mm wide between concrete and brickwork</t>
  </si>
  <si>
    <t>8.5.3</t>
  </si>
  <si>
    <t>7.2.16</t>
  </si>
  <si>
    <t>20 mm joint between brick and concrete</t>
  </si>
  <si>
    <t>PSU</t>
  </si>
  <si>
    <t>Building Work</t>
  </si>
  <si>
    <t>PSU 8.8</t>
  </si>
  <si>
    <t>IRONMONGERY</t>
  </si>
  <si>
    <t>Doors and Windows</t>
  </si>
  <si>
    <t>Steel doors, frames and windows (as per schedule on drawing 13214-73-04-003)</t>
  </si>
  <si>
    <t>7.3.1</t>
  </si>
  <si>
    <t>PSU 8.8.1 (b)</t>
  </si>
  <si>
    <t xml:space="preserve">1000mm x 2000mm High Single Panel Steel Combination Door &amp; Frame </t>
  </si>
  <si>
    <t>7.3.2</t>
  </si>
  <si>
    <t>PSU 8.8.3</t>
  </si>
  <si>
    <t>1000mm x 2000mm High Single Panel Steel Security Gate.</t>
  </si>
  <si>
    <t>7.3.3</t>
  </si>
  <si>
    <t>800mm x 2100mm High standard semi-solid door to be supplied with frame, cabin hook and a level 3 lock set complete with two keys. All fittings, door restraints and hinges solid brass</t>
  </si>
  <si>
    <t>7.3.4</t>
  </si>
  <si>
    <t>1020mm x 950mm Windows SSF43 with burglar proofing</t>
  </si>
  <si>
    <t xml:space="preserve">No. </t>
  </si>
  <si>
    <t>7.3.5</t>
  </si>
  <si>
    <t>410mm x 610mm - M fixed with trim. Including 12mm diameter MS burglar proofing on full face of window, glazed and painted to system A2.</t>
  </si>
  <si>
    <t>7.3.6</t>
  </si>
  <si>
    <t>PSU 8.15 (b)</t>
  </si>
  <si>
    <t>Painting of doors and windows</t>
  </si>
  <si>
    <t>7.3.7</t>
  </si>
  <si>
    <t>PSU 8.15 (c)</t>
  </si>
  <si>
    <t>Painting of windows</t>
  </si>
  <si>
    <t>PSLE</t>
  </si>
  <si>
    <t xml:space="preserve">POLYETHYLENE SHEETING </t>
  </si>
  <si>
    <t>7.4.1</t>
  </si>
  <si>
    <t>8.2.18</t>
  </si>
  <si>
    <t>250 micron polyethylene underneath strip footing and floor slab including ANT poison to SANS 618</t>
  </si>
  <si>
    <t>Brickwork</t>
  </si>
  <si>
    <t>7.4.2</t>
  </si>
  <si>
    <t>PSU 8.1 (b)</t>
  </si>
  <si>
    <t xml:space="preserve">230mm thick, both faces, 14 MPa face brick Exterior wall including brick force </t>
  </si>
  <si>
    <t>7.4.3</t>
  </si>
  <si>
    <t>PSU 8.1 (c)</t>
  </si>
  <si>
    <t xml:space="preserve">115mm thick, 14 MPa face brick Interior Wall including brick force </t>
  </si>
  <si>
    <t>7.5</t>
  </si>
  <si>
    <t>GENERAL - FIXTURES</t>
  </si>
  <si>
    <t>7.5.1</t>
  </si>
  <si>
    <t>Installation of Wall Mounted Wash basin with Basin Taps</t>
  </si>
  <si>
    <t>7.5.2</t>
  </si>
  <si>
    <t>Installation of Front Flush Toilet Suite</t>
  </si>
  <si>
    <t>EXISTING SERVICES</t>
  </si>
  <si>
    <t>7.5.3</t>
  </si>
  <si>
    <t>Water supply to guard house</t>
  </si>
  <si>
    <t xml:space="preserve">&gt;&gt; Variation to drawings - We need to change the line to connect to the reservoir </t>
  </si>
  <si>
    <t>TOTAL FOR SECTION 7 (Carried to Summary)</t>
  </si>
  <si>
    <t>SECTION 8: TELEMETRY HUT</t>
  </si>
  <si>
    <t>SANS1200D</t>
  </si>
  <si>
    <t>8.3.3 a)</t>
  </si>
  <si>
    <t>8.1.1</t>
  </si>
  <si>
    <t xml:space="preserve">Footings </t>
  </si>
  <si>
    <t>8.1.2</t>
  </si>
  <si>
    <t>8.1.4</t>
  </si>
  <si>
    <t>8.1.5</t>
  </si>
  <si>
    <t>Extra over items 8.1.1 to 8.1.3 for additional excavations required by the Engineer after excavation has been completed</t>
  </si>
  <si>
    <t>&gt;&gt; Ensure items are same as he Guard house - comments apply</t>
  </si>
  <si>
    <t>8.1.6</t>
  </si>
  <si>
    <t>8.2</t>
  </si>
  <si>
    <t>Sides of floor slabs</t>
  </si>
  <si>
    <t>Sides of roof slab</t>
  </si>
  <si>
    <t>PSG 8.2.6 (a)</t>
  </si>
  <si>
    <t>Cylindrical Openings with Volume</t>
  </si>
  <si>
    <t>Over and up to and Including</t>
  </si>
  <si>
    <t>(ii) 0,01-0,05 m³</t>
  </si>
  <si>
    <t xml:space="preserve">25 mm along edge of roof </t>
  </si>
  <si>
    <t>8.2.8</t>
  </si>
  <si>
    <t>8.2.9</t>
  </si>
  <si>
    <t>8.2.10</t>
  </si>
  <si>
    <t>Blinding layer 50mm thick under footing (horizontal)</t>
  </si>
  <si>
    <t>&gt;&gt; Add blinding undert reservoir footing to this figure</t>
  </si>
  <si>
    <t>Strength Concrete : 25/19</t>
  </si>
  <si>
    <t>Strip footing (650 mm wide, 250 mm thick)</t>
  </si>
  <si>
    <t>8.2.13</t>
  </si>
  <si>
    <t>8.2.14</t>
  </si>
  <si>
    <t>Roof</t>
  </si>
  <si>
    <t>8.2.15</t>
  </si>
  <si>
    <t>Floor Slab</t>
  </si>
  <si>
    <t>8.2.16</t>
  </si>
  <si>
    <t>8.2.17</t>
  </si>
  <si>
    <t>10 mm Joint with approved polysulphide sealant as per drawing 13214-73-005-001</t>
  </si>
  <si>
    <t>20 mm wide between concrete members</t>
  </si>
  <si>
    <t>8.2.19</t>
  </si>
  <si>
    <t>8.2.20</t>
  </si>
  <si>
    <t>POLYETHYLENE SHEETING</t>
  </si>
  <si>
    <t xml:space="preserve">
 8.2.18</t>
  </si>
  <si>
    <t xml:space="preserve">DPC as specified by the employer's agent </t>
  </si>
  <si>
    <t>BRICKWORK</t>
  </si>
  <si>
    <t>230mm thick, both faces, 14 MPa face brick including brick force</t>
  </si>
  <si>
    <t>Ironmongery</t>
  </si>
  <si>
    <t>PSU 8.8.1</t>
  </si>
  <si>
    <t>Steel doors, frames and windows (as per schedule on drawings 13214-73-05-001: Doors)</t>
  </si>
  <si>
    <t xml:space="preserve">900mm x 2100mm High Single Panel Steel Combination Door &amp; Frame </t>
  </si>
  <si>
    <t>TOTAL FOR SECTION 8 (Carried to Summary)</t>
  </si>
  <si>
    <t>9.1.1</t>
  </si>
  <si>
    <t>9.1.2</t>
  </si>
  <si>
    <t>Extra over items 9.1.1 to 9.1.2 for</t>
  </si>
  <si>
    <t>9.1.3</t>
  </si>
  <si>
    <t>Soft material</t>
  </si>
  <si>
    <t>&gt;&gt; Specify the depths 0-2, 2-4</t>
  </si>
  <si>
    <t>9.1.4</t>
  </si>
  <si>
    <t>9.1.5</t>
  </si>
  <si>
    <t>9.1.6</t>
  </si>
  <si>
    <t>Extra over items 9.1.3 to 9.1.5 for additional excavations required by the Engineer after excavation has been completed</t>
  </si>
  <si>
    <t>9.1.7</t>
  </si>
  <si>
    <t>Building Pipes into Concrete Work</t>
  </si>
  <si>
    <t>8.3(a)</t>
  </si>
  <si>
    <t>9.1.8</t>
  </si>
  <si>
    <t>500mm Stainless Steel Inlet</t>
  </si>
  <si>
    <t>9.1.9</t>
  </si>
  <si>
    <t>600mm Stainless Steel Outlet</t>
  </si>
  <si>
    <t>9.1.10</t>
  </si>
  <si>
    <t>Supply, testing and installation of pipework, fittings and specials brought forward from the Pipe Schedule for the Valve Building (building in of pipes measured elsewhere)</t>
  </si>
  <si>
    <t>9.2</t>
  </si>
  <si>
    <t>9.2.1</t>
  </si>
  <si>
    <t>Edge of floor slab</t>
  </si>
  <si>
    <t>9.2.2</t>
  </si>
  <si>
    <t>Internal &amp; External Sump walls</t>
  </si>
  <si>
    <t>9.2.3</t>
  </si>
  <si>
    <t xml:space="preserve">Internal  &amp; External valve building walls </t>
  </si>
  <si>
    <t>9.2.4</t>
  </si>
  <si>
    <t>Edge of walkway</t>
  </si>
  <si>
    <t>9.2.5</t>
  </si>
  <si>
    <t>Sides of stairs</t>
  </si>
  <si>
    <t>9.2.6</t>
  </si>
  <si>
    <t>Risers of stairs</t>
  </si>
  <si>
    <t>9.2.7</t>
  </si>
  <si>
    <t>Columns</t>
  </si>
  <si>
    <t>9.2.8</t>
  </si>
  <si>
    <t>9.2.9</t>
  </si>
  <si>
    <t>Support beam</t>
  </si>
  <si>
    <t>9.2.10</t>
  </si>
  <si>
    <t>Edge of concrete roof</t>
  </si>
  <si>
    <t>9.2.11</t>
  </si>
  <si>
    <t>9.2.12</t>
  </si>
  <si>
    <t>Soffit of walkway</t>
  </si>
  <si>
    <t>9.2.13</t>
  </si>
  <si>
    <t>Soffit of ring beams</t>
  </si>
  <si>
    <t>9.2.14</t>
  </si>
  <si>
    <t>Soffit of support beams</t>
  </si>
  <si>
    <t>9.2.15</t>
  </si>
  <si>
    <t>Soffit of roof</t>
  </si>
  <si>
    <t>Plane Sloping</t>
  </si>
  <si>
    <t>9.2.16</t>
  </si>
  <si>
    <t>Soffit of staircase</t>
  </si>
  <si>
    <t>9.2.17</t>
  </si>
  <si>
    <t>9.2.18</t>
  </si>
  <si>
    <t>Screed on top of floor</t>
  </si>
  <si>
    <t>9.2.19</t>
  </si>
  <si>
    <t>Blinding layer 50mm thick</t>
  </si>
  <si>
    <t>9.2.20</t>
  </si>
  <si>
    <t>Apron</t>
  </si>
  <si>
    <t>&gt;&gt; Concrete class should be 20/20</t>
  </si>
  <si>
    <t>9.2.21</t>
  </si>
  <si>
    <t>Floor</t>
  </si>
  <si>
    <t>9.2.22</t>
  </si>
  <si>
    <t>9.2.23</t>
  </si>
  <si>
    <t>9.2.24</t>
  </si>
  <si>
    <t>Walkway</t>
  </si>
  <si>
    <t>9.2.25</t>
  </si>
  <si>
    <t xml:space="preserve">Stairs </t>
  </si>
  <si>
    <t>9.2.26</t>
  </si>
  <si>
    <t>9.2.27</t>
  </si>
  <si>
    <t>Ring beams</t>
  </si>
  <si>
    <t>9.2.28</t>
  </si>
  <si>
    <t>Support beams</t>
  </si>
  <si>
    <t>9.2.29</t>
  </si>
  <si>
    <t xml:space="preserve">Roof </t>
  </si>
  <si>
    <t>9.2.30</t>
  </si>
  <si>
    <t>Concrete Sump</t>
  </si>
  <si>
    <t>9.2.31</t>
  </si>
  <si>
    <t>9.2.32</t>
  </si>
  <si>
    <t>High Tensile Reinforced Bars</t>
  </si>
  <si>
    <t>9.2.33</t>
  </si>
  <si>
    <t>Mild Steel Reinforced to Structural Concrete Work</t>
  </si>
  <si>
    <t>9.2.34</t>
  </si>
  <si>
    <t>Top of floor</t>
  </si>
  <si>
    <t>9.2.35</t>
  </si>
  <si>
    <t>Top of walkway</t>
  </si>
  <si>
    <t>9.2.36</t>
  </si>
  <si>
    <t>Treads of stairs</t>
  </si>
  <si>
    <t>Joint Filler Consisting of Closed Cell Expanded Polyethylene with Density not less than 120 kg/m3 including Bullnose Finish to both sides of Joint.</t>
  </si>
  <si>
    <t>9.2.37</t>
  </si>
  <si>
    <t>20 mm wide between 100 mm concrete apron</t>
  </si>
  <si>
    <t>STRUCTURAL STEELWORK (SUNDRY ITEMS)</t>
  </si>
  <si>
    <t/>
  </si>
  <si>
    <t>Crawl Beam</t>
  </si>
  <si>
    <t>Supply and Installation of 254x146x31 kg/m Galvanized M.S I-Beam complete with stops ends, etc. All as shown on drawing 13214-73-05-006, including testing and a certificate proving compliance with the requirements of the department of labour</t>
  </si>
  <si>
    <t>9.3.1</t>
  </si>
  <si>
    <t>14 700 mm long</t>
  </si>
  <si>
    <t>9.3.2</t>
  </si>
  <si>
    <t>M20 galvanized cast in U-bolts complete with spacers, washers and nuts and M20 anchor bars for fixing of crawl beam</t>
  </si>
  <si>
    <t>PSHA 8.3.2(b)</t>
  </si>
  <si>
    <t>Handrail Assembly Complete</t>
  </si>
  <si>
    <t>9.3.3</t>
  </si>
  <si>
    <t>Supply and installation of complete 3CR12 stainless steel handrail assembly</t>
  </si>
  <si>
    <t>BUILDING WORK</t>
  </si>
  <si>
    <t>9.4.1</t>
  </si>
  <si>
    <t>230mm thick, both faces, 7MPa face brick including brick force and damp proofing</t>
  </si>
  <si>
    <t>Air Bricks</t>
  </si>
  <si>
    <t>9.4.2</t>
  </si>
  <si>
    <t>170 mm x 170 mm Standard vermin proof air bricks</t>
  </si>
  <si>
    <t>PSU 8.6</t>
  </si>
  <si>
    <t>WATERPROOFING OF CONCRETE ROOFS</t>
  </si>
  <si>
    <t>9.5.1</t>
  </si>
  <si>
    <t>Valve Building</t>
  </si>
  <si>
    <t>IRONMONGREY</t>
  </si>
  <si>
    <t>Steel doors, frames and windows (as per schedule on drawings 13214-73-05-005)</t>
  </si>
  <si>
    <t>9.6.1</t>
  </si>
  <si>
    <t>D2 standard single steel door and frame (940  wide x 2 134 mm high)</t>
  </si>
  <si>
    <t>9.6.2</t>
  </si>
  <si>
    <t>PSU 8.8.1 (c)</t>
  </si>
  <si>
    <t>Windows SS43 with burglar proofing</t>
  </si>
  <si>
    <t>9.6.3</t>
  </si>
  <si>
    <t>Industrial Type Roller shutter door (3m wide x 3m high)</t>
  </si>
  <si>
    <t>WATER SAMPLING POINT</t>
  </si>
  <si>
    <t>9.7.1</t>
  </si>
  <si>
    <t>MECHANICAL EQUIPMENT</t>
  </si>
  <si>
    <t>9.8.1</t>
  </si>
  <si>
    <t>Underhung overhead crane to fit onto the two fixed crawl beams (item 9.3.1) 10.17m apart (motorised)</t>
  </si>
  <si>
    <t>9.8.2</t>
  </si>
  <si>
    <t>Submersible pump to deliver 3 l/s at a head of 10m including 40mm dia. GMS piping inside the building</t>
  </si>
  <si>
    <t>9.8.3</t>
  </si>
  <si>
    <t>Submersible pump to deliver 3 l/s at a head of 10m including 20m long 40mm dia. Flexible pipe</t>
  </si>
  <si>
    <t>TOTAL FOR SECTION 9 (Carried to Summary)</t>
  </si>
  <si>
    <t>SECTION 10: ELECTRICAL AND C&amp;I</t>
  </si>
  <si>
    <t>PSY 1.2</t>
  </si>
  <si>
    <t>ELECTRICAL CALBLE RACKS</t>
  </si>
  <si>
    <t>Rate to include for the Supply only of the following Plant And Equipment Including Delivery, Storage, Quality Assurance and All Necessary Insurance</t>
  </si>
  <si>
    <t xml:space="preserve">Supply and Deliver Cable Ladder </t>
  </si>
  <si>
    <t>10.1.1</t>
  </si>
  <si>
    <t>100mm wide  x 76mm</t>
  </si>
  <si>
    <t>Supply and Deliver of Horizontal Bends</t>
  </si>
  <si>
    <t>10.1.2</t>
  </si>
  <si>
    <t>ea</t>
  </si>
  <si>
    <t>Supply and Deliver of Vertical Bends</t>
  </si>
  <si>
    <t>10.1.3</t>
  </si>
  <si>
    <t>Supply and Deliver of  Internal Bends</t>
  </si>
  <si>
    <t>10.1.4</t>
  </si>
  <si>
    <r>
      <t xml:space="preserve">Supply and Deliver of  </t>
    </r>
    <r>
      <rPr>
        <b/>
        <sz val="10"/>
        <rFont val="Arial Narrow"/>
        <family val="2"/>
      </rPr>
      <t>External Bends</t>
    </r>
  </si>
  <si>
    <t>10.1.5</t>
  </si>
  <si>
    <t>Supply and Deliver of  Tee-Pieces</t>
  </si>
  <si>
    <t>10.1.6</t>
  </si>
  <si>
    <r>
      <t xml:space="preserve">Supply and Deliver of  </t>
    </r>
    <r>
      <rPr>
        <b/>
        <sz val="10"/>
        <rFont val="Arial Narrow"/>
        <family val="2"/>
      </rPr>
      <t>Cable Ladder Support Struts Material</t>
    </r>
  </si>
  <si>
    <t>10.1.7</t>
  </si>
  <si>
    <t xml:space="preserve">P1000 (41x41 x 2.5mm thickness) </t>
  </si>
  <si>
    <t>10.1.8</t>
  </si>
  <si>
    <t xml:space="preserve">P1000T (41x41 x 2.5mm thickness, slot 25x11@50centers) </t>
  </si>
  <si>
    <r>
      <t xml:space="preserve">Supply and Deliver of  </t>
    </r>
    <r>
      <rPr>
        <b/>
        <sz val="10"/>
        <rFont val="Arial Narrow"/>
        <family val="2"/>
      </rPr>
      <t>Cable Ladder Support Cantilever Arms</t>
    </r>
    <r>
      <rPr>
        <sz val="10"/>
        <rFont val="Arial Narrow"/>
        <family val="2"/>
      </rPr>
      <t xml:space="preserve">  P1000 arm</t>
    </r>
  </si>
  <si>
    <t>10.1.9</t>
  </si>
  <si>
    <t xml:space="preserve">150mm </t>
  </si>
  <si>
    <t>10.1.10</t>
  </si>
  <si>
    <t>200mm</t>
  </si>
  <si>
    <t>10.1.11</t>
  </si>
  <si>
    <t>250mm</t>
  </si>
  <si>
    <t>Rate to include only for Installation, Commissioning, Testing And Adjusting The Following Plant and Equipment as a Completely Separate Operation Sometime after the Completion and/or Erection and Installation, Including Transportation And Accommodation for Personnel</t>
  </si>
  <si>
    <t>E02.8</t>
  </si>
  <si>
    <r>
      <t xml:space="preserve">Installation of  </t>
    </r>
    <r>
      <rPr>
        <b/>
        <sz val="10"/>
        <rFont val="Arial Narrow"/>
        <family val="2"/>
      </rPr>
      <t>Cable Ladder</t>
    </r>
    <r>
      <rPr>
        <sz val="10"/>
        <rFont val="Arial Narrow"/>
        <family val="2"/>
      </rPr>
      <t xml:space="preserve"> </t>
    </r>
  </si>
  <si>
    <t>10.2.1</t>
  </si>
  <si>
    <t>Installation of Horizontal Bends</t>
  </si>
  <si>
    <t>10.2.2</t>
  </si>
  <si>
    <t>Installation of Vertical Bends</t>
  </si>
  <si>
    <t>10.2.3</t>
  </si>
  <si>
    <t>Installation of  Internal Bends</t>
  </si>
  <si>
    <t>10.2.4</t>
  </si>
  <si>
    <t>Installation  of  External Bends</t>
  </si>
  <si>
    <t>10.2.5</t>
  </si>
  <si>
    <t>Installation  of  Tee-Pieces</t>
  </si>
  <si>
    <t>10.2.6</t>
  </si>
  <si>
    <t>Installation of  Cable Ladder Support Struts Material</t>
  </si>
  <si>
    <t>10.2.7</t>
  </si>
  <si>
    <t>10.2.8</t>
  </si>
  <si>
    <r>
      <t xml:space="preserve">Installation of  Cable Ladder Support Cantilever Arms  </t>
    </r>
    <r>
      <rPr>
        <sz val="10"/>
        <rFont val="Arial Narrow"/>
        <family val="2"/>
      </rPr>
      <t>P1000 arm</t>
    </r>
  </si>
  <si>
    <t>10.2.9</t>
  </si>
  <si>
    <t>10.2.10</t>
  </si>
  <si>
    <t>10.2.11</t>
  </si>
  <si>
    <t>Vol3</t>
  </si>
  <si>
    <t>SCADA System</t>
  </si>
  <si>
    <t>Rate to include for the Supply only of the following Plant and Equipment Including Delivery, Storage, Quality Assurance and all Necessary Insurances</t>
  </si>
  <si>
    <t>10.3.1</t>
  </si>
  <si>
    <t>PC Amount for SCADA Software</t>
  </si>
  <si>
    <t>10.3.2</t>
  </si>
  <si>
    <t>% Makup on SCADA Software</t>
  </si>
  <si>
    <t>10.3.3</t>
  </si>
  <si>
    <t>PC Amount for SCADA Programing</t>
  </si>
  <si>
    <t>10.3.4</t>
  </si>
  <si>
    <t>% Makup on SCADA Programing</t>
  </si>
  <si>
    <t>ELECTRICAL DISTRIBUTION SYSTEM</t>
  </si>
  <si>
    <t>10.4.1</t>
  </si>
  <si>
    <t>PSX 2</t>
  </si>
  <si>
    <t>Level sensor and kiosk at Carlswarld Reservoir</t>
  </si>
  <si>
    <t>10.4.2</t>
  </si>
  <si>
    <t>PSX 3</t>
  </si>
  <si>
    <t>Flow meter installation and kiosk at Reservoir Inlet</t>
  </si>
  <si>
    <t>10.4.3</t>
  </si>
  <si>
    <t>Flow meter installation and kiosk at Reservoir Outlet</t>
  </si>
  <si>
    <t>10.4.4</t>
  </si>
  <si>
    <t>Notices at all Buildings</t>
  </si>
  <si>
    <t>10.4.5</t>
  </si>
  <si>
    <t>PSY 6</t>
  </si>
  <si>
    <t>Lightning protection of Carlswarld Reservoir</t>
  </si>
  <si>
    <t>10.4.6</t>
  </si>
  <si>
    <t>PSX 8.1</t>
  </si>
  <si>
    <t xml:space="preserve">Main Distrubution Board in Valve Building </t>
  </si>
  <si>
    <t>Rate to include only for Handling including Double Handling if Stored, Transportation and Handling on site, Erection, Quality Assurance and Installation of The Following Plant and Equipment</t>
  </si>
  <si>
    <t>10.5.1</t>
  </si>
  <si>
    <t>Level sensor and kiosk at New Carlswarld Reservoir</t>
  </si>
  <si>
    <t>10.5.2</t>
  </si>
  <si>
    <t>10.5.3</t>
  </si>
  <si>
    <t>10.5.4</t>
  </si>
  <si>
    <t>10.5.5</t>
  </si>
  <si>
    <t>Lightning protection of New Carlswarld Reservoir</t>
  </si>
  <si>
    <t>10.5.6</t>
  </si>
  <si>
    <t>10.6.2</t>
  </si>
  <si>
    <t>10.6.3</t>
  </si>
  <si>
    <t>10.6.4</t>
  </si>
  <si>
    <t>10.6.5</t>
  </si>
  <si>
    <t>10.6.6</t>
  </si>
  <si>
    <t>ELECTRICAL INSTALLATION IN BUILDINGS AND ON STRUCTURES</t>
  </si>
  <si>
    <t>Rate to include for the Supply only of the following Plant and Equipment Including Delivery, Storage, Quality Assurance and all Necessary Insurance</t>
  </si>
  <si>
    <t>10.7.1</t>
  </si>
  <si>
    <t>PSY 8.2</t>
  </si>
  <si>
    <t>Complete electrical installation in new Carswarld  valve buiding DB-01</t>
  </si>
  <si>
    <t>10.7.2</t>
  </si>
  <si>
    <t>DRW's</t>
  </si>
  <si>
    <t>Type A Light Fitting</t>
  </si>
  <si>
    <t>10.7.3</t>
  </si>
  <si>
    <t>Type B Light Fitting</t>
  </si>
  <si>
    <t>10.7.4</t>
  </si>
  <si>
    <t>Type C Light Fitting</t>
  </si>
  <si>
    <t>10.7.5</t>
  </si>
  <si>
    <t>PSY 4.2</t>
  </si>
  <si>
    <t>Area Lighting Fitting</t>
  </si>
  <si>
    <t>10.7.6</t>
  </si>
  <si>
    <t>PSY 4.3</t>
  </si>
  <si>
    <t>Aviation Light Fitting on the Reservoir</t>
  </si>
  <si>
    <t>10.7.7</t>
  </si>
  <si>
    <t>PSY 8.3</t>
  </si>
  <si>
    <t>Area Light Fitting on the Reservoir</t>
  </si>
  <si>
    <t>10.7.8</t>
  </si>
  <si>
    <t>Complete electrical installation in new Carswarld ReservoirReservoir Telemetry Hut  DB-02</t>
  </si>
  <si>
    <t>10.7.9</t>
  </si>
  <si>
    <t>10.7.10</t>
  </si>
  <si>
    <t>PSY 4</t>
  </si>
  <si>
    <t>10.7.11</t>
  </si>
  <si>
    <t>Complete electrical installation in new Carswarld Reservoir Guard Hut  DB-03</t>
  </si>
  <si>
    <t>10.7.12</t>
  </si>
  <si>
    <t>10.7.13</t>
  </si>
  <si>
    <t>10.7.14</t>
  </si>
  <si>
    <t>Lighting installation on Carswarld Reservoir Site</t>
  </si>
  <si>
    <t>10.7.15</t>
  </si>
  <si>
    <t>PSY 4.1</t>
  </si>
  <si>
    <t>15m Highmast pole with 3X208W LED type Flood lights for area lighting</t>
  </si>
  <si>
    <t>10.8.1</t>
  </si>
  <si>
    <t>10.8.2</t>
  </si>
  <si>
    <t>10.8.3</t>
  </si>
  <si>
    <t>10.8.4</t>
  </si>
  <si>
    <t>10.8.5</t>
  </si>
  <si>
    <t>10.8.6</t>
  </si>
  <si>
    <t>10.8.7</t>
  </si>
  <si>
    <t>10.8.8</t>
  </si>
  <si>
    <t>10.8.9</t>
  </si>
  <si>
    <t>10.8.10</t>
  </si>
  <si>
    <t>10.8.11</t>
  </si>
  <si>
    <t>10.8.12</t>
  </si>
  <si>
    <t>10.8.13</t>
  </si>
  <si>
    <t>10.8.14</t>
  </si>
  <si>
    <t>10.8.15</t>
  </si>
  <si>
    <t>10.9.1</t>
  </si>
  <si>
    <t>10.9.2</t>
  </si>
  <si>
    <t>10.9.3</t>
  </si>
  <si>
    <t>10.9.4</t>
  </si>
  <si>
    <t>10.9.5</t>
  </si>
  <si>
    <t>10.9.6</t>
  </si>
  <si>
    <t>10.9.7</t>
  </si>
  <si>
    <t>10.9.8</t>
  </si>
  <si>
    <t>10.9.9</t>
  </si>
  <si>
    <t>10.9.10</t>
  </si>
  <si>
    <t>10.9.11</t>
  </si>
  <si>
    <t>10.9.12</t>
  </si>
  <si>
    <t>10.9.13</t>
  </si>
  <si>
    <t>10.9.14</t>
  </si>
  <si>
    <t>Lighting installation on Carswarld Reservior Site</t>
  </si>
  <si>
    <t>10.9.15</t>
  </si>
  <si>
    <t>PSX 5</t>
  </si>
  <si>
    <t>TELEMETRY SYSTEM</t>
  </si>
  <si>
    <t>10.10</t>
  </si>
  <si>
    <t>Rate to include for the Supply only of the following Plant And Equipment Including Delivery, Storage, Quality Assurance and all Necessary Insurances</t>
  </si>
  <si>
    <t>10.10.1</t>
  </si>
  <si>
    <t>Changes to existing SCADA system at JW Control Room to add I/O for the new site as per new telemetry system below</t>
  </si>
  <si>
    <t>10.10.2</t>
  </si>
  <si>
    <t>New telemetry system at Carlswarld Reservoir</t>
  </si>
  <si>
    <t>10.11.1</t>
  </si>
  <si>
    <t>10.11.2</t>
  </si>
  <si>
    <t>Rate to include only for Installation, Commissioning, Testing and Adjusting the following Plant and Equipment as a Completely Separate Operation Sometime after the Completion and/or Erection and Installation, Including Transportation and Accommodation for personnel</t>
  </si>
  <si>
    <t>10.12.1</t>
  </si>
  <si>
    <t>10.12.2</t>
  </si>
  <si>
    <t>MULTICORE CABLES AND EARTHWIRES</t>
  </si>
  <si>
    <t>PSY 1.7 &amp; PSY 1.9</t>
  </si>
  <si>
    <t>10.13.1</t>
  </si>
  <si>
    <t>a</t>
  </si>
  <si>
    <t>2.5mm² 3 - Core Cable</t>
  </si>
  <si>
    <t>10.13.2</t>
  </si>
  <si>
    <t>b</t>
  </si>
  <si>
    <t>70mm² Bare Copper Earth Wire</t>
  </si>
  <si>
    <t>10.13.3</t>
  </si>
  <si>
    <t>c</t>
  </si>
  <si>
    <t>16mm² 3 - Core Cable</t>
  </si>
  <si>
    <t>10.13.4</t>
  </si>
  <si>
    <t>d</t>
  </si>
  <si>
    <t>16mm² Bare Copper Cable</t>
  </si>
  <si>
    <t>10.13.5</t>
  </si>
  <si>
    <t>e</t>
  </si>
  <si>
    <t>16mm² 4-Core Cable</t>
  </si>
  <si>
    <t>10.13.6</t>
  </si>
  <si>
    <t>E06.4.17</t>
  </si>
  <si>
    <t>Cable route markers</t>
  </si>
  <si>
    <t>10.13.7</t>
  </si>
  <si>
    <t>E06.4.1</t>
  </si>
  <si>
    <t>Concrete cable slabs (200 x 400 x 40)</t>
  </si>
  <si>
    <t>10.13.8</t>
  </si>
  <si>
    <t>E06.9</t>
  </si>
  <si>
    <t>Cable name tags</t>
  </si>
  <si>
    <t>10.13.9</t>
  </si>
  <si>
    <t>E06.3.6</t>
  </si>
  <si>
    <t>Cable supports</t>
  </si>
  <si>
    <t>10.13.10</t>
  </si>
  <si>
    <t>Pump set sensor termination cubicle</t>
  </si>
  <si>
    <t>10.13.11</t>
  </si>
  <si>
    <t>Core drilling 100mm diameter holes through 250mm concrete</t>
  </si>
  <si>
    <t>PSY 1.7</t>
  </si>
  <si>
    <t>10.14.1</t>
  </si>
  <si>
    <t>10.14.2</t>
  </si>
  <si>
    <t>10.14.3</t>
  </si>
  <si>
    <t>10.14.4</t>
  </si>
  <si>
    <t>10.14.5</t>
  </si>
  <si>
    <t>E16</t>
  </si>
  <si>
    <t>POWER SUPPLY UNITS</t>
  </si>
  <si>
    <t>The tendered rate shall include full compensation for the manufacture, supply, testing and delivery of the UPS incorporating all options/extras as detailed in the detail specification.</t>
  </si>
  <si>
    <t>10.15.1</t>
  </si>
  <si>
    <t>E16.10</t>
  </si>
  <si>
    <t>Supply and deliver UPS</t>
  </si>
  <si>
    <t>10.15.2</t>
  </si>
  <si>
    <t>Supply and deliver 1kVA hybrid inverter with 4x100Ah batteries for Aviation lights.</t>
  </si>
  <si>
    <t>The tendered rate shall include full compensation for the installation, site testing and commissioning plus the 12 months maintenance of the UPS incorporating all options/extras as detailed in the detail specification.</t>
  </si>
  <si>
    <t>10.16.1</t>
  </si>
  <si>
    <t>Install standby UPS</t>
  </si>
  <si>
    <t>10.16.2</t>
  </si>
  <si>
    <t>Supply and deliver 1kVA hybrid inverter with 4x100Ah batteries for Aviation lights</t>
  </si>
  <si>
    <t>The tendered rate shall include full compensation for the manufacture, supply, testing and delivery of the support platform/stand for UPS as detailed in the detail specification.</t>
  </si>
  <si>
    <t>10.17.1</t>
  </si>
  <si>
    <t>Supply and deliver support platform/stand for UPS</t>
  </si>
  <si>
    <t>10.17.2</t>
  </si>
  <si>
    <t>The tendered rate shall include full compensation for the installation of the support platform/stand as detailed in the detail specification.</t>
  </si>
  <si>
    <t>10.18.1</t>
  </si>
  <si>
    <t>Install support platform/stand for UPS</t>
  </si>
  <si>
    <t>10.18.2</t>
  </si>
  <si>
    <t>ACCESS CONTROL AND CCTV SYSTEM</t>
  </si>
  <si>
    <t>10.19.1</t>
  </si>
  <si>
    <t>PC Amount for Access control system</t>
  </si>
  <si>
    <t>-</t>
  </si>
  <si>
    <t>10.19.2</t>
  </si>
  <si>
    <t>% Makup on Acces control system</t>
  </si>
  <si>
    <t>10.19.3</t>
  </si>
  <si>
    <t>PC Amount for CCTV system</t>
  </si>
  <si>
    <t>10.19.4</t>
  </si>
  <si>
    <t>% Markup on CCTV System</t>
  </si>
  <si>
    <t>BULK ELECTRICAL CONNECTION</t>
  </si>
  <si>
    <t>10.20</t>
  </si>
  <si>
    <t>Rate to include the supply of the following Plant and Equipment including Delivery, Storage, Quality Assurance and all necessary insurance.</t>
  </si>
  <si>
    <t>10.20.1</t>
  </si>
  <si>
    <t>PC Amount for 60A 3 Phase Connection from Eskom</t>
  </si>
  <si>
    <t>10.20.2</t>
  </si>
  <si>
    <t>% Makup on 3Phase connection from Eskom</t>
  </si>
  <si>
    <t>10.20.3</t>
  </si>
  <si>
    <t>PC Amount for Infrustructure to get Bulk Connection</t>
  </si>
  <si>
    <t>10.20.4</t>
  </si>
  <si>
    <t>% Makup on Item above</t>
  </si>
  <si>
    <t>EARTHING AND LIGHTING PROTECTION</t>
  </si>
  <si>
    <t>PSY1.6</t>
  </si>
  <si>
    <t>10.21.1</t>
  </si>
  <si>
    <t>E11.17</t>
  </si>
  <si>
    <t>Earth resistivity tests</t>
  </si>
  <si>
    <t>10.21.2</t>
  </si>
  <si>
    <t>Design of a Lightning Protection System (LPS) ..</t>
  </si>
  <si>
    <t>10.21.3</t>
  </si>
  <si>
    <t>PSY 1.6</t>
  </si>
  <si>
    <t>Installation of a structure LPS</t>
  </si>
  <si>
    <t>10.21.4</t>
  </si>
  <si>
    <t>Extra over for the supply and installation of additional 6m rod type earth electrodes including welding/clamps for the connection of earth-termination conductors</t>
  </si>
  <si>
    <t>10.21.5</t>
  </si>
  <si>
    <t>Provision for additional earthing as required</t>
  </si>
  <si>
    <t>10.21.6</t>
  </si>
  <si>
    <t>Testing of a LPS.</t>
  </si>
  <si>
    <t>STANDBY GENERATOR</t>
  </si>
  <si>
    <t>10.22.1</t>
  </si>
  <si>
    <t>The complete supply, delivery, installation, testing and commissioning of a 15kVA, 380V, standby emergency generator including fuel tank, weather proof &amp; sound proof enclosure</t>
  </si>
  <si>
    <t>10.22.2</t>
  </si>
  <si>
    <t>All necessary electical cabling, DB, etc between standby generator and power supply of Reservoir facility</t>
  </si>
  <si>
    <t>TOTAL FOR SECTION 10 (Carried to Summary)</t>
  </si>
  <si>
    <t>SUMMARY OF BoQ</t>
  </si>
  <si>
    <t>SUMMARY OF BILL OF QUANTITIES</t>
  </si>
  <si>
    <t>Section</t>
  </si>
  <si>
    <t>Amount (R)</t>
  </si>
  <si>
    <t xml:space="preserve">Preliminary and General </t>
  </si>
  <si>
    <t>don’t go lower than 15%</t>
  </si>
  <si>
    <t>Site Preparation and Fencing</t>
  </si>
  <si>
    <t>Roads &amp; Stormwater</t>
  </si>
  <si>
    <t>Chambers &amp; Boxes</t>
  </si>
  <si>
    <t>Guard House</t>
  </si>
  <si>
    <t>Telemetry Building</t>
  </si>
  <si>
    <t>Electrical and C&amp;I</t>
  </si>
  <si>
    <t>Sub-Total 1</t>
  </si>
  <si>
    <t>62.3&lt;&gt;</t>
  </si>
  <si>
    <t xml:space="preserve">The above prices are Not Firm.   </t>
  </si>
  <si>
    <t>In respect of the total value of work done by approved SMME's at 30% of Sub Total 1 (This total shall include all amounts payable to SMME's, including P&amp;G's)</t>
  </si>
  <si>
    <t xml:space="preserve"> = R.........................…................................................................ (A)</t>
  </si>
  <si>
    <t>PSA 8.10.1</t>
  </si>
  <si>
    <t>Sub Total 2 [Handling fees for sub contracting = (A) x (B)]</t>
  </si>
  <si>
    <t>Sub Total 3 = Sub Total 1 + Sub Total 2</t>
  </si>
  <si>
    <t>ADD</t>
  </si>
  <si>
    <t>10% Contingency</t>
  </si>
  <si>
    <t>Sub-Total 4</t>
  </si>
  <si>
    <t>VAT @ 15%</t>
  </si>
  <si>
    <t>TOTAL CARRIED TO FORM OFFER</t>
  </si>
  <si>
    <t>PSG 8.9</t>
  </si>
  <si>
    <t>PSG 8.13</t>
  </si>
  <si>
    <t>Allowance as a percentage (maximum 15%) for appointing and handling work done by approved SMME's…...................................................................................% (B)</t>
  </si>
  <si>
    <t>Lockable sample box to be fixed to building as per drawing 13214-73-05-006 (700mm wide x 1200mm long x 1200mm high from 4.5mm 304 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</si>
</sst>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6">
    <numFmt numFmtId="44" formatCode="_-&quot;R&quot;* #,##0.00_-;\-&quot;R&quot;* #,##0.00_-;_-&quot;R&quot;* &quot;-&quot;??_-;_-@_-"/>
    <numFmt numFmtId="43" formatCode="_-* #,##0.00_-;\-* #,##0.00_-;_-* &quot;-&quot;??_-;_-@_-"/>
    <numFmt numFmtId="164" formatCode="_(&quot;$&quot;* #,##0.00_);_(&quot;$&quot;* \(#,##0.00\);_(&quot;$&quot;* &quot;-&quot;??_);_(@_)"/>
    <numFmt numFmtId="165" formatCode="_(* #,##0.00_);_(* \(#,##0.00\);_(* &quot;-&quot;??_);_(@_)"/>
    <numFmt numFmtId="166" formatCode="&quot;R&quot;\ #,##0.00;[Red]&quot;R&quot;\ \-#,##0.00"/>
    <numFmt numFmtId="167" formatCode="_ &quot;R&quot;\ * #,##0.00_ ;_ &quot;R&quot;\ * \-#,##0.00_ ;_ &quot;R&quot;\ * &quot;-&quot;??_ ;_ @_ "/>
    <numFmt numFmtId="168" formatCode="_ * #,##0.00_ ;_ * \-#,##0.00_ ;_ * &quot;-&quot;??_ ;_ @_ "/>
    <numFmt numFmtId="169" formatCode="&quot;R&quot;#,##0.00_);\(&quot;R&quot;#,##0.00\)"/>
    <numFmt numFmtId="170" formatCode="&quot;R&quot;#,##0.00_);[Red]\(&quot;R&quot;#,##0.00\)"/>
    <numFmt numFmtId="171" formatCode="_(&quot;R&quot;* #,##0.00_);_(&quot;R&quot;* \(#,##0.00\);_(&quot;R&quot;* &quot;-&quot;??_);_(@_)"/>
    <numFmt numFmtId="172" formatCode="_ * #,##0_ ;_ * \-#,##0_ ;_ * &quot;-&quot;??_ ;_ @_ "/>
    <numFmt numFmtId="173" formatCode="General_)"/>
    <numFmt numFmtId="174" formatCode="0.0"/>
    <numFmt numFmtId="175" formatCode="#,##0;[Red]#,##0"/>
    <numFmt numFmtId="176" formatCode="_ [$R-1C09]\ * #,##0.00_ ;_ [$R-1C09]\ * \-#,##0.00_ ;_ [$R-1C09]\ * &quot;-&quot;??_ ;_ @_ "/>
    <numFmt numFmtId="177" formatCode="#,##0.0"/>
    <numFmt numFmtId="178" formatCode="#,##0.000"/>
    <numFmt numFmtId="179" formatCode="\$#,##0\ ;\(\$#,##0\)"/>
    <numFmt numFmtId="180" formatCode="0.000_)"/>
    <numFmt numFmtId="181" formatCode="\$#,##0.00_);[Red]\(\$#,##0.00\)"/>
    <numFmt numFmtId="182" formatCode="dd\-mmm\-yy_)"/>
    <numFmt numFmtId="183" formatCode=";;;"/>
    <numFmt numFmtId="184" formatCode="&quot;R&quot;#,##0&quot;/m2 :&quot;"/>
    <numFmt numFmtId="185" formatCode="0.00_)"/>
    <numFmt numFmtId="186" formatCode="0.000"/>
    <numFmt numFmtId="187" formatCode="&quot;R&quot;#,##0.00"/>
    <numFmt numFmtId="188" formatCode="_-[$R-1C09]* #,##0.00_-;\-[$R-1C09]* #,##0.00_-;_-[$R-1C09]* &quot;-&quot;??_-;_-@_-"/>
    <numFmt numFmtId="189" formatCode="#,##0.0000;[Red]#,##0.0000"/>
    <numFmt numFmtId="190" formatCode="_ * #,##0.00_ ;_ * \-#,##0.00_ ;_ * &quot;-&quot;_ ;_ @_ "/>
    <numFmt numFmtId="191" formatCode="#,##0.0;[Red]#,##0.0"/>
    <numFmt numFmtId="192" formatCode="&quot;R&quot;\ #,##0.00"/>
    <numFmt numFmtId="193" formatCode="#,##0.00_ ;\-#,##0.00\ "/>
    <numFmt numFmtId="194" formatCode="#,##0.00;[Red]#,##0.00"/>
    <numFmt numFmtId="195" formatCode="&quot;R&quot;#,##0.000"/>
    <numFmt numFmtId="196" formatCode="_-* #,##0_-;\-* #,##0_-;_-* &quot;-&quot;??_-;_-@_-"/>
    <numFmt numFmtId="197" formatCode="_-&quot;R&quot;* #,##0_-;\-&quot;R&quot;* #,##0_-;_-&quot;R&quot;* &quot;-&quot;??_-;_-@_-"/>
  </numFmts>
  <fonts count="88">
    <font>
      <sz val="11"/>
      <color theme="1"/>
      <name val="Calibri"/>
      <family val="2"/>
      <scheme val="minor"/>
    </font>
    <font>
      <sz val="10"/>
      <color theme="1"/>
      <name val="Arial Narrow"/>
      <family val="2"/>
    </font>
    <font>
      <sz val="11"/>
      <color theme="1"/>
      <name val="Calibri"/>
      <family val="2"/>
      <scheme val="minor"/>
    </font>
    <font>
      <b/>
      <sz val="10"/>
      <name val="Arial"/>
      <family val="2"/>
    </font>
    <font>
      <sz val="10"/>
      <name val="Arial"/>
      <family val="2"/>
    </font>
    <font>
      <sz val="10"/>
      <name val="MS Sans Serif"/>
      <family val="2"/>
    </font>
    <font>
      <i/>
      <sz val="10"/>
      <name val="Arial"/>
      <family val="2"/>
    </font>
    <font>
      <sz val="8"/>
      <name val="Tms Rmn"/>
    </font>
    <font>
      <vertAlign val="superscript"/>
      <sz val="10"/>
      <name val="Arial"/>
      <family val="2"/>
    </font>
    <font>
      <sz val="10"/>
      <color rgb="FFFF0000"/>
      <name val="Arial"/>
      <family val="2"/>
    </font>
    <font>
      <b/>
      <sz val="9"/>
      <color indexed="81"/>
      <name val="Tahoma"/>
      <family val="2"/>
    </font>
    <font>
      <sz val="8"/>
      <name val="Arial"/>
      <family val="2"/>
    </font>
    <font>
      <sz val="10"/>
      <name val="Times New Roman"/>
      <family val="1"/>
    </font>
    <font>
      <b/>
      <sz val="12"/>
      <name val="Arial"/>
      <family val="2"/>
    </font>
    <font>
      <sz val="12"/>
      <name val="Arial"/>
      <family val="2"/>
    </font>
    <font>
      <sz val="8"/>
      <name val="Times New Roman"/>
      <family val="1"/>
    </font>
    <font>
      <b/>
      <u/>
      <sz val="12"/>
      <name val="Arial"/>
      <family val="2"/>
    </font>
    <font>
      <b/>
      <sz val="6"/>
      <name val="Arial"/>
      <family val="2"/>
    </font>
    <font>
      <b/>
      <u/>
      <sz val="10"/>
      <name val="Times New Roman"/>
      <family val="1"/>
    </font>
    <font>
      <u/>
      <sz val="10"/>
      <name val="Times New Roman"/>
      <family val="1"/>
    </font>
    <font>
      <i/>
      <u/>
      <sz val="10"/>
      <name val="Times New Roman"/>
      <family val="1"/>
    </font>
    <font>
      <b/>
      <sz val="18"/>
      <name val="Arial"/>
      <family val="2"/>
    </font>
    <font>
      <sz val="11"/>
      <name val="Tms Rmn"/>
      <family val="1"/>
    </font>
    <font>
      <sz val="12"/>
      <name val="CG Times (WN)"/>
      <family val="1"/>
    </font>
    <font>
      <sz val="10"/>
      <name val="CG Times (WN)"/>
    </font>
    <font>
      <b/>
      <u/>
      <sz val="12"/>
      <color indexed="39"/>
      <name val="CG Times (WN)"/>
      <family val="1"/>
    </font>
    <font>
      <sz val="18"/>
      <name val="Arial"/>
      <family val="2"/>
    </font>
    <font>
      <i/>
      <sz val="12"/>
      <name val="Arial"/>
      <family val="2"/>
    </font>
    <font>
      <sz val="10"/>
      <name val="Helv"/>
      <family val="2"/>
    </font>
    <font>
      <b/>
      <i/>
      <sz val="16"/>
      <name val="Helv"/>
      <family val="2"/>
    </font>
    <font>
      <sz val="10.5"/>
      <name val="Arial"/>
      <family val="2"/>
    </font>
    <font>
      <sz val="10"/>
      <name val="CG Times (WN)"/>
      <family val="1"/>
    </font>
    <font>
      <sz val="10"/>
      <name val="CG Times"/>
      <family val="1"/>
    </font>
    <font>
      <sz val="10"/>
      <color indexed="8"/>
      <name val="CG Times (WN)"/>
      <family val="1"/>
    </font>
    <font>
      <b/>
      <u/>
      <sz val="12"/>
      <color indexed="8"/>
      <name val="CG Times (WN)"/>
      <family val="1"/>
    </font>
    <font>
      <sz val="12"/>
      <color indexed="10"/>
      <name val="CG Times (WN)"/>
      <family val="1"/>
    </font>
    <font>
      <sz val="8"/>
      <color indexed="10"/>
      <name val="Arial Narrow"/>
      <family val="2"/>
    </font>
    <font>
      <sz val="12"/>
      <name val="Times New Roman"/>
      <family val="1"/>
    </font>
    <font>
      <sz val="8"/>
      <name val="Calibri"/>
      <family val="2"/>
      <scheme val="minor"/>
    </font>
    <font>
      <b/>
      <sz val="11"/>
      <color theme="1"/>
      <name val="Calibri"/>
      <family val="2"/>
      <scheme val="minor"/>
    </font>
    <font>
      <sz val="10"/>
      <name val="Helv"/>
    </font>
    <font>
      <sz val="11"/>
      <name val="Calibri"/>
      <family val="2"/>
      <scheme val="minor"/>
    </font>
    <font>
      <sz val="10"/>
      <color theme="1"/>
      <name val="Arial"/>
      <family val="2"/>
    </font>
    <font>
      <b/>
      <sz val="16"/>
      <color theme="1"/>
      <name val="Calibri"/>
      <family val="2"/>
      <scheme val="minor"/>
    </font>
    <font>
      <vertAlign val="superscript"/>
      <sz val="10"/>
      <color indexed="8"/>
      <name val="Arial"/>
      <family val="2"/>
    </font>
    <font>
      <sz val="10"/>
      <color indexed="8"/>
      <name val="Arial"/>
      <family val="2"/>
    </font>
    <font>
      <sz val="10"/>
      <color theme="1"/>
      <name val="Calibri"/>
      <family val="2"/>
      <scheme val="minor"/>
    </font>
    <font>
      <sz val="10"/>
      <color indexed="8"/>
      <name val="Arial Narrow"/>
      <family val="2"/>
    </font>
    <font>
      <b/>
      <sz val="10"/>
      <color theme="1"/>
      <name val="Arial"/>
      <family val="2"/>
    </font>
    <font>
      <b/>
      <sz val="10"/>
      <color theme="1"/>
      <name val="Calibri"/>
      <family val="2"/>
      <scheme val="minor"/>
    </font>
    <font>
      <sz val="8.5"/>
      <color indexed="8"/>
      <name val="Arial"/>
      <family val="2"/>
    </font>
    <font>
      <sz val="10"/>
      <name val="Calibri"/>
      <family val="2"/>
      <scheme val="minor"/>
    </font>
    <font>
      <sz val="10"/>
      <name val="Arial"/>
      <family val="2"/>
    </font>
    <font>
      <b/>
      <sz val="11"/>
      <color theme="1"/>
      <name val="Arial"/>
      <family val="2"/>
    </font>
    <font>
      <b/>
      <sz val="11"/>
      <name val="Arial"/>
      <family val="2"/>
    </font>
    <font>
      <b/>
      <u/>
      <sz val="11"/>
      <name val="Arial"/>
      <family val="2"/>
    </font>
    <font>
      <sz val="11"/>
      <name val="Arial"/>
      <family val="2"/>
    </font>
    <font>
      <sz val="11"/>
      <color rgb="FFFF0000"/>
      <name val="Calibri"/>
      <family val="2"/>
      <scheme val="minor"/>
    </font>
    <font>
      <b/>
      <sz val="10"/>
      <color rgb="FFFF0000"/>
      <name val="Arial"/>
      <family val="2"/>
    </font>
    <font>
      <sz val="10"/>
      <color theme="9"/>
      <name val="Arial"/>
      <family val="2"/>
    </font>
    <font>
      <sz val="10"/>
      <color theme="5"/>
      <name val="Arial"/>
      <family val="2"/>
    </font>
    <font>
      <sz val="11"/>
      <color theme="5"/>
      <name val="Calibri"/>
      <family val="2"/>
      <scheme val="minor"/>
    </font>
    <font>
      <b/>
      <sz val="11"/>
      <name val="Calibri"/>
      <family val="2"/>
      <scheme val="minor"/>
    </font>
    <font>
      <b/>
      <u/>
      <sz val="10"/>
      <name val="Arial Narrow"/>
      <family val="2"/>
    </font>
    <font>
      <b/>
      <sz val="10"/>
      <name val="Arial Narrow"/>
      <family val="2"/>
    </font>
    <font>
      <sz val="10"/>
      <name val="Arial Narrow"/>
      <family val="2"/>
    </font>
    <font>
      <sz val="10"/>
      <color theme="1"/>
      <name val="Arial Narrow"/>
      <family val="2"/>
    </font>
    <font>
      <sz val="10"/>
      <color rgb="FFFF0000"/>
      <name val="Arial Narrow"/>
      <family val="2"/>
    </font>
    <font>
      <b/>
      <sz val="10"/>
      <color theme="1"/>
      <name val="Arial Narrow"/>
      <family val="2"/>
    </font>
    <font>
      <i/>
      <sz val="10"/>
      <name val="Arial Narrow"/>
      <family val="2"/>
    </font>
    <font>
      <b/>
      <sz val="10"/>
      <color rgb="FFFF0000"/>
      <name val="Arial Narrow"/>
      <family val="2"/>
    </font>
    <font>
      <sz val="10"/>
      <color rgb="FF7030A0"/>
      <name val="Arial Narrow"/>
      <family val="2"/>
    </font>
    <font>
      <b/>
      <vertAlign val="superscript"/>
      <sz val="10"/>
      <color theme="1"/>
      <name val="Arial Narrow"/>
      <family val="2"/>
    </font>
    <font>
      <sz val="10"/>
      <color theme="9" tint="-0.249977111117893"/>
      <name val="Arial Narrow"/>
      <family val="2"/>
    </font>
    <font>
      <vertAlign val="superscript"/>
      <sz val="10"/>
      <color theme="1"/>
      <name val="Arial Narrow"/>
      <family val="2"/>
    </font>
    <font>
      <i/>
      <sz val="10"/>
      <color theme="1"/>
      <name val="Arial Narrow"/>
      <family val="2"/>
    </font>
    <font>
      <sz val="10"/>
      <color rgb="FF00B050"/>
      <name val="Arial Narrow"/>
      <family val="2"/>
    </font>
    <font>
      <sz val="10"/>
      <color theme="9" tint="-0.499984740745262"/>
      <name val="Arial Narrow"/>
      <family val="2"/>
    </font>
    <font>
      <b/>
      <sz val="10"/>
      <color theme="9" tint="-0.249977111117893"/>
      <name val="Arial Narrow"/>
      <family val="2"/>
    </font>
    <font>
      <vertAlign val="superscript"/>
      <sz val="10"/>
      <name val="Arial Narrow"/>
      <family val="2"/>
    </font>
    <font>
      <sz val="10"/>
      <color theme="2" tint="-0.89999084444715716"/>
      <name val="Arial Narrow"/>
      <family val="2"/>
    </font>
    <font>
      <b/>
      <sz val="10"/>
      <color theme="2" tint="-0.89999084444715716"/>
      <name val="Arial Narrow"/>
      <family val="2"/>
    </font>
    <font>
      <b/>
      <sz val="11"/>
      <color theme="1"/>
      <name val="Arial Narrow"/>
      <family val="2"/>
    </font>
    <font>
      <b/>
      <sz val="11"/>
      <name val="Arial Narrow"/>
      <family val="2"/>
    </font>
    <font>
      <sz val="11"/>
      <color theme="1"/>
      <name val="Arial Narrow"/>
      <family val="2"/>
    </font>
    <font>
      <sz val="11"/>
      <color rgb="FFFF0000"/>
      <name val="Arial Narrow"/>
      <family val="2"/>
    </font>
    <font>
      <sz val="11"/>
      <name val="Arial Narrow"/>
      <family val="2"/>
    </font>
    <font>
      <sz val="10"/>
      <name val="Arial"/>
      <family val="2"/>
    </font>
  </fonts>
  <fills count="19">
    <fill>
      <patternFill patternType="none"/>
    </fill>
    <fill>
      <patternFill patternType="gray125"/>
    </fill>
    <fill>
      <patternFill patternType="solid">
        <fgColor rgb="FFCCFFCC"/>
        <bgColor indexed="8"/>
      </patternFill>
    </fill>
    <fill>
      <patternFill patternType="solid">
        <fgColor indexed="42"/>
        <bgColor indexed="8"/>
      </patternFill>
    </fill>
    <fill>
      <patternFill patternType="solid">
        <fgColor theme="9" tint="0.79998168889431442"/>
        <bgColor indexed="64"/>
      </patternFill>
    </fill>
    <fill>
      <patternFill patternType="solid">
        <fgColor indexed="42"/>
        <bgColor indexed="64"/>
      </patternFill>
    </fill>
    <fill>
      <patternFill patternType="solid">
        <fgColor indexed="9"/>
        <bgColor indexed="9"/>
      </patternFill>
    </fill>
    <fill>
      <patternFill patternType="solid">
        <fgColor indexed="15"/>
      </patternFill>
    </fill>
    <fill>
      <patternFill patternType="solid">
        <fgColor indexed="9"/>
        <bgColor indexed="10"/>
      </patternFill>
    </fill>
    <fill>
      <patternFill patternType="solid">
        <fgColor indexed="21"/>
        <bgColor indexed="10"/>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99"/>
        <bgColor indexed="64"/>
      </patternFill>
    </fill>
    <fill>
      <patternFill patternType="solid">
        <fgColor theme="0"/>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8" tint="0.59999389629810485"/>
        <bgColor indexed="64"/>
      </patternFill>
    </fill>
    <fill>
      <patternFill patternType="solid">
        <fgColor rgb="FFCCFFCC"/>
        <bgColor indexed="64"/>
      </patternFill>
    </fill>
    <fill>
      <patternFill patternType="solid">
        <fgColor theme="4" tint="0.79998168889431442"/>
        <bgColor indexed="64"/>
      </patternFill>
    </fill>
  </fills>
  <borders count="77">
    <border>
      <left/>
      <right/>
      <top/>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8"/>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8"/>
      </right>
      <top/>
      <bottom style="thin">
        <color indexed="64"/>
      </bottom>
      <diagonal/>
    </border>
    <border>
      <left/>
      <right style="thin">
        <color indexed="64"/>
      </right>
      <top/>
      <bottom/>
      <diagonal/>
    </border>
    <border>
      <left style="thin">
        <color indexed="64"/>
      </left>
      <right/>
      <top style="thin">
        <color indexed="8"/>
      </top>
      <bottom/>
      <diagonal/>
    </border>
    <border>
      <left/>
      <right/>
      <top style="thin">
        <color indexed="8"/>
      </top>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ck">
        <color indexed="64"/>
      </left>
      <right style="thick">
        <color indexed="64"/>
      </right>
      <top/>
      <bottom/>
      <diagonal/>
    </border>
    <border>
      <left style="thick">
        <color indexed="64"/>
      </left>
      <right/>
      <top/>
      <bottom/>
      <diagonal/>
    </border>
    <border>
      <left/>
      <right/>
      <top style="thin">
        <color indexed="64"/>
      </top>
      <bottom style="thin">
        <color indexed="64"/>
      </bottom>
      <diagonal/>
    </border>
    <border>
      <left/>
      <right/>
      <top style="thin">
        <color indexed="64"/>
      </top>
      <bottom style="double">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10"/>
      </bottom>
      <diagonal/>
    </border>
    <border>
      <left style="thin">
        <color indexed="8"/>
      </left>
      <right style="thin">
        <color indexed="8"/>
      </right>
      <top style="thin">
        <color indexed="8"/>
      </top>
      <bottom style="thin">
        <color indexed="8"/>
      </bottom>
      <diagonal/>
    </border>
    <border>
      <left style="thin">
        <color indexed="64"/>
      </left>
      <right style="thin">
        <color indexed="8"/>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8"/>
      </left>
      <right style="thin">
        <color indexed="8"/>
      </right>
      <top style="thin">
        <color indexed="64"/>
      </top>
      <bottom/>
      <diagonal/>
    </border>
    <border>
      <left style="thin">
        <color indexed="8"/>
      </left>
      <right style="thin">
        <color indexed="8"/>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right style="thin">
        <color indexed="8"/>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auto="1"/>
      </left>
      <right/>
      <top/>
      <bottom/>
      <diagonal/>
    </border>
    <border>
      <left style="thin">
        <color indexed="8"/>
      </left>
      <right style="thin">
        <color indexed="8"/>
      </right>
      <top/>
      <bottom/>
      <diagonal/>
    </border>
    <border>
      <left style="thin">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8"/>
      </left>
      <right style="thin">
        <color indexed="64"/>
      </right>
      <top/>
      <bottom/>
      <diagonal/>
    </border>
    <border>
      <left style="thin">
        <color indexed="8"/>
      </left>
      <right/>
      <top/>
      <bottom/>
      <diagonal/>
    </border>
  </borders>
  <cellStyleXfs count="272">
    <xf numFmtId="0" fontId="0" fillId="0" borderId="0"/>
    <xf numFmtId="0" fontId="4" fillId="0" borderId="0"/>
    <xf numFmtId="0" fontId="5" fillId="0" borderId="0">
      <alignment wrapText="1"/>
    </xf>
    <xf numFmtId="0" fontId="4" fillId="0" borderId="0"/>
    <xf numFmtId="168" fontId="4" fillId="0" borderId="0" applyFont="0" applyFill="0" applyBorder="0" applyAlignment="0" applyProtection="0"/>
    <xf numFmtId="0" fontId="4" fillId="0" borderId="0"/>
    <xf numFmtId="173" fontId="7" fillId="0" borderId="0"/>
    <xf numFmtId="0" fontId="4" fillId="0" borderId="0"/>
    <xf numFmtId="0" fontId="4" fillId="0" borderId="0"/>
    <xf numFmtId="168" fontId="2" fillId="0" borderId="0" applyFont="0" applyFill="0" applyBorder="0" applyAlignment="0" applyProtection="0"/>
    <xf numFmtId="173" fontId="7" fillId="0" borderId="0"/>
    <xf numFmtId="0" fontId="4" fillId="0" borderId="0"/>
    <xf numFmtId="168" fontId="4" fillId="0" borderId="0" applyFont="0" applyFill="0" applyBorder="0" applyAlignment="0" applyProtection="0"/>
    <xf numFmtId="3" fontId="4" fillId="0" borderId="0" applyFont="0" applyFill="0" applyBorder="0" applyAlignment="0" applyProtection="0"/>
    <xf numFmtId="0" fontId="2" fillId="0" borderId="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8" fontId="4" fillId="0" borderId="0" applyFont="0" applyFill="0" applyBorder="0" applyAlignment="0" applyProtection="0"/>
    <xf numFmtId="3" fontId="4" fillId="0" borderId="0" applyFont="0" applyFill="0" applyBorder="0" applyAlignment="0" applyProtection="0"/>
    <xf numFmtId="177" fontId="4" fillId="0" borderId="16" applyProtection="0"/>
    <xf numFmtId="177" fontId="4" fillId="0" borderId="16" applyProtection="0"/>
    <xf numFmtId="4" fontId="12" fillId="0" borderId="16" applyProtection="0"/>
    <xf numFmtId="178" fontId="4" fillId="0" borderId="16" applyProtection="0"/>
    <xf numFmtId="178" fontId="4" fillId="0" borderId="16" applyProtection="0"/>
    <xf numFmtId="167" fontId="5"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0" fontId="14" fillId="0" borderId="0" applyProtection="0"/>
    <xf numFmtId="0" fontId="15" fillId="0" borderId="0" applyProtection="0"/>
    <xf numFmtId="0" fontId="16" fillId="0" borderId="0" applyProtection="0"/>
    <xf numFmtId="0" fontId="17" fillId="0" borderId="0" applyProtection="0"/>
    <xf numFmtId="2" fontId="14" fillId="0" borderId="0" applyProtection="0"/>
    <xf numFmtId="0" fontId="12" fillId="0" borderId="0" applyNumberFormat="0" applyFont="0" applyFill="0" applyBorder="0" applyAlignment="0" applyProtection="0">
      <protection locked="0"/>
    </xf>
    <xf numFmtId="0" fontId="13" fillId="0" borderId="0" applyProtection="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18" fillId="0" borderId="0"/>
    <xf numFmtId="0" fontId="19" fillId="0" borderId="0"/>
    <xf numFmtId="0" fontId="20" fillId="0" borderId="17"/>
    <xf numFmtId="9" fontId="4" fillId="0" borderId="0" applyFont="0" applyFill="0" applyBorder="0" applyAlignment="0" applyProtection="0"/>
    <xf numFmtId="9" fontId="4" fillId="0" borderId="0" applyFont="0" applyFill="0" applyBorder="0" applyAlignment="0" applyProtection="0"/>
    <xf numFmtId="173" fontId="7" fillId="0" borderId="0"/>
    <xf numFmtId="0" fontId="7" fillId="0" borderId="0"/>
    <xf numFmtId="0" fontId="2" fillId="0" borderId="0"/>
    <xf numFmtId="168" fontId="2" fillId="0" borderId="0" applyFont="0" applyFill="0" applyBorder="0" applyAlignment="0" applyProtection="0"/>
    <xf numFmtId="168" fontId="2" fillId="0" borderId="0" applyFont="0" applyFill="0" applyBorder="0" applyAlignment="0" applyProtection="0"/>
    <xf numFmtId="0" fontId="2" fillId="0" borderId="0"/>
    <xf numFmtId="0" fontId="4" fillId="0" borderId="0"/>
    <xf numFmtId="167" fontId="2" fillId="0" borderId="0" applyFont="0" applyFill="0" applyBorder="0" applyAlignment="0" applyProtection="0"/>
    <xf numFmtId="0" fontId="2" fillId="0" borderId="0"/>
    <xf numFmtId="168" fontId="2" fillId="0" borderId="0" applyFont="0" applyFill="0" applyBorder="0" applyAlignment="0" applyProtection="0"/>
    <xf numFmtId="168" fontId="2" fillId="0" borderId="0" applyFont="0" applyFill="0" applyBorder="0" applyAlignment="0" applyProtection="0"/>
    <xf numFmtId="0" fontId="2" fillId="0" borderId="0"/>
    <xf numFmtId="167" fontId="2" fillId="0" borderId="0" applyFont="0" applyFill="0" applyBorder="0" applyAlignment="0" applyProtection="0"/>
    <xf numFmtId="0" fontId="2" fillId="0" borderId="0"/>
    <xf numFmtId="168" fontId="2" fillId="0" borderId="0" applyFont="0" applyFill="0" applyBorder="0" applyAlignment="0" applyProtection="0"/>
    <xf numFmtId="168" fontId="2" fillId="0" borderId="0" applyFont="0" applyFill="0" applyBorder="0" applyAlignment="0" applyProtection="0"/>
    <xf numFmtId="0" fontId="2" fillId="0" borderId="0"/>
    <xf numFmtId="167" fontId="2" fillId="0" borderId="0" applyFont="0" applyFill="0" applyBorder="0" applyAlignment="0" applyProtection="0"/>
    <xf numFmtId="0" fontId="2" fillId="0" borderId="0"/>
    <xf numFmtId="168" fontId="2" fillId="0" borderId="0" applyFont="0" applyFill="0" applyBorder="0" applyAlignment="0" applyProtection="0"/>
    <xf numFmtId="168" fontId="2" fillId="0" borderId="0" applyFont="0" applyFill="0" applyBorder="0" applyAlignment="0" applyProtection="0"/>
    <xf numFmtId="0" fontId="2" fillId="0" borderId="0"/>
    <xf numFmtId="167" fontId="2" fillId="0" borderId="0" applyFont="0" applyFill="0" applyBorder="0" applyAlignment="0" applyProtection="0"/>
    <xf numFmtId="9" fontId="2" fillId="0" borderId="0" applyFont="0" applyFill="0" applyBorder="0" applyAlignment="0" applyProtection="0"/>
    <xf numFmtId="0" fontId="2" fillId="0" borderId="0"/>
    <xf numFmtId="168" fontId="2" fillId="0" borderId="0" applyFont="0" applyFill="0" applyBorder="0" applyAlignment="0" applyProtection="0"/>
    <xf numFmtId="168" fontId="2" fillId="0" borderId="0" applyFont="0" applyFill="0" applyBorder="0" applyAlignment="0" applyProtection="0"/>
    <xf numFmtId="0" fontId="2" fillId="0" borderId="0"/>
    <xf numFmtId="167" fontId="2" fillId="0" borderId="0" applyFont="0" applyFill="0" applyBorder="0" applyAlignment="0" applyProtection="0"/>
    <xf numFmtId="9" fontId="2" fillId="0" borderId="0" applyFont="0" applyFill="0" applyBorder="0" applyAlignment="0" applyProtection="0"/>
    <xf numFmtId="0" fontId="5" fillId="0" borderId="0">
      <alignment wrapText="1"/>
    </xf>
    <xf numFmtId="168" fontId="5" fillId="0" borderId="0" applyFont="0" applyFill="0" applyBorder="0" applyAlignment="0" applyProtection="0"/>
    <xf numFmtId="167" fontId="5" fillId="0" borderId="0" applyFont="0" applyFill="0" applyBorder="0" applyAlignment="0" applyProtection="0"/>
    <xf numFmtId="0" fontId="21" fillId="0" borderId="0" applyNumberFormat="0" applyFill="0" applyBorder="0" applyAlignment="0" applyProtection="0"/>
    <xf numFmtId="0" fontId="13" fillId="0" borderId="0" applyNumberFormat="0" applyFill="0" applyBorder="0" applyAlignment="0" applyProtection="0"/>
    <xf numFmtId="0" fontId="14" fillId="0" borderId="19" applyProtection="0"/>
    <xf numFmtId="168" fontId="5" fillId="0" borderId="0" applyFont="0" applyFill="0" applyBorder="0" applyAlignment="0" applyProtection="0"/>
    <xf numFmtId="0" fontId="5" fillId="0" borderId="0">
      <alignment wrapText="1"/>
    </xf>
    <xf numFmtId="0" fontId="5" fillId="0" borderId="0">
      <alignment wrapText="1"/>
    </xf>
    <xf numFmtId="168" fontId="5" fillId="0" borderId="0" applyFont="0" applyFill="0" applyBorder="0" applyAlignment="0" applyProtection="0"/>
    <xf numFmtId="3" fontId="4" fillId="0" borderId="0" applyFont="0" applyFill="0" applyBorder="0" applyAlignment="0" applyProtection="0"/>
    <xf numFmtId="167" fontId="5" fillId="0" borderId="0" applyFont="0" applyFill="0" applyBorder="0" applyAlignment="0" applyProtection="0"/>
    <xf numFmtId="0" fontId="18" fillId="0" borderId="0"/>
    <xf numFmtId="176" fontId="15" fillId="0" borderId="0">
      <alignment horizontal="center" wrapText="1"/>
      <protection locked="0"/>
    </xf>
    <xf numFmtId="180" fontId="22" fillId="0" borderId="0"/>
    <xf numFmtId="180" fontId="22" fillId="0" borderId="0"/>
    <xf numFmtId="180" fontId="22" fillId="0" borderId="0"/>
    <xf numFmtId="180" fontId="22" fillId="0" borderId="0"/>
    <xf numFmtId="180" fontId="22" fillId="0" borderId="0"/>
    <xf numFmtId="180" fontId="22" fillId="0" borderId="0"/>
    <xf numFmtId="180" fontId="22" fillId="0" borderId="0"/>
    <xf numFmtId="180" fontId="22" fillId="0" borderId="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76"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2" fillId="0" borderId="0" applyFont="0" applyFill="0" applyBorder="0" applyAlignment="0" applyProtection="0"/>
    <xf numFmtId="167" fontId="5" fillId="0" borderId="0" applyFont="0" applyFill="0" applyBorder="0" applyAlignment="0" applyProtection="0"/>
    <xf numFmtId="167" fontId="2" fillId="0" borderId="0" applyFont="0" applyFill="0" applyBorder="0" applyAlignment="0" applyProtection="0"/>
    <xf numFmtId="166" fontId="23" fillId="0" borderId="0">
      <alignment horizontal="right" wrapText="1"/>
      <protection locked="0"/>
    </xf>
    <xf numFmtId="181" fontId="24" fillId="0" borderId="0">
      <alignment horizontal="right" wrapText="1"/>
      <protection locked="0"/>
    </xf>
    <xf numFmtId="182" fontId="25" fillId="0" borderId="0">
      <alignment horizontal="center" wrapText="1"/>
      <protection locked="0"/>
    </xf>
    <xf numFmtId="176" fontId="4" fillId="0" borderId="0" applyFont="0" applyFill="0" applyBorder="0" applyAlignment="0" applyProtection="0"/>
    <xf numFmtId="176" fontId="26" fillId="6" borderId="0" applyFont="0" applyFill="0" applyBorder="0" applyAlignment="0" applyProtection="0"/>
    <xf numFmtId="176" fontId="11" fillId="6" borderId="0" applyFont="0" applyFill="0" applyBorder="0" applyAlignment="0" applyProtection="0"/>
    <xf numFmtId="176" fontId="27" fillId="6" borderId="0" applyFont="0" applyFill="0" applyBorder="0" applyAlignment="0" applyProtection="0"/>
    <xf numFmtId="176" fontId="14" fillId="6" borderId="0" applyFont="0" applyFill="0" applyBorder="0" applyAlignment="0" applyProtection="0"/>
    <xf numFmtId="176" fontId="26" fillId="6" borderId="0" applyFont="0" applyFill="0" applyBorder="0" applyAlignment="0" applyProtection="0"/>
    <xf numFmtId="176" fontId="11" fillId="6" borderId="0" applyFont="0" applyFill="0" applyBorder="0" applyAlignment="0" applyProtection="0"/>
    <xf numFmtId="176" fontId="27" fillId="6" borderId="0" applyFont="0" applyFill="0" applyBorder="0" applyAlignment="0" applyProtection="0"/>
    <xf numFmtId="2" fontId="4" fillId="0" borderId="0" applyFont="0" applyFill="0" applyBorder="0" applyAlignment="0" applyProtection="0"/>
    <xf numFmtId="176" fontId="13" fillId="0" borderId="20" applyNumberFormat="0" applyAlignment="0" applyProtection="0">
      <alignment horizontal="left" vertical="center"/>
    </xf>
    <xf numFmtId="176" fontId="13" fillId="0" borderId="18">
      <alignment horizontal="left" vertical="center"/>
    </xf>
    <xf numFmtId="176" fontId="21" fillId="6" borderId="0" applyFont="0" applyFill="0" applyBorder="0" applyAlignment="0" applyProtection="0"/>
    <xf numFmtId="176" fontId="13" fillId="6" borderId="0" applyFont="0" applyFill="0" applyBorder="0" applyAlignment="0" applyProtection="0"/>
    <xf numFmtId="183" fontId="23" fillId="0" borderId="0" applyAlignment="0">
      <alignment horizontal="left"/>
      <protection locked="0" hidden="1"/>
    </xf>
    <xf numFmtId="184" fontId="4" fillId="0" borderId="7"/>
    <xf numFmtId="183" fontId="28" fillId="7" borderId="0"/>
    <xf numFmtId="185" fontId="29" fillId="0" borderId="0"/>
    <xf numFmtId="0" fontId="5" fillId="0" borderId="0">
      <alignment wrapText="1"/>
    </xf>
    <xf numFmtId="0" fontId="5" fillId="0" borderId="0">
      <alignment wrapText="1"/>
    </xf>
    <xf numFmtId="0" fontId="5" fillId="0" borderId="0">
      <alignment wrapText="1"/>
    </xf>
    <xf numFmtId="176" fontId="30" fillId="0" borderId="0"/>
    <xf numFmtId="176" fontId="14" fillId="0" borderId="0">
      <alignment vertical="top"/>
    </xf>
    <xf numFmtId="176" fontId="4" fillId="0" borderId="0"/>
    <xf numFmtId="0" fontId="2" fillId="0" borderId="0"/>
    <xf numFmtId="176" fontId="4" fillId="0" borderId="0"/>
    <xf numFmtId="176" fontId="4" fillId="0" borderId="0"/>
    <xf numFmtId="0" fontId="2" fillId="0" borderId="0"/>
    <xf numFmtId="176" fontId="2" fillId="0" borderId="0"/>
    <xf numFmtId="176" fontId="2" fillId="0" borderId="0"/>
    <xf numFmtId="176" fontId="2" fillId="0" borderId="0"/>
    <xf numFmtId="0" fontId="2" fillId="0" borderId="0"/>
    <xf numFmtId="0" fontId="5" fillId="0" borderId="0">
      <alignment wrapText="1"/>
    </xf>
    <xf numFmtId="0" fontId="5" fillId="0" borderId="0">
      <alignment wrapText="1"/>
    </xf>
    <xf numFmtId="2" fontId="31" fillId="0" borderId="0"/>
    <xf numFmtId="49" fontId="31" fillId="0" borderId="21">
      <alignment horizontal="left"/>
    </xf>
    <xf numFmtId="1" fontId="23" fillId="0" borderId="0">
      <alignment horizontal="center" wrapText="1"/>
      <protection locked="0"/>
    </xf>
    <xf numFmtId="186" fontId="23" fillId="0" borderId="0" applyAlignment="0">
      <protection locked="0"/>
    </xf>
    <xf numFmtId="0" fontId="18" fillId="0" borderId="0"/>
    <xf numFmtId="49" fontId="24" fillId="0" borderId="0" applyProtection="0">
      <alignment vertical="top"/>
      <protection locked="0" hidden="1"/>
    </xf>
    <xf numFmtId="14" fontId="15" fillId="0" borderId="0">
      <alignment horizontal="center" wrapText="1"/>
      <protection locked="0"/>
    </xf>
    <xf numFmtId="10" fontId="23" fillId="0" borderId="0">
      <alignment horizontal="center" wrapText="1"/>
      <protection locked="0"/>
    </xf>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1" fontId="32" fillId="0" borderId="0">
      <alignment horizontal="center" vertical="top" wrapText="1"/>
      <protection locked="0"/>
    </xf>
    <xf numFmtId="166" fontId="33" fillId="8" borderId="21" applyProtection="0">
      <alignment horizontal="right" vertical="center" wrapText="1"/>
      <protection locked="0"/>
    </xf>
    <xf numFmtId="4" fontId="28" fillId="0" borderId="9"/>
    <xf numFmtId="49" fontId="34" fillId="9" borderId="0" applyNumberFormat="0" applyFont="0" applyFill="0" applyAlignment="0" applyProtection="0">
      <alignment horizontal="center"/>
      <protection locked="0"/>
    </xf>
    <xf numFmtId="49" fontId="23" fillId="0" borderId="0">
      <alignment wrapText="1"/>
      <protection locked="0"/>
    </xf>
    <xf numFmtId="49" fontId="25" fillId="0" borderId="0">
      <alignment horizontal="left"/>
      <protection locked="0"/>
    </xf>
    <xf numFmtId="49" fontId="33" fillId="9" borderId="21" applyNumberFormat="0" applyFill="0" applyProtection="0">
      <alignment horizontal="center" vertical="center"/>
      <protection locked="0"/>
    </xf>
    <xf numFmtId="49" fontId="34" fillId="9" borderId="22" applyProtection="0">
      <alignment horizontal="center" wrapText="1"/>
      <protection locked="0"/>
    </xf>
    <xf numFmtId="49" fontId="35" fillId="0" borderId="0">
      <alignment wrapText="1"/>
      <protection locked="0"/>
    </xf>
    <xf numFmtId="49" fontId="24" fillId="0" borderId="0">
      <alignment horizontal="left" wrapText="1"/>
      <protection locked="0"/>
    </xf>
    <xf numFmtId="176" fontId="36" fillId="0" borderId="0">
      <alignment vertical="top"/>
    </xf>
    <xf numFmtId="181" fontId="33" fillId="8" borderId="21" applyProtection="0">
      <alignment horizontal="center" vertical="center"/>
      <protection locked="0"/>
    </xf>
    <xf numFmtId="0" fontId="5" fillId="0" borderId="0">
      <alignment wrapText="1"/>
    </xf>
    <xf numFmtId="168" fontId="5" fillId="0" borderId="0" applyFont="0" applyFill="0" applyBorder="0" applyAlignment="0" applyProtection="0"/>
    <xf numFmtId="0" fontId="5" fillId="0" borderId="0">
      <alignment wrapText="1"/>
    </xf>
    <xf numFmtId="168" fontId="5" fillId="0" borderId="0" applyFont="0" applyFill="0" applyBorder="0" applyAlignment="0" applyProtection="0"/>
    <xf numFmtId="0" fontId="5" fillId="0" borderId="0">
      <alignment wrapText="1"/>
    </xf>
    <xf numFmtId="168" fontId="5" fillId="0" borderId="0" applyFont="0" applyFill="0" applyBorder="0" applyAlignment="0" applyProtection="0"/>
    <xf numFmtId="168" fontId="5" fillId="0" borderId="0" applyFont="0" applyFill="0" applyBorder="0" applyAlignment="0" applyProtection="0"/>
    <xf numFmtId="0" fontId="5" fillId="0" borderId="0">
      <alignment wrapText="1"/>
    </xf>
    <xf numFmtId="168" fontId="5" fillId="0" borderId="0" applyFont="0" applyFill="0" applyBorder="0" applyAlignment="0" applyProtection="0"/>
    <xf numFmtId="0" fontId="5" fillId="0" borderId="0">
      <alignment wrapText="1"/>
    </xf>
    <xf numFmtId="168" fontId="5" fillId="0" borderId="0" applyFont="0" applyFill="0" applyBorder="0" applyAlignment="0" applyProtection="0"/>
    <xf numFmtId="0" fontId="5" fillId="0" borderId="0">
      <alignment wrapText="1"/>
    </xf>
    <xf numFmtId="168" fontId="5" fillId="0" borderId="0" applyFont="0" applyFill="0" applyBorder="0" applyAlignment="0" applyProtection="0"/>
    <xf numFmtId="0" fontId="5" fillId="0" borderId="0">
      <alignment wrapText="1"/>
    </xf>
    <xf numFmtId="168" fontId="5" fillId="0" borderId="0" applyFont="0" applyFill="0" applyBorder="0" applyAlignment="0" applyProtection="0"/>
    <xf numFmtId="0" fontId="5" fillId="0" borderId="0">
      <alignment wrapText="1"/>
    </xf>
    <xf numFmtId="168" fontId="5" fillId="0" borderId="0" applyFont="0" applyFill="0" applyBorder="0" applyAlignment="0" applyProtection="0"/>
    <xf numFmtId="0" fontId="5" fillId="0" borderId="0">
      <alignment wrapText="1"/>
    </xf>
    <xf numFmtId="168" fontId="5" fillId="0" borderId="0" applyFont="0" applyFill="0" applyBorder="0" applyAlignment="0" applyProtection="0"/>
    <xf numFmtId="0" fontId="5" fillId="0" borderId="0">
      <alignment wrapText="1"/>
    </xf>
    <xf numFmtId="168" fontId="5" fillId="0" borderId="0" applyFont="0" applyFill="0" applyBorder="0" applyAlignment="0" applyProtection="0"/>
    <xf numFmtId="0" fontId="5" fillId="0" borderId="0">
      <alignment wrapText="1"/>
    </xf>
    <xf numFmtId="44" fontId="4" fillId="0" borderId="0" applyFont="0" applyFill="0" applyBorder="0" applyAlignment="0" applyProtection="0"/>
    <xf numFmtId="9" fontId="4" fillId="0" borderId="0" applyFont="0" applyFill="0" applyBorder="0" applyAlignment="0" applyProtection="0"/>
    <xf numFmtId="0" fontId="2"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9" fontId="2" fillId="0" borderId="0" applyFont="0" applyFill="0" applyBorder="0" applyAlignment="0" applyProtection="0"/>
    <xf numFmtId="0" fontId="37" fillId="0" borderId="0"/>
    <xf numFmtId="167" fontId="2"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0" fontId="4" fillId="0" borderId="0"/>
    <xf numFmtId="0" fontId="4" fillId="0" borderId="0"/>
    <xf numFmtId="168" fontId="4" fillId="0" borderId="0" applyFont="0" applyFill="0" applyBorder="0" applyAlignment="0" applyProtection="0"/>
    <xf numFmtId="168" fontId="4" fillId="0" borderId="0" applyFont="0" applyFill="0" applyBorder="0" applyAlignment="0" applyProtection="0"/>
    <xf numFmtId="9" fontId="2" fillId="0" borderId="0" applyFont="0" applyFill="0" applyBorder="0" applyAlignment="0" applyProtection="0"/>
    <xf numFmtId="0" fontId="14" fillId="0" borderId="0"/>
    <xf numFmtId="3" fontId="4" fillId="6" borderId="0"/>
    <xf numFmtId="0" fontId="40" fillId="0" borderId="0"/>
    <xf numFmtId="0" fontId="14" fillId="0" borderId="0"/>
    <xf numFmtId="0" fontId="14" fillId="0" borderId="0"/>
    <xf numFmtId="0" fontId="14" fillId="0" borderId="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4" fontId="2" fillId="0" borderId="0" applyFont="0" applyFill="0" applyBorder="0" applyAlignment="0" applyProtection="0"/>
    <xf numFmtId="0" fontId="52" fillId="0" borderId="0"/>
    <xf numFmtId="3" fontId="52" fillId="0" borderId="0" applyFont="0" applyFill="0" applyBorder="0" applyAlignment="0" applyProtection="0"/>
    <xf numFmtId="164" fontId="52" fillId="0" borderId="0" applyFont="0" applyFill="0" applyBorder="0" applyAlignment="0" applyProtection="0"/>
    <xf numFmtId="0" fontId="40" fillId="0" borderId="0"/>
    <xf numFmtId="0" fontId="40" fillId="0" borderId="0"/>
    <xf numFmtId="0" fontId="40" fillId="0" borderId="0"/>
    <xf numFmtId="0" fontId="40" fillId="0" borderId="0"/>
    <xf numFmtId="0" fontId="40" fillId="0" borderId="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4" fillId="0" borderId="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168" fontId="4" fillId="0" borderId="0" applyFont="0" applyFill="0" applyBorder="0" applyAlignment="0" applyProtection="0"/>
    <xf numFmtId="168" fontId="4"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87" fillId="0" borderId="0"/>
    <xf numFmtId="4" fontId="28" fillId="0" borderId="48"/>
    <xf numFmtId="168" fontId="4" fillId="0" borderId="0" applyFont="0" applyFill="0" applyBorder="0" applyAlignment="0" applyProtection="0"/>
  </cellStyleXfs>
  <cellXfs count="1634">
    <xf numFmtId="0" fontId="0" fillId="0" borderId="0" xfId="0"/>
    <xf numFmtId="0" fontId="3" fillId="3" borderId="11" xfId="3" applyFont="1" applyFill="1" applyBorder="1" applyAlignment="1">
      <alignment vertical="top" wrapText="1"/>
    </xf>
    <xf numFmtId="0" fontId="3" fillId="2" borderId="2" xfId="3" applyFont="1" applyFill="1" applyBorder="1" applyAlignment="1">
      <alignment horizontal="center" vertical="top"/>
    </xf>
    <xf numFmtId="0" fontId="3" fillId="2" borderId="4" xfId="3" applyFont="1" applyFill="1" applyBorder="1" applyAlignment="1">
      <alignment horizontal="center" vertical="top" wrapText="1"/>
    </xf>
    <xf numFmtId="0" fontId="3" fillId="2" borderId="4" xfId="3" applyFont="1" applyFill="1" applyBorder="1" applyAlignment="1">
      <alignment horizontal="center" vertical="top"/>
    </xf>
    <xf numFmtId="0" fontId="3" fillId="2" borderId="6" xfId="3" applyFont="1" applyFill="1" applyBorder="1" applyAlignment="1">
      <alignment horizontal="center" vertical="top"/>
    </xf>
    <xf numFmtId="0" fontId="3" fillId="2" borderId="8" xfId="3" applyFont="1" applyFill="1" applyBorder="1" applyAlignment="1">
      <alignment vertical="top" wrapText="1"/>
    </xf>
    <xf numFmtId="0" fontId="3" fillId="2" borderId="8" xfId="3" applyFont="1" applyFill="1" applyBorder="1" applyAlignment="1">
      <alignment horizontal="center" vertical="top"/>
    </xf>
    <xf numFmtId="0" fontId="3" fillId="3" borderId="1" xfId="3" applyFont="1" applyFill="1" applyBorder="1" applyAlignment="1">
      <alignment horizontal="center" vertical="distributed"/>
    </xf>
    <xf numFmtId="39" fontId="3" fillId="3" borderId="1" xfId="3" applyNumberFormat="1" applyFont="1" applyFill="1" applyBorder="1" applyAlignment="1">
      <alignment horizontal="center" vertical="distributed"/>
    </xf>
    <xf numFmtId="39" fontId="3" fillId="3" borderId="7" xfId="3" applyNumberFormat="1" applyFont="1" applyFill="1" applyBorder="1" applyAlignment="1">
      <alignment vertical="distributed"/>
    </xf>
    <xf numFmtId="39" fontId="3" fillId="2" borderId="12" xfId="3" applyNumberFormat="1" applyFont="1" applyFill="1" applyBorder="1" applyAlignment="1">
      <alignment horizontal="center" vertical="top"/>
    </xf>
    <xf numFmtId="39" fontId="3" fillId="2" borderId="8" xfId="3" applyNumberFormat="1" applyFont="1" applyFill="1" applyBorder="1" applyAlignment="1">
      <alignment horizontal="center" vertical="top"/>
    </xf>
    <xf numFmtId="39" fontId="3" fillId="2" borderId="13" xfId="3" applyNumberFormat="1" applyFont="1" applyFill="1" applyBorder="1" applyAlignment="1">
      <alignment vertical="top"/>
    </xf>
    <xf numFmtId="0" fontId="4" fillId="0" borderId="0" xfId="2" applyFont="1" applyAlignment="1">
      <alignment horizontal="left" vertical="top" wrapText="1"/>
    </xf>
    <xf numFmtId="0" fontId="4" fillId="3" borderId="5" xfId="3" applyFill="1" applyBorder="1" applyAlignment="1">
      <alignment horizontal="center" vertical="distributed"/>
    </xf>
    <xf numFmtId="0" fontId="39" fillId="0" borderId="0" xfId="0" applyFont="1"/>
    <xf numFmtId="187" fontId="0" fillId="0" borderId="0" xfId="0" applyNumberFormat="1"/>
    <xf numFmtId="0" fontId="0" fillId="0" borderId="25" xfId="0" applyBorder="1"/>
    <xf numFmtId="170" fontId="0" fillId="0" borderId="25" xfId="0" applyNumberFormat="1" applyBorder="1"/>
    <xf numFmtId="0" fontId="39" fillId="10" borderId="25" xfId="0" applyFont="1" applyFill="1" applyBorder="1"/>
    <xf numFmtId="187" fontId="39" fillId="10" borderId="25" xfId="0" applyNumberFormat="1" applyFont="1" applyFill="1" applyBorder="1"/>
    <xf numFmtId="187" fontId="0" fillId="0" borderId="25" xfId="0" applyNumberFormat="1" applyBorder="1"/>
    <xf numFmtId="9" fontId="0" fillId="0" borderId="25" xfId="218" applyFont="1" applyBorder="1"/>
    <xf numFmtId="0" fontId="3" fillId="2" borderId="3" xfId="3" applyFont="1" applyFill="1" applyBorder="1" applyAlignment="1">
      <alignment horizontal="center" vertical="top" wrapText="1"/>
    </xf>
    <xf numFmtId="0" fontId="3" fillId="2" borderId="7" xfId="3" applyFont="1" applyFill="1" applyBorder="1" applyAlignment="1">
      <alignment horizontal="center" vertical="top" wrapText="1"/>
    </xf>
    <xf numFmtId="0" fontId="41" fillId="0" borderId="0" xfId="0" applyFont="1"/>
    <xf numFmtId="0" fontId="41" fillId="0" borderId="0" xfId="0" applyFont="1" applyAlignment="1">
      <alignment wrapText="1"/>
    </xf>
    <xf numFmtId="0" fontId="4" fillId="0" borderId="23" xfId="3" applyBorder="1" applyAlignment="1">
      <alignment horizontal="center" vertical="top"/>
    </xf>
    <xf numFmtId="16" fontId="0" fillId="0" borderId="25" xfId="0" quotePrefix="1" applyNumberFormat="1" applyBorder="1"/>
    <xf numFmtId="0" fontId="0" fillId="0" borderId="25" xfId="0" quotePrefix="1" applyBorder="1"/>
    <xf numFmtId="0" fontId="3" fillId="3" borderId="1" xfId="7" applyFont="1" applyFill="1" applyBorder="1" applyAlignment="1">
      <alignment horizontal="center"/>
    </xf>
    <xf numFmtId="188" fontId="3" fillId="3" borderId="15" xfId="7" applyNumberFormat="1" applyFont="1" applyFill="1" applyBorder="1" applyAlignment="1">
      <alignment horizontal="right" vertical="center"/>
    </xf>
    <xf numFmtId="0" fontId="6" fillId="0" borderId="3" xfId="7" applyFont="1" applyBorder="1" applyAlignment="1">
      <alignment horizontal="right"/>
    </xf>
    <xf numFmtId="188" fontId="0" fillId="0" borderId="0" xfId="0" applyNumberFormat="1"/>
    <xf numFmtId="0" fontId="4" fillId="0" borderId="0" xfId="7"/>
    <xf numFmtId="0" fontId="42" fillId="0" borderId="25" xfId="0" applyFont="1" applyBorder="1"/>
    <xf numFmtId="188" fontId="46" fillId="12" borderId="25" xfId="0" applyNumberFormat="1" applyFont="1" applyFill="1" applyBorder="1"/>
    <xf numFmtId="188" fontId="46" fillId="0" borderId="25" xfId="0" applyNumberFormat="1" applyFont="1" applyBorder="1"/>
    <xf numFmtId="0" fontId="42" fillId="0" borderId="25" xfId="0" applyFont="1" applyBorder="1" applyAlignment="1">
      <alignment horizontal="left" indent="4"/>
    </xf>
    <xf numFmtId="0" fontId="42" fillId="0" borderId="25" xfId="0" applyFont="1" applyBorder="1" applyAlignment="1">
      <alignment horizontal="left"/>
    </xf>
    <xf numFmtId="9" fontId="46" fillId="12" borderId="25" xfId="0" applyNumberFormat="1" applyFont="1" applyFill="1" applyBorder="1"/>
    <xf numFmtId="0" fontId="48" fillId="0" borderId="25" xfId="0" applyFont="1" applyBorder="1"/>
    <xf numFmtId="9" fontId="49" fillId="0" borderId="25" xfId="0" applyNumberFormat="1" applyFont="1" applyBorder="1"/>
    <xf numFmtId="0" fontId="42" fillId="0" borderId="25" xfId="0" applyFont="1" applyBorder="1" applyAlignment="1">
      <alignment horizontal="left" indent="1"/>
    </xf>
    <xf numFmtId="188" fontId="46" fillId="13" borderId="25" xfId="0" applyNumberFormat="1" applyFont="1" applyFill="1" applyBorder="1"/>
    <xf numFmtId="0" fontId="46" fillId="0" borderId="25" xfId="0" applyFont="1" applyBorder="1"/>
    <xf numFmtId="0" fontId="0" fillId="0" borderId="25" xfId="0" applyBorder="1" applyAlignment="1">
      <alignment vertical="center"/>
    </xf>
    <xf numFmtId="0" fontId="0" fillId="0" borderId="7" xfId="0" applyBorder="1" applyAlignment="1">
      <alignment vertical="center"/>
    </xf>
    <xf numFmtId="0" fontId="46" fillId="0" borderId="0" xfId="0" applyFont="1"/>
    <xf numFmtId="0" fontId="48" fillId="0" borderId="25" xfId="0" applyFont="1" applyBorder="1" applyAlignment="1">
      <alignment vertical="center"/>
    </xf>
    <xf numFmtId="0" fontId="4" fillId="0" borderId="25" xfId="3" applyBorder="1" applyAlignment="1">
      <alignment horizontal="left" vertical="top" wrapText="1"/>
    </xf>
    <xf numFmtId="188" fontId="46" fillId="0" borderId="0" xfId="0" applyNumberFormat="1" applyFont="1"/>
    <xf numFmtId="0" fontId="39" fillId="0" borderId="2" xfId="0" applyFont="1" applyBorder="1"/>
    <xf numFmtId="0" fontId="39" fillId="0" borderId="14" xfId="0" applyFont="1" applyBorder="1"/>
    <xf numFmtId="0" fontId="4" fillId="0" borderId="25" xfId="0" applyFont="1" applyBorder="1" applyAlignment="1">
      <alignment vertical="center"/>
    </xf>
    <xf numFmtId="2" fontId="46" fillId="12" borderId="25" xfId="0" applyNumberFormat="1" applyFont="1" applyFill="1" applyBorder="1"/>
    <xf numFmtId="0" fontId="46" fillId="12" borderId="25" xfId="0" applyFont="1" applyFill="1" applyBorder="1"/>
    <xf numFmtId="0" fontId="4" fillId="0" borderId="0" xfId="0" applyFont="1" applyAlignment="1">
      <alignment vertical="center"/>
    </xf>
    <xf numFmtId="2" fontId="0" fillId="0" borderId="0" xfId="0" applyNumberFormat="1"/>
    <xf numFmtId="0" fontId="3" fillId="0" borderId="3" xfId="0" applyFont="1" applyBorder="1" applyAlignment="1">
      <alignment vertical="center"/>
    </xf>
    <xf numFmtId="0" fontId="3" fillId="0" borderId="3" xfId="0" applyFont="1" applyBorder="1" applyAlignment="1">
      <alignment horizontal="center" vertical="center"/>
    </xf>
    <xf numFmtId="188" fontId="51" fillId="12" borderId="25" xfId="0" applyNumberFormat="1" applyFont="1" applyFill="1" applyBorder="1"/>
    <xf numFmtId="0" fontId="3" fillId="0" borderId="25" xfId="0" applyFont="1" applyBorder="1" applyAlignment="1">
      <alignment vertical="center"/>
    </xf>
    <xf numFmtId="0" fontId="4" fillId="0" borderId="25" xfId="0" applyFont="1" applyBorder="1"/>
    <xf numFmtId="0" fontId="42" fillId="0" borderId="25" xfId="0" applyFont="1" applyBorder="1" applyAlignment="1">
      <alignment vertical="center"/>
    </xf>
    <xf numFmtId="188" fontId="0" fillId="12" borderId="25" xfId="0" applyNumberFormat="1" applyFill="1" applyBorder="1"/>
    <xf numFmtId="188" fontId="0" fillId="0" borderId="25" xfId="0" applyNumberFormat="1" applyBorder="1"/>
    <xf numFmtId="0" fontId="39" fillId="0" borderId="25" xfId="0" applyFont="1" applyBorder="1"/>
    <xf numFmtId="188" fontId="42" fillId="12" borderId="25" xfId="0" applyNumberFormat="1" applyFont="1" applyFill="1" applyBorder="1"/>
    <xf numFmtId="188" fontId="0" fillId="4" borderId="25" xfId="230" applyNumberFormat="1" applyFont="1" applyFill="1" applyBorder="1"/>
    <xf numFmtId="0" fontId="48" fillId="11" borderId="25" xfId="0" applyFont="1" applyFill="1" applyBorder="1"/>
    <xf numFmtId="187" fontId="48" fillId="11" borderId="25" xfId="0" applyNumberFormat="1" applyFont="1" applyFill="1" applyBorder="1" applyAlignment="1">
      <alignment horizontal="right"/>
    </xf>
    <xf numFmtId="187" fontId="42" fillId="0" borderId="25" xfId="0" applyNumberFormat="1" applyFont="1" applyBorder="1"/>
    <xf numFmtId="187" fontId="48" fillId="0" borderId="25" xfId="0" applyNumberFormat="1" applyFont="1" applyBorder="1"/>
    <xf numFmtId="0" fontId="54" fillId="0" borderId="28" xfId="7" applyFont="1" applyBorder="1" applyAlignment="1">
      <alignment vertical="center"/>
    </xf>
    <xf numFmtId="0" fontId="54" fillId="0" borderId="29" xfId="7" applyFont="1" applyBorder="1" applyAlignment="1">
      <alignment vertical="center"/>
    </xf>
    <xf numFmtId="0" fontId="54" fillId="0" borderId="30" xfId="7" applyFont="1" applyBorder="1" applyAlignment="1">
      <alignment vertical="center"/>
    </xf>
    <xf numFmtId="0" fontId="54" fillId="0" borderId="31" xfId="7" applyFont="1" applyBorder="1" applyAlignment="1">
      <alignment vertical="center"/>
    </xf>
    <xf numFmtId="0" fontId="54" fillId="0" borderId="32" xfId="7" applyFont="1" applyBorder="1" applyAlignment="1">
      <alignment vertical="center"/>
    </xf>
    <xf numFmtId="0" fontId="54" fillId="0" borderId="33" xfId="7" applyFont="1" applyBorder="1" applyAlignment="1">
      <alignment vertical="center"/>
    </xf>
    <xf numFmtId="0" fontId="54" fillId="0" borderId="34" xfId="7" applyFont="1" applyBorder="1" applyAlignment="1">
      <alignment vertical="center"/>
    </xf>
    <xf numFmtId="0" fontId="54" fillId="0" borderId="35" xfId="7" applyFont="1" applyBorder="1" applyAlignment="1">
      <alignment vertical="center"/>
    </xf>
    <xf numFmtId="0" fontId="54" fillId="0" borderId="36" xfId="7" applyFont="1" applyBorder="1" applyAlignment="1">
      <alignment vertical="center"/>
    </xf>
    <xf numFmtId="0" fontId="54" fillId="0" borderId="37" xfId="7" applyFont="1" applyBorder="1" applyAlignment="1">
      <alignment vertical="center"/>
    </xf>
    <xf numFmtId="0" fontId="54" fillId="0" borderId="38" xfId="7" applyFont="1" applyBorder="1" applyAlignment="1">
      <alignment vertical="center"/>
    </xf>
    <xf numFmtId="0" fontId="54" fillId="0" borderId="39" xfId="7" applyFont="1" applyBorder="1" applyAlignment="1">
      <alignment vertical="center"/>
    </xf>
    <xf numFmtId="0" fontId="54" fillId="0" borderId="40" xfId="7" applyFont="1" applyBorder="1" applyAlignment="1">
      <alignment vertical="center"/>
    </xf>
    <xf numFmtId="0" fontId="54" fillId="0" borderId="20" xfId="7" applyFont="1" applyBorder="1" applyAlignment="1">
      <alignment vertical="center"/>
    </xf>
    <xf numFmtId="0" fontId="54" fillId="0" borderId="20" xfId="7" applyFont="1" applyBorder="1" applyAlignment="1">
      <alignment horizontal="left" vertical="center"/>
    </xf>
    <xf numFmtId="0" fontId="54" fillId="0" borderId="41" xfId="7" applyFont="1" applyBorder="1" applyAlignment="1">
      <alignment horizontal="center" vertical="center"/>
    </xf>
    <xf numFmtId="0" fontId="54" fillId="0" borderId="0" xfId="7" applyFont="1" applyAlignment="1">
      <alignment vertical="center"/>
    </xf>
    <xf numFmtId="0" fontId="55" fillId="0" borderId="0" xfId="7" applyFont="1" applyAlignment="1">
      <alignment vertical="center"/>
    </xf>
    <xf numFmtId="0" fontId="56" fillId="0" borderId="3" xfId="7" applyFont="1" applyBorder="1" applyAlignment="1">
      <alignment vertical="center"/>
    </xf>
    <xf numFmtId="0" fontId="56" fillId="0" borderId="0" xfId="7" applyFont="1" applyAlignment="1">
      <alignment vertical="center"/>
    </xf>
    <xf numFmtId="0" fontId="56" fillId="0" borderId="26" xfId="7" applyFont="1" applyBorder="1" applyAlignment="1">
      <alignment vertical="center"/>
    </xf>
    <xf numFmtId="0" fontId="56" fillId="0" borderId="18" xfId="7" applyFont="1" applyBorder="1" applyAlignment="1">
      <alignment vertical="center"/>
    </xf>
    <xf numFmtId="192" fontId="56" fillId="0" borderId="18" xfId="7" applyNumberFormat="1" applyFont="1" applyBorder="1" applyAlignment="1">
      <alignment vertical="center"/>
    </xf>
    <xf numFmtId="0" fontId="56" fillId="0" borderId="27" xfId="7" applyFont="1" applyBorder="1" applyAlignment="1">
      <alignment vertical="center"/>
    </xf>
    <xf numFmtId="0" fontId="56" fillId="0" borderId="6" xfId="7" applyFont="1" applyBorder="1" applyAlignment="1">
      <alignment vertical="center"/>
    </xf>
    <xf numFmtId="9" fontId="56" fillId="0" borderId="15" xfId="7" applyNumberFormat="1" applyFont="1" applyBorder="1" applyAlignment="1">
      <alignment horizontal="left" vertical="center"/>
    </xf>
    <xf numFmtId="0" fontId="56" fillId="0" borderId="7" xfId="7" applyFont="1" applyBorder="1" applyAlignment="1">
      <alignment vertical="center"/>
    </xf>
    <xf numFmtId="0" fontId="56" fillId="0" borderId="27" xfId="7" applyFont="1" applyBorder="1" applyAlignment="1">
      <alignment horizontal="left" vertical="center"/>
    </xf>
    <xf numFmtId="0" fontId="54" fillId="0" borderId="27" xfId="7" applyFont="1" applyBorder="1" applyAlignment="1">
      <alignment vertical="center"/>
    </xf>
    <xf numFmtId="0" fontId="56" fillId="0" borderId="25" xfId="7" applyFont="1" applyBorder="1" applyAlignment="1">
      <alignment vertical="center"/>
    </xf>
    <xf numFmtId="0" fontId="54" fillId="0" borderId="26" xfId="7" applyFont="1" applyBorder="1" applyAlignment="1">
      <alignment vertical="center"/>
    </xf>
    <xf numFmtId="192" fontId="54" fillId="0" borderId="18" xfId="7" applyNumberFormat="1" applyFont="1" applyBorder="1" applyAlignment="1">
      <alignment vertical="center"/>
    </xf>
    <xf numFmtId="0" fontId="54" fillId="0" borderId="25" xfId="7" applyFont="1" applyBorder="1" applyAlignment="1">
      <alignment horizontal="center" vertical="center"/>
    </xf>
    <xf numFmtId="0" fontId="54" fillId="0" borderId="25" xfId="7" applyFont="1" applyBorder="1" applyAlignment="1">
      <alignment vertical="center"/>
    </xf>
    <xf numFmtId="0" fontId="56" fillId="0" borderId="25" xfId="7" applyFont="1" applyBorder="1" applyAlignment="1">
      <alignment horizontal="center" vertical="center"/>
    </xf>
    <xf numFmtId="9" fontId="56" fillId="0" borderId="25" xfId="7" applyNumberFormat="1" applyFont="1" applyBorder="1" applyAlignment="1">
      <alignment horizontal="center" vertical="center"/>
    </xf>
    <xf numFmtId="167" fontId="56" fillId="0" borderId="25" xfId="7" applyNumberFormat="1" applyFont="1" applyBorder="1" applyAlignment="1">
      <alignment vertical="center"/>
    </xf>
    <xf numFmtId="167" fontId="56" fillId="0" borderId="0" xfId="7" applyNumberFormat="1" applyFont="1" applyAlignment="1">
      <alignment vertical="center"/>
    </xf>
    <xf numFmtId="167" fontId="54" fillId="0" borderId="25" xfId="7" applyNumberFormat="1" applyFont="1" applyBorder="1" applyAlignment="1">
      <alignment vertical="center"/>
    </xf>
    <xf numFmtId="0" fontId="54" fillId="0" borderId="26" xfId="7" applyFont="1" applyBorder="1" applyAlignment="1">
      <alignment horizontal="left" vertical="center"/>
    </xf>
    <xf numFmtId="0" fontId="54" fillId="0" borderId="18" xfId="7" applyFont="1" applyBorder="1" applyAlignment="1">
      <alignment horizontal="left" vertical="center"/>
    </xf>
    <xf numFmtId="49" fontId="56" fillId="0" borderId="25" xfId="7" applyNumberFormat="1" applyFont="1" applyBorder="1" applyAlignment="1">
      <alignment horizontal="center" vertical="center"/>
    </xf>
    <xf numFmtId="193" fontId="56" fillId="0" borderId="25" xfId="99" applyNumberFormat="1" applyFont="1" applyBorder="1" applyAlignment="1">
      <alignment horizontal="right" vertical="center"/>
    </xf>
    <xf numFmtId="192" fontId="54" fillId="0" borderId="25" xfId="7" applyNumberFormat="1" applyFont="1" applyBorder="1" applyAlignment="1">
      <alignment vertical="center"/>
    </xf>
    <xf numFmtId="0" fontId="56" fillId="0" borderId="26" xfId="7" applyFont="1" applyBorder="1" applyAlignment="1">
      <alignment horizontal="center" vertical="center"/>
    </xf>
    <xf numFmtId="193" fontId="56" fillId="0" borderId="25" xfId="7" applyNumberFormat="1" applyFont="1" applyBorder="1" applyAlignment="1">
      <alignment vertical="center"/>
    </xf>
    <xf numFmtId="0" fontId="56" fillId="0" borderId="26" xfId="7" applyFont="1" applyBorder="1" applyAlignment="1">
      <alignment horizontal="left" vertical="center"/>
    </xf>
    <xf numFmtId="0" fontId="56" fillId="0" borderId="18" xfId="7" applyFont="1" applyBorder="1" applyAlignment="1">
      <alignment horizontal="left" vertical="center"/>
    </xf>
    <xf numFmtId="0" fontId="54" fillId="0" borderId="26" xfId="7" applyFont="1" applyBorder="1" applyAlignment="1">
      <alignment horizontal="center" vertical="center"/>
    </xf>
    <xf numFmtId="0" fontId="54" fillId="0" borderId="18" xfId="7" applyFont="1" applyBorder="1" applyAlignment="1">
      <alignment horizontal="center" vertical="center"/>
    </xf>
    <xf numFmtId="192" fontId="54" fillId="0" borderId="27" xfId="7" applyNumberFormat="1" applyFont="1" applyBorder="1" applyAlignment="1">
      <alignment vertical="center"/>
    </xf>
    <xf numFmtId="171" fontId="54" fillId="0" borderId="0" xfId="7" applyNumberFormat="1" applyFont="1" applyAlignment="1">
      <alignment vertical="center"/>
    </xf>
    <xf numFmtId="49" fontId="4" fillId="3" borderId="2" xfId="7" applyNumberFormat="1" applyFill="1" applyBorder="1" applyAlignment="1">
      <alignment horizontal="center"/>
    </xf>
    <xf numFmtId="0" fontId="4" fillId="3" borderId="5" xfId="7" applyFill="1" applyBorder="1" applyAlignment="1">
      <alignment horizontal="center"/>
    </xf>
    <xf numFmtId="0" fontId="4" fillId="3" borderId="5" xfId="7" applyFill="1" applyBorder="1"/>
    <xf numFmtId="0" fontId="4" fillId="3" borderId="5" xfId="7" applyFill="1" applyBorder="1" applyAlignment="1">
      <alignment horizontal="center" vertical="center"/>
    </xf>
    <xf numFmtId="189" fontId="4" fillId="3" borderId="5" xfId="7" applyNumberFormat="1" applyFill="1" applyBorder="1" applyAlignment="1">
      <alignment horizontal="center" vertical="center"/>
    </xf>
    <xf numFmtId="188" fontId="4" fillId="5" borderId="5" xfId="7" applyNumberFormat="1" applyFill="1" applyBorder="1" applyAlignment="1">
      <alignment vertical="center"/>
    </xf>
    <xf numFmtId="188" fontId="4" fillId="3" borderId="14" xfId="7" applyNumberFormat="1" applyFill="1" applyBorder="1" applyAlignment="1">
      <alignment horizontal="right" vertical="center"/>
    </xf>
    <xf numFmtId="49" fontId="4" fillId="3" borderId="6" xfId="7" applyNumberFormat="1" applyFill="1" applyBorder="1" applyAlignment="1">
      <alignment horizontal="center"/>
    </xf>
    <xf numFmtId="0" fontId="4" fillId="3" borderId="1" xfId="7" applyFill="1" applyBorder="1" applyAlignment="1">
      <alignment horizontal="center"/>
    </xf>
    <xf numFmtId="0" fontId="4" fillId="3" borderId="1" xfId="7" applyFill="1" applyBorder="1" applyAlignment="1">
      <alignment horizontal="center" vertical="center"/>
    </xf>
    <xf numFmtId="189" fontId="4" fillId="3" borderId="1" xfId="7" applyNumberFormat="1" applyFill="1" applyBorder="1" applyAlignment="1">
      <alignment horizontal="center" vertical="center"/>
    </xf>
    <xf numFmtId="188" fontId="4" fillId="5" borderId="1" xfId="7" applyNumberFormat="1" applyFill="1" applyBorder="1" applyAlignment="1">
      <alignment vertical="center"/>
    </xf>
    <xf numFmtId="0" fontId="4" fillId="0" borderId="3" xfId="7" applyBorder="1" applyAlignment="1">
      <alignment horizontal="center" vertical="center"/>
    </xf>
    <xf numFmtId="0" fontId="4" fillId="3" borderId="10" xfId="3" applyFill="1" applyBorder="1" applyAlignment="1">
      <alignment horizontal="center" vertical="top"/>
    </xf>
    <xf numFmtId="0" fontId="4" fillId="3" borderId="11" xfId="3" applyFill="1" applyBorder="1" applyAlignment="1">
      <alignment horizontal="center" vertical="distributed"/>
    </xf>
    <xf numFmtId="39" fontId="4" fillId="3" borderId="3" xfId="3" applyNumberFormat="1" applyFill="1" applyBorder="1" applyAlignment="1">
      <alignment vertical="distributed"/>
    </xf>
    <xf numFmtId="0" fontId="41" fillId="0" borderId="0" xfId="0" applyFont="1" applyAlignment="1">
      <alignment horizontal="center" vertical="center"/>
    </xf>
    <xf numFmtId="0" fontId="4" fillId="0" borderId="0" xfId="3" applyAlignment="1">
      <alignment vertical="top" wrapText="1"/>
    </xf>
    <xf numFmtId="0" fontId="4" fillId="0" borderId="0" xfId="3" applyAlignment="1">
      <alignment horizontal="center" vertical="distributed"/>
    </xf>
    <xf numFmtId="0" fontId="4" fillId="0" borderId="0" xfId="3" applyAlignment="1">
      <alignment horizontal="left" vertical="top" wrapText="1"/>
    </xf>
    <xf numFmtId="0" fontId="4" fillId="3" borderId="11" xfId="3" applyFill="1" applyBorder="1" applyAlignment="1">
      <alignment horizontal="center" vertical="top" wrapText="1"/>
    </xf>
    <xf numFmtId="0" fontId="57" fillId="0" borderId="0" xfId="0" applyFont="1"/>
    <xf numFmtId="0" fontId="9" fillId="0" borderId="23" xfId="3" applyFont="1" applyBorder="1" applyAlignment="1">
      <alignment horizontal="center" vertical="top"/>
    </xf>
    <xf numFmtId="0" fontId="60" fillId="0" borderId="23" xfId="3" applyFont="1" applyBorder="1" applyAlignment="1">
      <alignment horizontal="center" vertical="top"/>
    </xf>
    <xf numFmtId="0" fontId="61" fillId="0" borderId="0" xfId="0" applyFont="1"/>
    <xf numFmtId="0" fontId="57" fillId="13" borderId="0" xfId="0" applyFont="1" applyFill="1" applyAlignment="1">
      <alignment wrapText="1"/>
    </xf>
    <xf numFmtId="0" fontId="57" fillId="13" borderId="0" xfId="0" applyFont="1" applyFill="1"/>
    <xf numFmtId="44" fontId="41" fillId="0" borderId="0" xfId="267" applyFont="1"/>
    <xf numFmtId="0" fontId="4" fillId="0" borderId="42" xfId="3" applyBorder="1" applyAlignment="1">
      <alignment horizontal="center" vertical="distributed"/>
    </xf>
    <xf numFmtId="39" fontId="4" fillId="0" borderId="0" xfId="3" applyNumberFormat="1" applyAlignment="1">
      <alignment horizontal="center" vertical="distributed"/>
    </xf>
    <xf numFmtId="9" fontId="56" fillId="0" borderId="25" xfId="45" applyFont="1" applyBorder="1" applyAlignment="1">
      <alignment horizontal="center" vertical="center"/>
    </xf>
    <xf numFmtId="0" fontId="53" fillId="0" borderId="0" xfId="0" applyFont="1"/>
    <xf numFmtId="0" fontId="62" fillId="0" borderId="0" xfId="0" applyFont="1"/>
    <xf numFmtId="189" fontId="4" fillId="0" borderId="3" xfId="7" applyNumberFormat="1" applyBorder="1" applyAlignment="1">
      <alignment horizontal="center" vertical="center"/>
    </xf>
    <xf numFmtId="0" fontId="4" fillId="0" borderId="42" xfId="3" applyBorder="1" applyAlignment="1">
      <alignment horizontal="center" vertical="top"/>
    </xf>
    <xf numFmtId="0" fontId="9" fillId="0" borderId="42" xfId="3" applyFont="1" applyBorder="1" applyAlignment="1">
      <alignment horizontal="center" vertical="top"/>
    </xf>
    <xf numFmtId="0" fontId="4" fillId="15" borderId="23" xfId="3" applyFill="1" applyBorder="1" applyAlignment="1">
      <alignment horizontal="center" vertical="top"/>
    </xf>
    <xf numFmtId="0" fontId="57" fillId="15" borderId="0" xfId="0" applyFont="1" applyFill="1"/>
    <xf numFmtId="0" fontId="41" fillId="15" borderId="0" xfId="0" applyFont="1" applyFill="1"/>
    <xf numFmtId="0" fontId="4" fillId="0" borderId="0" xfId="7" applyAlignment="1">
      <alignment horizontal="center" vertical="center"/>
    </xf>
    <xf numFmtId="0" fontId="6" fillId="0" borderId="0" xfId="7" applyFont="1" applyAlignment="1">
      <alignment horizontal="right"/>
    </xf>
    <xf numFmtId="189" fontId="4" fillId="0" borderId="0" xfId="7" applyNumberFormat="1" applyAlignment="1">
      <alignment horizontal="center" vertical="center"/>
    </xf>
    <xf numFmtId="188" fontId="4" fillId="0" borderId="0" xfId="7" applyNumberFormat="1" applyAlignment="1">
      <alignment horizontal="center" vertical="center"/>
    </xf>
    <xf numFmtId="188" fontId="6" fillId="0" borderId="0" xfId="7" applyNumberFormat="1" applyFont="1" applyAlignment="1">
      <alignment horizontal="right" vertical="center"/>
    </xf>
    <xf numFmtId="0" fontId="4" fillId="0" borderId="0" xfId="0" applyFont="1"/>
    <xf numFmtId="0" fontId="3" fillId="0" borderId="0" xfId="0" applyFont="1"/>
    <xf numFmtId="0" fontId="42" fillId="0" borderId="0" xfId="0" applyFont="1"/>
    <xf numFmtId="0" fontId="48" fillId="0" borderId="0" xfId="0" applyFont="1"/>
    <xf numFmtId="0" fontId="42" fillId="0" borderId="42" xfId="0" applyFont="1" applyBorder="1" applyAlignment="1">
      <alignment horizontal="center" vertical="center"/>
    </xf>
    <xf numFmtId="187" fontId="9" fillId="0" borderId="25" xfId="0" applyNumberFormat="1" applyFont="1" applyBorder="1"/>
    <xf numFmtId="0" fontId="42" fillId="0" borderId="42" xfId="0" applyFont="1" applyBorder="1"/>
    <xf numFmtId="0" fontId="42" fillId="0" borderId="7" xfId="0" applyFont="1" applyBorder="1"/>
    <xf numFmtId="44" fontId="4" fillId="0" borderId="0" xfId="267" applyFont="1"/>
    <xf numFmtId="0" fontId="4" fillId="0" borderId="0" xfId="0" applyFont="1" applyAlignment="1">
      <alignment horizontal="center" vertical="center"/>
    </xf>
    <xf numFmtId="0" fontId="42" fillId="0" borderId="25" xfId="0" applyFont="1" applyBorder="1" applyAlignment="1">
      <alignment horizontal="center" vertical="center" wrapText="1"/>
    </xf>
    <xf numFmtId="0" fontId="42" fillId="0" borderId="25" xfId="0" applyFont="1" applyBorder="1" applyAlignment="1">
      <alignment horizontal="center" vertical="center"/>
    </xf>
    <xf numFmtId="0" fontId="42" fillId="0" borderId="26" xfId="0" applyFont="1" applyBorder="1" applyAlignment="1">
      <alignment horizontal="center" vertical="center"/>
    </xf>
    <xf numFmtId="0" fontId="42" fillId="0" borderId="26" xfId="0" applyFont="1" applyBorder="1" applyAlignment="1">
      <alignment horizontal="center" vertical="center" wrapText="1"/>
    </xf>
    <xf numFmtId="0" fontId="42" fillId="0" borderId="0" xfId="0" applyFont="1" applyAlignment="1">
      <alignment horizontal="center" vertical="center" wrapText="1"/>
    </xf>
    <xf numFmtId="44" fontId="42" fillId="0" borderId="25" xfId="267" applyFont="1" applyBorder="1" applyAlignment="1">
      <alignment horizontal="center" vertical="center"/>
    </xf>
    <xf numFmtId="0" fontId="42" fillId="0" borderId="0" xfId="0" applyFont="1" applyAlignment="1">
      <alignment horizontal="center" vertical="center"/>
    </xf>
    <xf numFmtId="0" fontId="42" fillId="0" borderId="25" xfId="0" applyFont="1" applyBorder="1" applyAlignment="1">
      <alignment horizontal="center" wrapText="1"/>
    </xf>
    <xf numFmtId="44" fontId="42" fillId="0" borderId="25" xfId="267" applyFont="1" applyBorder="1" applyAlignment="1">
      <alignment vertical="center"/>
    </xf>
    <xf numFmtId="44" fontId="42" fillId="0" borderId="25" xfId="267" applyFont="1" applyBorder="1" applyAlignment="1">
      <alignment horizontal="center" vertical="center" wrapText="1"/>
    </xf>
    <xf numFmtId="0" fontId="42" fillId="0" borderId="0" xfId="0" applyFont="1" applyAlignment="1">
      <alignment horizontal="center" wrapText="1"/>
    </xf>
    <xf numFmtId="44" fontId="42" fillId="0" borderId="25" xfId="0" applyNumberFormat="1" applyFont="1" applyBorder="1" applyAlignment="1">
      <alignment horizontal="center" vertical="center" wrapText="1"/>
    </xf>
    <xf numFmtId="0" fontId="42" fillId="0" borderId="3" xfId="0" applyFont="1" applyBorder="1" applyAlignment="1">
      <alignment horizontal="center" vertical="center" wrapText="1"/>
    </xf>
    <xf numFmtId="0" fontId="42" fillId="0" borderId="3" xfId="0" applyFont="1" applyBorder="1" applyAlignment="1">
      <alignment horizontal="center" vertical="center"/>
    </xf>
    <xf numFmtId="0" fontId="42" fillId="0" borderId="25" xfId="0" applyFont="1" applyBorder="1" applyAlignment="1">
      <alignment horizontal="left" vertical="center" wrapText="1"/>
    </xf>
    <xf numFmtId="0" fontId="42" fillId="0" borderId="18" xfId="0" applyFont="1" applyBorder="1" applyAlignment="1">
      <alignment horizontal="center" vertical="center" wrapText="1"/>
    </xf>
    <xf numFmtId="0" fontId="42" fillId="0" borderId="27" xfId="0" applyFont="1" applyBorder="1" applyAlignment="1">
      <alignment horizontal="center" vertical="center" wrapText="1"/>
    </xf>
    <xf numFmtId="0" fontId="42" fillId="0" borderId="18" xfId="0" applyFont="1" applyBorder="1" applyAlignment="1">
      <alignment horizontal="center" vertical="center"/>
    </xf>
    <xf numFmtId="0" fontId="42" fillId="0" borderId="27" xfId="0" applyFont="1" applyBorder="1" applyAlignment="1">
      <alignment horizontal="left" vertical="center" wrapText="1"/>
    </xf>
    <xf numFmtId="0" fontId="42" fillId="18" borderId="0" xfId="0" applyFont="1" applyFill="1"/>
    <xf numFmtId="0" fontId="48" fillId="0" borderId="26" xfId="0" applyFont="1" applyBorder="1" applyAlignment="1">
      <alignment horizontal="left" vertical="center"/>
    </xf>
    <xf numFmtId="0" fontId="48" fillId="0" borderId="18" xfId="0" applyFont="1" applyBorder="1" applyAlignment="1">
      <alignment horizontal="left" vertical="center"/>
    </xf>
    <xf numFmtId="0" fontId="48" fillId="0" borderId="27" xfId="0" applyFont="1" applyBorder="1" applyAlignment="1">
      <alignment horizontal="left" vertical="center"/>
    </xf>
    <xf numFmtId="0" fontId="42" fillId="0" borderId="2" xfId="0" applyFont="1" applyBorder="1" applyAlignment="1">
      <alignment horizontal="center" vertical="center" wrapText="1"/>
    </xf>
    <xf numFmtId="0" fontId="42" fillId="0" borderId="5" xfId="0" applyFont="1" applyBorder="1" applyAlignment="1">
      <alignment horizontal="center" vertical="center" wrapText="1"/>
    </xf>
    <xf numFmtId="0" fontId="42" fillId="0" borderId="5" xfId="0" applyFont="1" applyBorder="1" applyAlignment="1">
      <alignment horizontal="left" vertical="center" wrapText="1"/>
    </xf>
    <xf numFmtId="0" fontId="48" fillId="0" borderId="2" xfId="0" applyFont="1" applyBorder="1" applyAlignment="1">
      <alignment horizontal="left" vertical="center"/>
    </xf>
    <xf numFmtId="0" fontId="48" fillId="0" borderId="5" xfId="0" applyFont="1" applyBorder="1" applyAlignment="1">
      <alignment horizontal="left" vertical="center"/>
    </xf>
    <xf numFmtId="0" fontId="48" fillId="0" borderId="14" xfId="0" applyFont="1" applyBorder="1" applyAlignment="1">
      <alignment horizontal="left" vertical="center"/>
    </xf>
    <xf numFmtId="0" fontId="48" fillId="0" borderId="1" xfId="0" applyFont="1" applyBorder="1" applyAlignment="1">
      <alignment horizontal="left" vertical="center"/>
    </xf>
    <xf numFmtId="0" fontId="48" fillId="0" borderId="15" xfId="0" applyFont="1" applyBorder="1" applyAlignment="1">
      <alignment horizontal="left" vertical="center"/>
    </xf>
    <xf numFmtId="0" fontId="4" fillId="0" borderId="18" xfId="3" applyBorder="1" applyAlignment="1">
      <alignment horizontal="center" vertical="top"/>
    </xf>
    <xf numFmtId="188" fontId="4" fillId="0" borderId="25" xfId="0" applyNumberFormat="1" applyFont="1" applyBorder="1"/>
    <xf numFmtId="44" fontId="42" fillId="0" borderId="0" xfId="267" applyFont="1" applyBorder="1" applyAlignment="1">
      <alignment horizontal="center" vertical="center"/>
    </xf>
    <xf numFmtId="0" fontId="42" fillId="0" borderId="3" xfId="0" applyFont="1" applyBorder="1" applyAlignment="1">
      <alignment horizontal="left" vertical="center"/>
    </xf>
    <xf numFmtId="0" fontId="42" fillId="0" borderId="25" xfId="0" applyFont="1" applyBorder="1" applyAlignment="1">
      <alignment horizontal="left" vertical="center"/>
    </xf>
    <xf numFmtId="0" fontId="42" fillId="0" borderId="5" xfId="0" applyFont="1" applyBorder="1"/>
    <xf numFmtId="0" fontId="42" fillId="0" borderId="14" xfId="0" applyFont="1" applyBorder="1"/>
    <xf numFmtId="0" fontId="42" fillId="0" borderId="3" xfId="0" applyFont="1" applyBorder="1"/>
    <xf numFmtId="44" fontId="42" fillId="0" borderId="25" xfId="267" applyFont="1" applyFill="1" applyBorder="1" applyAlignment="1">
      <alignment horizontal="center" vertical="center"/>
    </xf>
    <xf numFmtId="0" fontId="4" fillId="0" borderId="26" xfId="3" applyBorder="1" applyAlignment="1">
      <alignment horizontal="center" vertical="top"/>
    </xf>
    <xf numFmtId="0" fontId="42" fillId="0" borderId="3" xfId="0" applyFont="1" applyBorder="1" applyAlignment="1">
      <alignment horizontal="center" wrapText="1"/>
    </xf>
    <xf numFmtId="0" fontId="42" fillId="0" borderId="42" xfId="0" applyFont="1" applyBorder="1" applyAlignment="1">
      <alignment horizontal="center" wrapText="1"/>
    </xf>
    <xf numFmtId="0" fontId="42" fillId="0" borderId="7" xfId="0" applyFont="1" applyBorder="1" applyAlignment="1">
      <alignment horizontal="center" wrapText="1"/>
    </xf>
    <xf numFmtId="0" fontId="42" fillId="0" borderId="42" xfId="0" applyFont="1" applyBorder="1" applyAlignment="1">
      <alignment horizontal="center" vertical="center" wrapText="1"/>
    </xf>
    <xf numFmtId="44" fontId="42" fillId="0" borderId="42" xfId="267" applyFont="1" applyFill="1" applyBorder="1" applyAlignment="1">
      <alignment horizontal="center" vertical="center"/>
    </xf>
    <xf numFmtId="0" fontId="42" fillId="0" borderId="7" xfId="0" applyFont="1" applyBorder="1" applyAlignment="1">
      <alignment horizontal="center" vertical="center" wrapText="1"/>
    </xf>
    <xf numFmtId="0" fontId="42" fillId="0" borderId="6" xfId="0" applyFont="1" applyBorder="1" applyAlignment="1">
      <alignment horizontal="center" vertical="center" wrapText="1"/>
    </xf>
    <xf numFmtId="0" fontId="42" fillId="0" borderId="2" xfId="0" applyFont="1" applyBorder="1" applyAlignment="1">
      <alignment horizontal="center" vertical="center"/>
    </xf>
    <xf numFmtId="0" fontId="42" fillId="0" borderId="6" xfId="0" applyFont="1" applyBorder="1" applyAlignment="1">
      <alignment horizontal="center" vertical="center"/>
    </xf>
    <xf numFmtId="0" fontId="42" fillId="0" borderId="7" xfId="0" applyFont="1" applyBorder="1" applyAlignment="1">
      <alignment horizontal="center" vertical="center"/>
    </xf>
    <xf numFmtId="0" fontId="3" fillId="0" borderId="0" xfId="7" applyFont="1" applyAlignment="1">
      <alignment horizontal="center" vertical="center"/>
    </xf>
    <xf numFmtId="0" fontId="9" fillId="0" borderId="0" xfId="0" applyFont="1"/>
    <xf numFmtId="0" fontId="58" fillId="0" borderId="0" xfId="0" applyFont="1"/>
    <xf numFmtId="0" fontId="9" fillId="18" borderId="0" xfId="0" applyFont="1" applyFill="1"/>
    <xf numFmtId="0" fontId="42" fillId="0" borderId="0" xfId="0" applyFont="1" applyAlignment="1">
      <alignment horizontal="left" vertical="center" wrapText="1"/>
    </xf>
    <xf numFmtId="44" fontId="42" fillId="0" borderId="0" xfId="267" applyFont="1" applyBorder="1" applyAlignment="1">
      <alignment vertical="center"/>
    </xf>
    <xf numFmtId="0" fontId="63" fillId="0" borderId="42" xfId="0" applyFont="1" applyBorder="1" applyAlignment="1">
      <alignment horizontal="left" vertical="center" wrapText="1"/>
    </xf>
    <xf numFmtId="0" fontId="64" fillId="0" borderId="42" xfId="0" applyFont="1" applyBorder="1" applyAlignment="1">
      <alignment horizontal="center" vertical="center" wrapText="1"/>
    </xf>
    <xf numFmtId="0" fontId="64" fillId="0" borderId="42" xfId="0" applyFont="1" applyBorder="1" applyAlignment="1">
      <alignment horizontal="center" vertical="center"/>
    </xf>
    <xf numFmtId="0" fontId="64" fillId="0" borderId="42" xfId="0" quotePrefix="1" applyFont="1" applyBorder="1" applyAlignment="1">
      <alignment horizontal="center" vertical="center"/>
    </xf>
    <xf numFmtId="0" fontId="64" fillId="0" borderId="42" xfId="0" applyFont="1" applyBorder="1" applyAlignment="1">
      <alignment vertical="center" wrapText="1"/>
    </xf>
    <xf numFmtId="0" fontId="65" fillId="0" borderId="42" xfId="0" applyFont="1" applyBorder="1" applyAlignment="1">
      <alignment horizontal="center" vertical="center"/>
    </xf>
    <xf numFmtId="44" fontId="65" fillId="0" borderId="0" xfId="267" applyFont="1" applyAlignment="1">
      <alignment horizontal="center" vertical="center"/>
    </xf>
    <xf numFmtId="0" fontId="66" fillId="0" borderId="0" xfId="0" applyFont="1" applyAlignment="1">
      <alignment vertical="center"/>
    </xf>
    <xf numFmtId="0" fontId="66" fillId="0" borderId="0" xfId="0" applyFont="1"/>
    <xf numFmtId="0" fontId="67" fillId="0" borderId="0" xfId="0" applyFont="1" applyAlignment="1">
      <alignment vertical="center"/>
    </xf>
    <xf numFmtId="0" fontId="68" fillId="0" borderId="0" xfId="0" applyFont="1" applyAlignment="1">
      <alignment vertical="center"/>
    </xf>
    <xf numFmtId="0" fontId="68" fillId="0" borderId="0" xfId="0" applyFont="1"/>
    <xf numFmtId="0" fontId="65" fillId="0" borderId="42" xfId="1" applyFont="1" applyBorder="1" applyAlignment="1">
      <alignment horizontal="center" vertical="center"/>
    </xf>
    <xf numFmtId="44" fontId="66" fillId="0" borderId="0" xfId="267" applyFont="1"/>
    <xf numFmtId="0" fontId="65" fillId="0" borderId="42" xfId="0" quotePrefix="1" applyFont="1" applyBorder="1" applyAlignment="1">
      <alignment horizontal="center" vertical="center"/>
    </xf>
    <xf numFmtId="0" fontId="66" fillId="0" borderId="0" xfId="0" applyFont="1" applyAlignment="1">
      <alignment horizontal="center" vertical="center"/>
    </xf>
    <xf numFmtId="0" fontId="66" fillId="0" borderId="0" xfId="0" applyFont="1" applyAlignment="1">
      <alignment horizontal="center"/>
    </xf>
    <xf numFmtId="0" fontId="67" fillId="0" borderId="0" xfId="0" applyFont="1"/>
    <xf numFmtId="0" fontId="70" fillId="0" borderId="0" xfId="0" applyFont="1"/>
    <xf numFmtId="0" fontId="68" fillId="0" borderId="0" xfId="0" applyFont="1" applyAlignment="1">
      <alignment horizontal="center" vertical="center"/>
    </xf>
    <xf numFmtId="0" fontId="68" fillId="2" borderId="25" xfId="0" applyFont="1" applyFill="1" applyBorder="1" applyAlignment="1">
      <alignment horizontal="center" vertical="center" wrapText="1"/>
    </xf>
    <xf numFmtId="0" fontId="68" fillId="2" borderId="25" xfId="0" applyFont="1" applyFill="1" applyBorder="1" applyAlignment="1">
      <alignment horizontal="center" vertical="top" wrapText="1"/>
    </xf>
    <xf numFmtId="0" fontId="68" fillId="2" borderId="25" xfId="0" applyFont="1" applyFill="1" applyBorder="1" applyAlignment="1">
      <alignment horizontal="center" vertical="center"/>
    </xf>
    <xf numFmtId="44" fontId="68" fillId="2" borderId="25" xfId="267" applyFont="1" applyFill="1" applyBorder="1" applyAlignment="1">
      <alignment horizontal="center" vertical="center"/>
    </xf>
    <xf numFmtId="0" fontId="68" fillId="0" borderId="42" xfId="3" applyFont="1" applyBorder="1" applyAlignment="1">
      <alignment horizontal="center" vertical="center"/>
    </xf>
    <xf numFmtId="0" fontId="68" fillId="0" borderId="42" xfId="3" applyFont="1" applyBorder="1" applyAlignment="1">
      <alignment horizontal="left" vertical="center" wrapText="1"/>
    </xf>
    <xf numFmtId="0" fontId="68" fillId="0" borderId="42" xfId="3" applyFont="1" applyBorder="1" applyAlignment="1">
      <alignment horizontal="left" vertical="top" wrapText="1"/>
    </xf>
    <xf numFmtId="43" fontId="67" fillId="0" borderId="0" xfId="0" applyNumberFormat="1" applyFont="1"/>
    <xf numFmtId="0" fontId="68" fillId="0" borderId="42" xfId="3" applyFont="1" applyBorder="1" applyAlignment="1">
      <alignment vertical="center"/>
    </xf>
    <xf numFmtId="0" fontId="71" fillId="0" borderId="0" xfId="0" applyFont="1"/>
    <xf numFmtId="176" fontId="68" fillId="0" borderId="42" xfId="133" applyFont="1" applyBorder="1"/>
    <xf numFmtId="49" fontId="68" fillId="0" borderId="42" xfId="142" applyNumberFormat="1" applyFont="1" applyBorder="1" applyAlignment="1">
      <alignment horizontal="left" vertical="top" wrapText="1"/>
    </xf>
    <xf numFmtId="49" fontId="68" fillId="0" borderId="42" xfId="133" applyNumberFormat="1" applyFont="1" applyBorder="1" applyAlignment="1">
      <alignment vertical="center" wrapText="1"/>
    </xf>
    <xf numFmtId="49" fontId="68" fillId="0" borderId="42" xfId="133" applyNumberFormat="1" applyFont="1" applyBorder="1" applyAlignment="1">
      <alignment wrapText="1"/>
    </xf>
    <xf numFmtId="49" fontId="68" fillId="0" borderId="42" xfId="133" applyNumberFormat="1" applyFont="1" applyBorder="1" applyAlignment="1">
      <alignment vertical="center"/>
    </xf>
    <xf numFmtId="0" fontId="73" fillId="0" borderId="0" xfId="0" applyFont="1"/>
    <xf numFmtId="188" fontId="66" fillId="0" borderId="0" xfId="0" applyNumberFormat="1" applyFont="1" applyAlignment="1">
      <alignment horizontal="right" vertical="center"/>
    </xf>
    <xf numFmtId="0" fontId="66" fillId="0" borderId="0" xfId="0" applyFont="1" applyAlignment="1">
      <alignment horizontal="right"/>
    </xf>
    <xf numFmtId="174" fontId="68" fillId="0" borderId="42" xfId="3" applyNumberFormat="1" applyFont="1" applyBorder="1" applyAlignment="1">
      <alignment horizontal="center" vertical="center"/>
    </xf>
    <xf numFmtId="0" fontId="68" fillId="0" borderId="42" xfId="3" applyFont="1" applyBorder="1" applyAlignment="1">
      <alignment vertical="center" wrapText="1"/>
    </xf>
    <xf numFmtId="3" fontId="68" fillId="0" borderId="42" xfId="8" applyNumberFormat="1" applyFont="1" applyBorder="1" applyAlignment="1">
      <alignment horizontal="center" vertical="center"/>
    </xf>
    <xf numFmtId="0" fontId="68" fillId="0" borderId="42" xfId="3" applyFont="1" applyBorder="1" applyAlignment="1">
      <alignment horizontal="center" vertical="distributed"/>
    </xf>
    <xf numFmtId="3" fontId="68" fillId="0" borderId="42" xfId="8" applyNumberFormat="1" applyFont="1" applyBorder="1" applyAlignment="1">
      <alignment horizontal="center" vertical="distributed"/>
    </xf>
    <xf numFmtId="0" fontId="75" fillId="0" borderId="42" xfId="7" applyFont="1" applyBorder="1" applyAlignment="1">
      <alignment horizontal="right"/>
    </xf>
    <xf numFmtId="0" fontId="68" fillId="0" borderId="42" xfId="7" applyFont="1" applyBorder="1" applyAlignment="1">
      <alignment horizontal="left" vertical="center" wrapText="1"/>
    </xf>
    <xf numFmtId="0" fontId="68" fillId="0" borderId="42" xfId="7" applyFont="1" applyBorder="1" applyAlignment="1">
      <alignment horizontal="center" vertical="center"/>
    </xf>
    <xf numFmtId="0" fontId="68" fillId="0" borderId="42" xfId="7" applyFont="1" applyBorder="1" applyAlignment="1">
      <alignment horizontal="center" vertical="center" wrapText="1"/>
    </xf>
    <xf numFmtId="0" fontId="68" fillId="0" borderId="42" xfId="7" applyFont="1" applyBorder="1" applyAlignment="1">
      <alignment horizontal="left" vertical="center"/>
    </xf>
    <xf numFmtId="189" fontId="68" fillId="0" borderId="42" xfId="7" applyNumberFormat="1" applyFont="1" applyBorder="1" applyAlignment="1">
      <alignment horizontal="left" vertical="center"/>
    </xf>
    <xf numFmtId="0" fontId="67" fillId="16" borderId="0" xfId="0" applyFont="1" applyFill="1"/>
    <xf numFmtId="0" fontId="68" fillId="0" borderId="42" xfId="1" quotePrefix="1" applyFont="1" applyBorder="1" applyAlignment="1">
      <alignment horizontal="center" vertical="center"/>
    </xf>
    <xf numFmtId="0" fontId="68" fillId="0" borderId="42" xfId="0" applyFont="1" applyBorder="1" applyAlignment="1">
      <alignment vertical="center"/>
    </xf>
    <xf numFmtId="0" fontId="65" fillId="0" borderId="0" xfId="0" applyFont="1"/>
    <xf numFmtId="0" fontId="76" fillId="0" borderId="0" xfId="0" applyFont="1"/>
    <xf numFmtId="0" fontId="65" fillId="16" borderId="0" xfId="0" applyFont="1" applyFill="1"/>
    <xf numFmtId="2" fontId="68" fillId="0" borderId="42" xfId="3" applyNumberFormat="1" applyFont="1" applyBorder="1" applyAlignment="1">
      <alignment horizontal="center" vertical="center"/>
    </xf>
    <xf numFmtId="0" fontId="64" fillId="0" borderId="0" xfId="0" applyFont="1"/>
    <xf numFmtId="0" fontId="68" fillId="2" borderId="2" xfId="3" applyFont="1" applyFill="1" applyBorder="1" applyAlignment="1">
      <alignment horizontal="center" vertical="center" wrapText="1"/>
    </xf>
    <xf numFmtId="0" fontId="68" fillId="2" borderId="6" xfId="3" applyFont="1" applyFill="1" applyBorder="1" applyAlignment="1">
      <alignment horizontal="center" vertical="center" wrapText="1"/>
    </xf>
    <xf numFmtId="176" fontId="68" fillId="0" borderId="42" xfId="133" applyFont="1" applyBorder="1" applyAlignment="1">
      <alignment vertical="center" wrapText="1"/>
    </xf>
    <xf numFmtId="0" fontId="75" fillId="0" borderId="42" xfId="7" applyFont="1" applyBorder="1" applyAlignment="1">
      <alignment horizontal="right" vertical="center"/>
    </xf>
    <xf numFmtId="0" fontId="68" fillId="0" borderId="42" xfId="1" applyFont="1" applyBorder="1" applyAlignment="1">
      <alignment vertical="center" wrapText="1"/>
    </xf>
    <xf numFmtId="0" fontId="68" fillId="0" borderId="42" xfId="262" applyFont="1" applyBorder="1" applyAlignment="1">
      <alignment vertical="center"/>
    </xf>
    <xf numFmtId="173" fontId="68" fillId="0" borderId="42" xfId="6" applyFont="1" applyBorder="1" applyAlignment="1">
      <alignment vertical="center" wrapText="1"/>
    </xf>
    <xf numFmtId="0" fontId="68" fillId="0" borderId="42" xfId="260" applyFont="1" applyBorder="1" applyAlignment="1">
      <alignment vertical="center"/>
    </xf>
    <xf numFmtId="0" fontId="68" fillId="0" borderId="42" xfId="3" applyFont="1" applyBorder="1" applyAlignment="1">
      <alignment horizontal="left" vertical="center"/>
    </xf>
    <xf numFmtId="0" fontId="68" fillId="0" borderId="42" xfId="2" applyFont="1" applyBorder="1" applyAlignment="1">
      <alignment horizontal="left" vertical="center" wrapText="1"/>
    </xf>
    <xf numFmtId="0" fontId="68" fillId="0" borderId="42" xfId="2" applyFont="1" applyBorder="1" applyAlignment="1">
      <alignment horizontal="center" vertical="center"/>
    </xf>
    <xf numFmtId="0" fontId="65" fillId="0" borderId="0" xfId="0" applyFont="1" applyAlignment="1">
      <alignment vertical="center"/>
    </xf>
    <xf numFmtId="0" fontId="68" fillId="0" borderId="42" xfId="8" applyFont="1" applyBorder="1" applyAlignment="1">
      <alignment horizontal="center" vertical="distributed"/>
    </xf>
    <xf numFmtId="0" fontId="66" fillId="0" borderId="24" xfId="0" applyFont="1" applyBorder="1" applyAlignment="1">
      <alignment vertical="center"/>
    </xf>
    <xf numFmtId="0" fontId="65" fillId="0" borderId="0" xfId="0" applyFont="1" applyAlignment="1">
      <alignment horizontal="center"/>
    </xf>
    <xf numFmtId="173" fontId="68" fillId="0" borderId="0" xfId="10" applyFont="1" applyAlignment="1">
      <alignment vertical="top" wrapText="1"/>
    </xf>
    <xf numFmtId="0" fontId="68" fillId="0" borderId="23" xfId="3" applyFont="1" applyBorder="1" applyAlignment="1">
      <alignment horizontal="center" vertical="center"/>
    </xf>
    <xf numFmtId="0" fontId="64" fillId="0" borderId="0" xfId="0" applyFont="1" applyAlignment="1">
      <alignment vertical="center"/>
    </xf>
    <xf numFmtId="0" fontId="70" fillId="0" borderId="0" xfId="0" applyFont="1" applyAlignment="1">
      <alignment vertical="center"/>
    </xf>
    <xf numFmtId="0" fontId="68" fillId="0" borderId="0" xfId="3" applyFont="1" applyAlignment="1">
      <alignment horizontal="left" vertical="top" wrapText="1"/>
    </xf>
    <xf numFmtId="44" fontId="66" fillId="0" borderId="9" xfId="267" applyFont="1" applyBorder="1"/>
    <xf numFmtId="0" fontId="64" fillId="0" borderId="42" xfId="3" applyFont="1" applyBorder="1" applyAlignment="1">
      <alignment horizontal="center" vertical="center"/>
    </xf>
    <xf numFmtId="0" fontId="64" fillId="0" borderId="42" xfId="3" applyFont="1" applyBorder="1" applyAlignment="1">
      <alignment horizontal="center" vertical="top"/>
    </xf>
    <xf numFmtId="0" fontId="64" fillId="0" borderId="42" xfId="2" applyFont="1" applyBorder="1" applyAlignment="1">
      <alignment horizontal="left" vertical="top" wrapText="1"/>
    </xf>
    <xf numFmtId="0" fontId="64" fillId="0" borderId="42" xfId="3" applyFont="1" applyBorder="1" applyAlignment="1">
      <alignment vertical="top" wrapText="1"/>
    </xf>
    <xf numFmtId="0" fontId="64" fillId="0" borderId="42" xfId="2" applyFont="1" applyBorder="1" applyAlignment="1">
      <alignment horizontal="center" vertical="center" wrapText="1"/>
    </xf>
    <xf numFmtId="0" fontId="64" fillId="0" borderId="42" xfId="3" applyFont="1" applyBorder="1" applyAlignment="1">
      <alignment horizontal="left" vertical="center" wrapText="1"/>
    </xf>
    <xf numFmtId="0" fontId="64" fillId="0" borderId="42" xfId="8" applyFont="1" applyBorder="1" applyAlignment="1">
      <alignment horizontal="center" vertical="center"/>
    </xf>
    <xf numFmtId="0" fontId="65" fillId="0" borderId="42" xfId="2" applyFont="1" applyBorder="1" applyAlignment="1">
      <alignment horizontal="center" vertical="center"/>
    </xf>
    <xf numFmtId="0" fontId="65" fillId="0" borderId="42" xfId="2" applyFont="1" applyBorder="1" applyAlignment="1">
      <alignment horizontal="center" vertical="top"/>
    </xf>
    <xf numFmtId="0" fontId="65" fillId="0" borderId="42" xfId="2" applyFont="1" applyBorder="1" applyAlignment="1">
      <alignment horizontal="left" vertical="top" wrapText="1"/>
    </xf>
    <xf numFmtId="0" fontId="65" fillId="0" borderId="42" xfId="2" applyFont="1" applyBorder="1" applyAlignment="1">
      <alignment horizontal="center" vertical="distributed"/>
    </xf>
    <xf numFmtId="0" fontId="65" fillId="0" borderId="42" xfId="8" applyFont="1" applyBorder="1" applyAlignment="1">
      <alignment horizontal="center" vertical="distributed"/>
    </xf>
    <xf numFmtId="0" fontId="65" fillId="0" borderId="23" xfId="3" applyFont="1" applyBorder="1" applyAlignment="1">
      <alignment horizontal="center" vertical="center"/>
    </xf>
    <xf numFmtId="44" fontId="65" fillId="0" borderId="0" xfId="267" applyFont="1" applyBorder="1" applyAlignment="1">
      <alignment horizontal="center" vertical="center"/>
    </xf>
    <xf numFmtId="0" fontId="64" fillId="0" borderId="42" xfId="3" applyFont="1" applyBorder="1" applyAlignment="1">
      <alignment horizontal="center" vertical="center" wrapText="1"/>
    </xf>
    <xf numFmtId="0" fontId="65" fillId="0" borderId="42" xfId="3" applyFont="1" applyBorder="1" applyAlignment="1">
      <alignment horizontal="center" vertical="center"/>
    </xf>
    <xf numFmtId="0" fontId="65" fillId="0" borderId="3" xfId="7" applyFont="1" applyBorder="1" applyAlignment="1">
      <alignment horizontal="right"/>
    </xf>
    <xf numFmtId="0" fontId="64" fillId="0" borderId="42" xfId="2" applyFont="1" applyBorder="1" applyAlignment="1">
      <alignment horizontal="left" vertical="center" wrapText="1"/>
    </xf>
    <xf numFmtId="0" fontId="64" fillId="0" borderId="42" xfId="2" applyFont="1" applyBorder="1" applyAlignment="1">
      <alignment horizontal="center" vertical="distributed"/>
    </xf>
    <xf numFmtId="0" fontId="64" fillId="0" borderId="42" xfId="8" applyFont="1" applyBorder="1" applyAlignment="1">
      <alignment horizontal="center" vertical="distributed"/>
    </xf>
    <xf numFmtId="0" fontId="65" fillId="0" borderId="23" xfId="2" applyFont="1" applyBorder="1" applyAlignment="1">
      <alignment horizontal="center" vertical="center"/>
    </xf>
    <xf numFmtId="0" fontId="64" fillId="0" borderId="23" xfId="3" applyFont="1" applyBorder="1" applyAlignment="1">
      <alignment horizontal="center" vertical="center"/>
    </xf>
    <xf numFmtId="0" fontId="64" fillId="0" borderId="42" xfId="3" applyFont="1" applyBorder="1" applyAlignment="1">
      <alignment horizontal="center" vertical="top" wrapText="1"/>
    </xf>
    <xf numFmtId="0" fontId="64" fillId="0" borderId="42" xfId="3" applyFont="1" applyBorder="1" applyAlignment="1">
      <alignment horizontal="center" vertical="distributed"/>
    </xf>
    <xf numFmtId="1" fontId="65" fillId="0" borderId="42" xfId="8" applyNumberFormat="1" applyFont="1" applyBorder="1" applyAlignment="1">
      <alignment horizontal="center" vertical="distributed"/>
    </xf>
    <xf numFmtId="0" fontId="65" fillId="0" borderId="42" xfId="3" applyFont="1" applyBorder="1" applyAlignment="1">
      <alignment horizontal="center" vertical="distributed"/>
    </xf>
    <xf numFmtId="0" fontId="65" fillId="3" borderId="2" xfId="3" applyFont="1" applyFill="1" applyBorder="1" applyAlignment="1">
      <alignment horizontal="center" vertical="center"/>
    </xf>
    <xf numFmtId="0" fontId="65" fillId="3" borderId="5" xfId="3" applyFont="1" applyFill="1" applyBorder="1" applyAlignment="1">
      <alignment horizontal="center" vertical="top"/>
    </xf>
    <xf numFmtId="0" fontId="65" fillId="3" borderId="5" xfId="3" applyFont="1" applyFill="1" applyBorder="1" applyAlignment="1">
      <alignment horizontal="center" vertical="distributed"/>
    </xf>
    <xf numFmtId="44" fontId="65" fillId="3" borderId="5" xfId="267" applyFont="1" applyFill="1" applyBorder="1" applyAlignment="1">
      <alignment horizontal="center" vertical="distributed"/>
    </xf>
    <xf numFmtId="0" fontId="64" fillId="17" borderId="6" xfId="0" applyFont="1" applyFill="1" applyBorder="1" applyAlignment="1">
      <alignment horizontal="center" vertical="center"/>
    </xf>
    <xf numFmtId="0" fontId="64" fillId="3" borderId="1" xfId="3" applyFont="1" applyFill="1" applyBorder="1" applyAlignment="1">
      <alignment vertical="top"/>
    </xf>
    <xf numFmtId="0" fontId="64" fillId="3" borderId="1" xfId="3" applyFont="1" applyFill="1" applyBorder="1" applyAlignment="1">
      <alignment horizontal="center" vertical="distributed"/>
    </xf>
    <xf numFmtId="44" fontId="64" fillId="3" borderId="1" xfId="267" applyFont="1" applyFill="1" applyBorder="1" applyAlignment="1">
      <alignment horizontal="center" vertical="distributed"/>
    </xf>
    <xf numFmtId="0" fontId="65" fillId="0" borderId="24" xfId="0" applyFont="1" applyBorder="1" applyAlignment="1">
      <alignment horizontal="center" vertical="center"/>
    </xf>
    <xf numFmtId="44" fontId="65" fillId="0" borderId="9" xfId="267" applyFont="1" applyBorder="1"/>
    <xf numFmtId="0" fontId="65" fillId="0" borderId="12" xfId="7" applyFont="1" applyBorder="1" applyAlignment="1">
      <alignment horizontal="right"/>
    </xf>
    <xf numFmtId="0" fontId="77" fillId="0" borderId="0" xfId="0" applyFont="1"/>
    <xf numFmtId="0" fontId="68" fillId="0" borderId="3" xfId="7" applyFont="1" applyBorder="1" applyAlignment="1">
      <alignment horizontal="center" vertical="center"/>
    </xf>
    <xf numFmtId="0" fontId="68" fillId="0" borderId="2" xfId="7" applyFont="1" applyBorder="1" applyAlignment="1">
      <alignment vertical="top" wrapText="1"/>
    </xf>
    <xf numFmtId="0" fontId="68" fillId="0" borderId="2" xfId="7" applyFont="1" applyBorder="1" applyAlignment="1">
      <alignment horizontal="center" vertical="center"/>
    </xf>
    <xf numFmtId="175" fontId="68" fillId="0" borderId="2" xfId="7" applyNumberFormat="1" applyFont="1" applyBorder="1" applyAlignment="1">
      <alignment horizontal="center" vertical="center"/>
    </xf>
    <xf numFmtId="0" fontId="68" fillId="0" borderId="42" xfId="11" applyFont="1" applyBorder="1" applyAlignment="1">
      <alignment horizontal="center" vertical="center"/>
    </xf>
    <xf numFmtId="0" fontId="68" fillId="0" borderId="42" xfId="7" applyFont="1" applyBorder="1" applyAlignment="1">
      <alignment vertical="center" wrapText="1"/>
    </xf>
    <xf numFmtId="189" fontId="68" fillId="0" borderId="42" xfId="11" applyNumberFormat="1" applyFont="1" applyBorder="1" applyAlignment="1">
      <alignment horizontal="center" vertical="center"/>
    </xf>
    <xf numFmtId="174" fontId="68" fillId="0" borderId="42" xfId="7" applyNumberFormat="1" applyFont="1" applyBorder="1" applyAlignment="1">
      <alignment horizontal="center" vertical="center"/>
    </xf>
    <xf numFmtId="189" fontId="68" fillId="0" borderId="42" xfId="7" applyNumberFormat="1" applyFont="1" applyBorder="1" applyAlignment="1">
      <alignment horizontal="center" vertical="center"/>
    </xf>
    <xf numFmtId="173" fontId="68" fillId="0" borderId="42" xfId="6" applyFont="1" applyBorder="1" applyAlignment="1">
      <alignment vertical="top" wrapText="1"/>
    </xf>
    <xf numFmtId="0" fontId="68" fillId="0" borderId="0" xfId="7" applyFont="1" applyAlignment="1">
      <alignment vertical="center"/>
    </xf>
    <xf numFmtId="0" fontId="64" fillId="0" borderId="0" xfId="0" applyFont="1" applyAlignment="1">
      <alignment horizontal="center" vertical="center"/>
    </xf>
    <xf numFmtId="0" fontId="65" fillId="0" borderId="42" xfId="7" applyFont="1" applyBorder="1" applyAlignment="1">
      <alignment horizontal="center" vertical="center"/>
    </xf>
    <xf numFmtId="49" fontId="65" fillId="0" borderId="42" xfId="7" applyNumberFormat="1" applyFont="1" applyBorder="1" applyAlignment="1">
      <alignment horizontal="center" vertical="center"/>
    </xf>
    <xf numFmtId="175" fontId="65" fillId="0" borderId="42" xfId="7" applyNumberFormat="1" applyFont="1" applyBorder="1" applyAlignment="1">
      <alignment horizontal="center" vertical="center"/>
    </xf>
    <xf numFmtId="0" fontId="65" fillId="0" borderId="3" xfId="7" applyFont="1" applyBorder="1" applyAlignment="1">
      <alignment horizontal="center" vertical="center"/>
    </xf>
    <xf numFmtId="175" fontId="65" fillId="0" borderId="3" xfId="7" applyNumberFormat="1" applyFont="1" applyBorder="1" applyAlignment="1">
      <alignment horizontal="center" vertical="center"/>
    </xf>
    <xf numFmtId="0" fontId="65" fillId="0" borderId="42" xfId="11" applyFont="1" applyBorder="1" applyAlignment="1">
      <alignment horizontal="center" vertical="center"/>
    </xf>
    <xf numFmtId="175" fontId="65" fillId="0" borderId="42" xfId="11" applyNumberFormat="1" applyFont="1" applyBorder="1" applyAlignment="1">
      <alignment horizontal="center" vertical="center"/>
    </xf>
    <xf numFmtId="0" fontId="64" fillId="0" borderId="42" xfId="11" applyFont="1" applyBorder="1" applyAlignment="1">
      <alignment horizontal="center" vertical="center"/>
    </xf>
    <xf numFmtId="0" fontId="68" fillId="0" borderId="0" xfId="0" applyFont="1" applyAlignment="1">
      <alignment vertical="center" wrapText="1"/>
    </xf>
    <xf numFmtId="0" fontId="65" fillId="0" borderId="42" xfId="7" applyFont="1" applyBorder="1" applyAlignment="1">
      <alignment vertical="center"/>
    </xf>
    <xf numFmtId="0" fontId="65" fillId="0" borderId="42" xfId="7" applyFont="1" applyBorder="1" applyAlignment="1">
      <alignment vertical="center" wrapText="1"/>
    </xf>
    <xf numFmtId="0" fontId="65" fillId="0" borderId="3" xfId="7" applyFont="1" applyBorder="1" applyAlignment="1">
      <alignment horizontal="right" vertical="center"/>
    </xf>
    <xf numFmtId="0" fontId="65" fillId="0" borderId="0" xfId="39" applyFont="1" applyAlignment="1">
      <alignment vertical="center" wrapText="1"/>
    </xf>
    <xf numFmtId="173" fontId="65" fillId="0" borderId="0" xfId="36" applyNumberFormat="1" applyFont="1" applyAlignment="1">
      <alignment horizontal="center" vertical="center"/>
    </xf>
    <xf numFmtId="173" fontId="65" fillId="0" borderId="42" xfId="10" applyFont="1" applyBorder="1" applyAlignment="1">
      <alignment horizontal="center" vertical="center"/>
    </xf>
    <xf numFmtId="173" fontId="65" fillId="0" borderId="0" xfId="36" applyNumberFormat="1" applyFont="1" applyAlignment="1">
      <alignment vertical="center" wrapText="1"/>
    </xf>
    <xf numFmtId="0" fontId="65" fillId="0" borderId="42" xfId="39" applyFont="1" applyBorder="1" applyAlignment="1">
      <alignment horizontal="center" vertical="center"/>
    </xf>
    <xf numFmtId="0" fontId="65" fillId="0" borderId="0" xfId="39" applyFont="1" applyAlignment="1">
      <alignment horizontal="center" vertical="center"/>
    </xf>
    <xf numFmtId="0" fontId="65" fillId="0" borderId="42" xfId="39" applyFont="1" applyBorder="1" applyAlignment="1">
      <alignment vertical="center" wrapText="1"/>
    </xf>
    <xf numFmtId="0" fontId="65" fillId="0" borderId="42" xfId="0" applyFont="1" applyBorder="1" applyAlignment="1">
      <alignment horizontal="left" vertical="center" wrapText="1"/>
    </xf>
    <xf numFmtId="173" fontId="65" fillId="0" borderId="0" xfId="10" applyFont="1" applyAlignment="1">
      <alignment horizontal="center" vertical="center"/>
    </xf>
    <xf numFmtId="173" fontId="65" fillId="0" borderId="42" xfId="10" applyFont="1" applyBorder="1" applyAlignment="1">
      <alignment vertical="center" wrapText="1"/>
    </xf>
    <xf numFmtId="175" fontId="66" fillId="0" borderId="0" xfId="0" applyNumberFormat="1" applyFont="1" applyAlignment="1">
      <alignment horizontal="center" vertical="center"/>
    </xf>
    <xf numFmtId="188" fontId="67" fillId="0" borderId="0" xfId="0" applyNumberFormat="1" applyFont="1" applyAlignment="1">
      <alignment vertical="center"/>
    </xf>
    <xf numFmtId="188" fontId="67" fillId="0" borderId="0" xfId="0" applyNumberFormat="1" applyFont="1" applyAlignment="1">
      <alignment horizontal="right" vertical="center"/>
    </xf>
    <xf numFmtId="190" fontId="67" fillId="0" borderId="0" xfId="0" applyNumberFormat="1" applyFont="1" applyAlignment="1">
      <alignment vertical="center"/>
    </xf>
    <xf numFmtId="0" fontId="67" fillId="0" borderId="0" xfId="0" applyFont="1" applyAlignment="1">
      <alignment horizontal="right" vertical="center"/>
    </xf>
    <xf numFmtId="0" fontId="77" fillId="0" borderId="0" xfId="0" applyFont="1" applyAlignment="1">
      <alignment vertical="center"/>
    </xf>
    <xf numFmtId="0" fontId="65" fillId="0" borderId="0" xfId="11" applyFont="1" applyAlignment="1">
      <alignment horizontal="center" vertical="center"/>
    </xf>
    <xf numFmtId="44" fontId="65" fillId="0" borderId="0" xfId="267" applyFont="1" applyBorder="1" applyAlignment="1">
      <alignment vertical="center"/>
    </xf>
    <xf numFmtId="195" fontId="0" fillId="0" borderId="0" xfId="0" applyNumberFormat="1"/>
    <xf numFmtId="0" fontId="4" fillId="0" borderId="6" xfId="3" applyBorder="1" applyAlignment="1">
      <alignment horizontal="center" vertical="top"/>
    </xf>
    <xf numFmtId="0" fontId="4" fillId="0" borderId="1" xfId="3" applyBorder="1" applyAlignment="1">
      <alignment horizontal="center" vertical="top"/>
    </xf>
    <xf numFmtId="188" fontId="4" fillId="0" borderId="7" xfId="0" applyNumberFormat="1" applyFont="1" applyBorder="1"/>
    <xf numFmtId="188" fontId="3" fillId="0" borderId="0" xfId="7" applyNumberFormat="1" applyFont="1" applyAlignment="1">
      <alignment horizontal="center" vertical="center"/>
    </xf>
    <xf numFmtId="44" fontId="42" fillId="0" borderId="14" xfId="267" applyFont="1" applyBorder="1" applyAlignment="1">
      <alignment horizontal="center" vertical="center" wrapText="1"/>
    </xf>
    <xf numFmtId="44" fontId="42" fillId="0" borderId="3" xfId="267" applyFont="1" applyBorder="1" applyAlignment="1">
      <alignment horizontal="center" vertical="center" wrapText="1"/>
    </xf>
    <xf numFmtId="0" fontId="42" fillId="0" borderId="5" xfId="0" applyFont="1" applyBorder="1" applyAlignment="1">
      <alignment horizontal="center" vertical="center"/>
    </xf>
    <xf numFmtId="0" fontId="42" fillId="0" borderId="5" xfId="0" applyFont="1" applyBorder="1" applyAlignment="1">
      <alignment horizontal="left" vertical="center"/>
    </xf>
    <xf numFmtId="44" fontId="42" fillId="0" borderId="14" xfId="267" applyFont="1" applyBorder="1" applyAlignment="1">
      <alignment horizontal="center" vertical="center"/>
    </xf>
    <xf numFmtId="44" fontId="42" fillId="0" borderId="3" xfId="267" applyFont="1" applyBorder="1" applyAlignment="1">
      <alignment horizontal="center" vertical="center"/>
    </xf>
    <xf numFmtId="0" fontId="68" fillId="0" borderId="23" xfId="2" applyFont="1" applyBorder="1" applyAlignment="1">
      <alignment horizontal="center" vertical="center"/>
    </xf>
    <xf numFmtId="0" fontId="73" fillId="0" borderId="0" xfId="0" applyFont="1" applyAlignment="1">
      <alignment vertical="center"/>
    </xf>
    <xf numFmtId="0" fontId="78" fillId="0" borderId="0" xfId="0" applyFont="1"/>
    <xf numFmtId="0" fontId="65" fillId="0" borderId="0" xfId="3" applyFont="1" applyAlignment="1">
      <alignment horizontal="left" vertical="top" wrapText="1"/>
    </xf>
    <xf numFmtId="0" fontId="65" fillId="0" borderId="42" xfId="3" applyFont="1" applyBorder="1" applyAlignment="1">
      <alignment horizontal="left" vertical="top" wrapText="1"/>
    </xf>
    <xf numFmtId="191" fontId="65" fillId="0" borderId="42" xfId="9" applyNumberFormat="1" applyFont="1" applyFill="1" applyBorder="1" applyAlignment="1" applyProtection="1">
      <alignment horizontal="center" vertical="distributed"/>
    </xf>
    <xf numFmtId="0" fontId="65" fillId="0" borderId="42" xfId="0" applyFont="1" applyBorder="1"/>
    <xf numFmtId="0" fontId="80" fillId="0" borderId="42" xfId="3" applyFont="1" applyBorder="1" applyAlignment="1">
      <alignment horizontal="left" vertical="top" wrapText="1"/>
    </xf>
    <xf numFmtId="175" fontId="42" fillId="0" borderId="42" xfId="133" applyNumberFormat="1" applyFont="1" applyBorder="1" applyAlignment="1">
      <alignment horizontal="center" vertical="center"/>
    </xf>
    <xf numFmtId="49" fontId="68" fillId="0" borderId="42" xfId="7" applyNumberFormat="1" applyFont="1" applyBorder="1" applyAlignment="1">
      <alignment horizontal="center" vertical="center"/>
    </xf>
    <xf numFmtId="0" fontId="82" fillId="0" borderId="0" xfId="0" applyFont="1"/>
    <xf numFmtId="0" fontId="64" fillId="0" borderId="42" xfId="7" applyFont="1" applyBorder="1" applyAlignment="1">
      <alignment horizontal="center" vertical="center"/>
    </xf>
    <xf numFmtId="0" fontId="64" fillId="0" borderId="3" xfId="7" applyFont="1" applyBorder="1" applyAlignment="1">
      <alignment vertical="top" wrapText="1"/>
    </xf>
    <xf numFmtId="0" fontId="64" fillId="0" borderId="3" xfId="7" applyFont="1" applyBorder="1" applyAlignment="1">
      <alignment horizontal="center" vertical="center"/>
    </xf>
    <xf numFmtId="175" fontId="64" fillId="0" borderId="3" xfId="7" applyNumberFormat="1" applyFont="1" applyBorder="1" applyAlignment="1">
      <alignment horizontal="center" vertical="center"/>
    </xf>
    <xf numFmtId="0" fontId="84" fillId="0" borderId="0" xfId="0" applyFont="1"/>
    <xf numFmtId="0" fontId="85" fillId="0" borderId="0" xfId="0" applyFont="1"/>
    <xf numFmtId="1" fontId="65" fillId="0" borderId="42" xfId="11" applyNumberFormat="1" applyFont="1" applyBorder="1" applyAlignment="1">
      <alignment horizontal="center" vertical="center"/>
    </xf>
    <xf numFmtId="0" fontId="65" fillId="0" borderId="3" xfId="7" applyFont="1" applyBorder="1" applyAlignment="1">
      <alignment horizontal="center"/>
    </xf>
    <xf numFmtId="189" fontId="65" fillId="0" borderId="3" xfId="7" applyNumberFormat="1" applyFont="1" applyBorder="1" applyAlignment="1">
      <alignment horizontal="center" vertical="center"/>
    </xf>
    <xf numFmtId="0" fontId="65" fillId="0" borderId="42" xfId="7" applyFont="1" applyBorder="1" applyAlignment="1">
      <alignment horizontal="center"/>
    </xf>
    <xf numFmtId="0" fontId="65" fillId="0" borderId="42" xfId="7" applyFont="1" applyBorder="1" applyAlignment="1">
      <alignment horizontal="right"/>
    </xf>
    <xf numFmtId="189" fontId="65" fillId="0" borderId="42" xfId="7" applyNumberFormat="1" applyFont="1" applyBorder="1" applyAlignment="1">
      <alignment horizontal="center" vertical="center"/>
    </xf>
    <xf numFmtId="0" fontId="64" fillId="0" borderId="42" xfId="7" applyFont="1" applyBorder="1" applyAlignment="1">
      <alignment horizontal="left" vertical="center" wrapText="1"/>
    </xf>
    <xf numFmtId="0" fontId="65" fillId="0" borderId="42" xfId="7" applyFont="1" applyBorder="1" applyAlignment="1">
      <alignment horizontal="left" vertical="center" wrapText="1"/>
    </xf>
    <xf numFmtId="173" fontId="71" fillId="0" borderId="0" xfId="10" applyFont="1" applyAlignment="1">
      <alignment vertical="top" wrapText="1"/>
    </xf>
    <xf numFmtId="0" fontId="71" fillId="0" borderId="0" xfId="7" applyFont="1" applyAlignment="1">
      <alignment horizontal="center" vertical="center"/>
    </xf>
    <xf numFmtId="188" fontId="71" fillId="0" borderId="0" xfId="7" applyNumberFormat="1" applyFont="1" applyAlignment="1">
      <alignment horizontal="right"/>
    </xf>
    <xf numFmtId="0" fontId="71" fillId="0" borderId="0" xfId="7" applyFont="1" applyAlignment="1">
      <alignment horizontal="left" vertical="top" wrapText="1"/>
    </xf>
    <xf numFmtId="49" fontId="65" fillId="0" borderId="0" xfId="7" applyNumberFormat="1" applyFont="1" applyAlignment="1">
      <alignment horizontal="center" vertical="center"/>
    </xf>
    <xf numFmtId="0" fontId="65" fillId="0" borderId="0" xfId="7" applyFont="1" applyAlignment="1">
      <alignment horizontal="left" wrapText="1"/>
    </xf>
    <xf numFmtId="0" fontId="65" fillId="0" borderId="0" xfId="7" applyFont="1" applyAlignment="1">
      <alignment horizontal="center" vertical="center"/>
    </xf>
    <xf numFmtId="188" fontId="65" fillId="0" borderId="0" xfId="7" applyNumberFormat="1" applyFont="1" applyAlignment="1">
      <alignment horizontal="right"/>
    </xf>
    <xf numFmtId="0" fontId="65" fillId="0" borderId="0" xfId="11" applyFont="1" applyAlignment="1">
      <alignment horizontal="center" vertical="top"/>
    </xf>
    <xf numFmtId="0" fontId="65" fillId="0" borderId="0" xfId="11" applyFont="1" applyAlignment="1">
      <alignment vertical="top" wrapText="1"/>
    </xf>
    <xf numFmtId="175" fontId="65" fillId="0" borderId="0" xfId="11" applyNumberFormat="1" applyFont="1" applyAlignment="1">
      <alignment horizontal="center" vertical="center"/>
    </xf>
    <xf numFmtId="188" fontId="65" fillId="0" borderId="0" xfId="11" applyNumberFormat="1" applyFont="1" applyAlignment="1">
      <alignment horizontal="right" vertical="top"/>
    </xf>
    <xf numFmtId="0" fontId="65" fillId="0" borderId="0" xfId="11" applyFont="1" applyAlignment="1">
      <alignment horizontal="center" vertical="top" wrapText="1"/>
    </xf>
    <xf numFmtId="188" fontId="84" fillId="0" borderId="0" xfId="0" applyNumberFormat="1" applyFont="1" applyAlignment="1">
      <alignment horizontal="right"/>
    </xf>
    <xf numFmtId="49" fontId="65" fillId="0" borderId="42" xfId="47" applyNumberFormat="1" applyFont="1" applyBorder="1" applyAlignment="1">
      <alignment horizontal="center" vertical="center"/>
    </xf>
    <xf numFmtId="173" fontId="65" fillId="0" borderId="42" xfId="47" applyFont="1" applyBorder="1" applyAlignment="1">
      <alignment vertical="center" wrapText="1"/>
    </xf>
    <xf numFmtId="2" fontId="64" fillId="0" borderId="42" xfId="48" applyNumberFormat="1" applyFont="1" applyBorder="1" applyAlignment="1">
      <alignment vertical="center" wrapText="1"/>
    </xf>
    <xf numFmtId="0" fontId="64" fillId="0" borderId="42" xfId="39" applyFont="1" applyBorder="1" applyAlignment="1">
      <alignment vertical="center" wrapText="1"/>
    </xf>
    <xf numFmtId="173" fontId="65" fillId="0" borderId="42" xfId="10" applyFont="1" applyBorder="1" applyAlignment="1">
      <alignment horizontal="center" vertical="top"/>
    </xf>
    <xf numFmtId="173" fontId="65" fillId="0" borderId="42" xfId="10" applyFont="1" applyBorder="1" applyAlignment="1">
      <alignment vertical="top" wrapText="1"/>
    </xf>
    <xf numFmtId="0" fontId="64" fillId="0" borderId="42" xfId="0" applyFont="1" applyBorder="1" applyAlignment="1">
      <alignment vertical="top" wrapText="1"/>
    </xf>
    <xf numFmtId="2" fontId="65" fillId="0" borderId="42" xfId="0" applyNumberFormat="1" applyFont="1" applyBorder="1" applyAlignment="1">
      <alignment horizontal="center" vertical="center"/>
    </xf>
    <xf numFmtId="0" fontId="64" fillId="0" borderId="42" xfId="0" applyFont="1" applyBorder="1" applyAlignment="1">
      <alignment wrapText="1"/>
    </xf>
    <xf numFmtId="1" fontId="65" fillId="0" borderId="42" xfId="0" quotePrefix="1" applyNumberFormat="1" applyFont="1" applyBorder="1" applyAlignment="1">
      <alignment horizontal="center" vertical="center"/>
    </xf>
    <xf numFmtId="0" fontId="65" fillId="0" borderId="42" xfId="0" applyFont="1" applyBorder="1" applyAlignment="1">
      <alignment wrapText="1"/>
    </xf>
    <xf numFmtId="0" fontId="65" fillId="0" borderId="42" xfId="0" applyFont="1" applyBorder="1" applyAlignment="1">
      <alignment horizontal="left" wrapText="1" indent="1"/>
    </xf>
    <xf numFmtId="0" fontId="69" fillId="0" borderId="42" xfId="7" applyFont="1" applyBorder="1" applyAlignment="1">
      <alignment horizontal="right"/>
    </xf>
    <xf numFmtId="2" fontId="65" fillId="0" borderId="0" xfId="0" applyNumberFormat="1" applyFont="1" applyAlignment="1">
      <alignment horizontal="center" vertical="center"/>
    </xf>
    <xf numFmtId="0" fontId="65" fillId="0" borderId="42" xfId="11" applyFont="1" applyBorder="1" applyAlignment="1">
      <alignment horizontal="center" vertical="top"/>
    </xf>
    <xf numFmtId="2" fontId="65" fillId="0" borderId="42" xfId="0" applyNumberFormat="1" applyFont="1" applyBorder="1" applyAlignment="1">
      <alignment horizontal="center" vertical="center" wrapText="1"/>
    </xf>
    <xf numFmtId="1" fontId="65" fillId="0" borderId="42" xfId="0" quotePrefix="1" applyNumberFormat="1" applyFont="1" applyBorder="1" applyAlignment="1">
      <alignment horizontal="center" vertical="center" wrapText="1"/>
    </xf>
    <xf numFmtId="2" fontId="64" fillId="0" borderId="42" xfId="0" applyNumberFormat="1" applyFont="1" applyBorder="1" applyAlignment="1">
      <alignment horizontal="left" vertical="top" wrapText="1"/>
    </xf>
    <xf numFmtId="0" fontId="65" fillId="0" borderId="42" xfId="0" applyFont="1" applyBorder="1" applyAlignment="1">
      <alignment horizontal="center" wrapText="1"/>
    </xf>
    <xf numFmtId="192" fontId="65" fillId="0" borderId="42" xfId="0" applyNumberFormat="1" applyFont="1" applyBorder="1" applyAlignment="1">
      <alignment horizontal="center" wrapText="1"/>
    </xf>
    <xf numFmtId="0" fontId="64" fillId="0" borderId="42" xfId="0" applyFont="1" applyBorder="1" applyAlignment="1">
      <alignment horizontal="left" vertical="top" wrapText="1"/>
    </xf>
    <xf numFmtId="0" fontId="65" fillId="0" borderId="42" xfId="0" applyFont="1" applyBorder="1" applyAlignment="1">
      <alignment vertical="center"/>
    </xf>
    <xf numFmtId="0" fontId="64" fillId="0" borderId="42" xfId="0" applyFont="1" applyBorder="1" applyAlignment="1">
      <alignment vertical="center"/>
    </xf>
    <xf numFmtId="2" fontId="65" fillId="0" borderId="42" xfId="0" applyNumberFormat="1" applyFont="1" applyBorder="1" applyAlignment="1">
      <alignment horizontal="left" vertical="center" wrapText="1"/>
    </xf>
    <xf numFmtId="2" fontId="65" fillId="0" borderId="42" xfId="0" applyNumberFormat="1" applyFont="1" applyBorder="1" applyAlignment="1">
      <alignment horizontal="left" vertical="center"/>
    </xf>
    <xf numFmtId="1" fontId="65" fillId="0" borderId="42" xfId="0" applyNumberFormat="1" applyFont="1" applyBorder="1" applyAlignment="1">
      <alignment horizontal="center" vertical="center"/>
    </xf>
    <xf numFmtId="2" fontId="65" fillId="0" borderId="42" xfId="0" applyNumberFormat="1" applyFont="1" applyBorder="1" applyAlignment="1">
      <alignment horizontal="center" vertical="top"/>
    </xf>
    <xf numFmtId="1" fontId="65" fillId="0" borderId="42" xfId="0" quotePrefix="1" applyNumberFormat="1" applyFont="1" applyBorder="1" applyAlignment="1">
      <alignment horizontal="center" vertical="top"/>
    </xf>
    <xf numFmtId="2" fontId="65" fillId="0" borderId="42" xfId="0" applyNumberFormat="1" applyFont="1" applyBorder="1" applyAlignment="1">
      <alignment horizontal="left" vertical="top"/>
    </xf>
    <xf numFmtId="1" fontId="65" fillId="0" borderId="42" xfId="0" applyNumberFormat="1" applyFont="1" applyBorder="1" applyAlignment="1">
      <alignment horizontal="center" vertical="top"/>
    </xf>
    <xf numFmtId="0" fontId="65" fillId="0" borderId="42" xfId="0" applyFont="1" applyBorder="1" applyAlignment="1">
      <alignment vertical="center" wrapText="1"/>
    </xf>
    <xf numFmtId="0" fontId="64" fillId="0" borderId="42" xfId="7" applyFont="1" applyBorder="1" applyAlignment="1">
      <alignment horizontal="center" wrapText="1"/>
    </xf>
    <xf numFmtId="2" fontId="64" fillId="0" borderId="42" xfId="7" applyNumberFormat="1" applyFont="1" applyBorder="1" applyAlignment="1">
      <alignment horizontal="left" vertical="top" wrapText="1"/>
    </xf>
    <xf numFmtId="0" fontId="65" fillId="0" borderId="42" xfId="7" applyFont="1" applyBorder="1" applyAlignment="1">
      <alignment horizontal="center" wrapText="1"/>
    </xf>
    <xf numFmtId="192" fontId="65" fillId="0" borderId="42" xfId="7" applyNumberFormat="1" applyFont="1" applyBorder="1" applyAlignment="1">
      <alignment horizontal="center" wrapText="1"/>
    </xf>
    <xf numFmtId="0" fontId="64" fillId="0" borderId="42" xfId="7" applyFont="1" applyBorder="1" applyAlignment="1">
      <alignment vertical="center" wrapText="1"/>
    </xf>
    <xf numFmtId="0" fontId="64" fillId="0" borderId="42" xfId="7" applyFont="1" applyBorder="1" applyAlignment="1">
      <alignment horizontal="left" vertical="top" wrapText="1"/>
    </xf>
    <xf numFmtId="0" fontId="64" fillId="0" borderId="42" xfId="7" applyFont="1" applyBorder="1" applyAlignment="1">
      <alignment wrapText="1"/>
    </xf>
    <xf numFmtId="2" fontId="65" fillId="0" borderId="42" xfId="7" applyNumberFormat="1" applyFont="1" applyBorder="1" applyAlignment="1">
      <alignment horizontal="center" vertical="center"/>
    </xf>
    <xf numFmtId="1" fontId="65" fillId="0" borderId="42" xfId="7" quotePrefix="1" applyNumberFormat="1" applyFont="1" applyBorder="1" applyAlignment="1">
      <alignment horizontal="center" vertical="center"/>
    </xf>
    <xf numFmtId="0" fontId="65" fillId="0" borderId="0" xfId="7" applyFont="1" applyAlignment="1">
      <alignment vertical="center"/>
    </xf>
    <xf numFmtId="0" fontId="65" fillId="0" borderId="0" xfId="0" applyFont="1" applyAlignment="1">
      <alignment wrapText="1"/>
    </xf>
    <xf numFmtId="0" fontId="65" fillId="0" borderId="42" xfId="7" applyFont="1" applyBorder="1" applyAlignment="1">
      <alignment wrapText="1"/>
    </xf>
    <xf numFmtId="0" fontId="65" fillId="0" borderId="0" xfId="0" applyFont="1" applyAlignment="1">
      <alignment horizontal="justify" vertical="center"/>
    </xf>
    <xf numFmtId="44" fontId="67" fillId="0" borderId="0" xfId="267" applyFont="1" applyAlignment="1">
      <alignment vertical="center"/>
    </xf>
    <xf numFmtId="44" fontId="67" fillId="0" borderId="0" xfId="267" applyFont="1" applyAlignment="1">
      <alignment horizontal="right" vertical="center"/>
    </xf>
    <xf numFmtId="0" fontId="64" fillId="0" borderId="42" xfId="7" applyFont="1" applyBorder="1" applyAlignment="1">
      <alignment horizontal="center" vertical="center" wrapText="1"/>
    </xf>
    <xf numFmtId="175" fontId="64" fillId="0" borderId="42" xfId="11" applyNumberFormat="1" applyFont="1" applyBorder="1" applyAlignment="1">
      <alignment horizontal="center" vertical="center"/>
    </xf>
    <xf numFmtId="2" fontId="68" fillId="0" borderId="42" xfId="48" applyNumberFormat="1" applyFont="1" applyBorder="1" applyAlignment="1">
      <alignment horizontal="center" vertical="center"/>
    </xf>
    <xf numFmtId="2" fontId="68" fillId="0" borderId="23" xfId="3" applyNumberFormat="1" applyFont="1" applyBorder="1" applyAlignment="1">
      <alignment horizontal="center" vertical="center"/>
    </xf>
    <xf numFmtId="0" fontId="86" fillId="0" borderId="0" xfId="0" applyFont="1"/>
    <xf numFmtId="0" fontId="65" fillId="0" borderId="42" xfId="3" applyFont="1" applyBorder="1" applyAlignment="1">
      <alignment horizontal="center" vertical="top" wrapText="1"/>
    </xf>
    <xf numFmtId="0" fontId="64" fillId="0" borderId="23" xfId="3" applyFont="1" applyBorder="1" applyAlignment="1">
      <alignment horizontal="center" vertical="center" wrapText="1"/>
    </xf>
    <xf numFmtId="0" fontId="64" fillId="0" borderId="42" xfId="3" applyFont="1" applyBorder="1" applyAlignment="1">
      <alignment vertical="center" wrapText="1"/>
    </xf>
    <xf numFmtId="3" fontId="65" fillId="0" borderId="42" xfId="8" applyNumberFormat="1" applyFont="1" applyBorder="1" applyAlignment="1">
      <alignment horizontal="center" vertical="center"/>
    </xf>
    <xf numFmtId="176" fontId="65" fillId="0" borderId="42" xfId="133" applyFont="1" applyBorder="1" applyAlignment="1">
      <alignment vertical="center"/>
    </xf>
    <xf numFmtId="0" fontId="86" fillId="0" borderId="0" xfId="0" applyFont="1" applyAlignment="1">
      <alignment vertical="center"/>
    </xf>
    <xf numFmtId="0" fontId="85" fillId="0" borderId="0" xfId="0" applyFont="1" applyAlignment="1">
      <alignment vertical="center"/>
    </xf>
    <xf numFmtId="176" fontId="65" fillId="0" borderId="42" xfId="133" applyFont="1" applyBorder="1" applyAlignment="1">
      <alignment horizontal="center" vertical="center"/>
    </xf>
    <xf numFmtId="1" fontId="65" fillId="0" borderId="42" xfId="133" applyNumberFormat="1" applyFont="1" applyBorder="1" applyAlignment="1">
      <alignment horizontal="center" vertical="center"/>
    </xf>
    <xf numFmtId="49" fontId="65" fillId="0" borderId="42" xfId="0" applyNumberFormat="1" applyFont="1" applyBorder="1" applyAlignment="1">
      <alignment horizontal="center" vertical="center"/>
    </xf>
    <xf numFmtId="1" fontId="65" fillId="0" borderId="42" xfId="0" applyNumberFormat="1" applyFont="1" applyBorder="1" applyAlignment="1">
      <alignment vertical="center"/>
    </xf>
    <xf numFmtId="0" fontId="65" fillId="0" borderId="0" xfId="0" applyFont="1" applyAlignment="1">
      <alignment horizontal="center" vertical="center"/>
    </xf>
    <xf numFmtId="0" fontId="65" fillId="0" borderId="0" xfId="0" applyFont="1" applyAlignment="1">
      <alignment vertical="top"/>
    </xf>
    <xf numFmtId="0" fontId="48" fillId="0" borderId="18" xfId="0" applyFont="1" applyBorder="1" applyAlignment="1">
      <alignment horizontal="left" vertical="center" wrapText="1"/>
    </xf>
    <xf numFmtId="9" fontId="67" fillId="0" borderId="0" xfId="218" applyFont="1" applyAlignment="1">
      <alignment vertical="center"/>
    </xf>
    <xf numFmtId="0" fontId="4" fillId="0" borderId="42" xfId="1" applyBorder="1" applyAlignment="1">
      <alignment horizontal="center" vertical="top"/>
    </xf>
    <xf numFmtId="0" fontId="4" fillId="0" borderId="42" xfId="1" applyBorder="1" applyAlignment="1">
      <alignment horizontal="center" vertical="distributed"/>
    </xf>
    <xf numFmtId="175" fontId="4" fillId="0" borderId="42" xfId="1" applyNumberFormat="1" applyBorder="1" applyAlignment="1">
      <alignment horizontal="center" vertical="distributed"/>
    </xf>
    <xf numFmtId="0" fontId="4" fillId="0" borderId="42" xfId="1" applyBorder="1" applyAlignment="1">
      <alignment vertical="top"/>
    </xf>
    <xf numFmtId="0" fontId="4" fillId="0" borderId="42" xfId="1" applyBorder="1" applyAlignment="1">
      <alignment vertical="top" wrapText="1"/>
    </xf>
    <xf numFmtId="175" fontId="4" fillId="0" borderId="42" xfId="9" applyNumberFormat="1" applyFont="1" applyBorder="1" applyAlignment="1" applyProtection="1">
      <alignment horizontal="center" vertical="distributed"/>
    </xf>
    <xf numFmtId="0" fontId="65" fillId="0" borderId="48" xfId="1" applyFont="1" applyBorder="1" applyAlignment="1">
      <alignment horizontal="center" vertical="center"/>
    </xf>
    <xf numFmtId="44" fontId="4" fillId="0" borderId="0" xfId="267" applyFont="1" applyFill="1"/>
    <xf numFmtId="0" fontId="48" fillId="0" borderId="26" xfId="0" applyFont="1" applyBorder="1" applyAlignment="1">
      <alignment horizontal="left" vertical="center" wrapText="1"/>
    </xf>
    <xf numFmtId="0" fontId="48" fillId="0" borderId="27" xfId="0" applyFont="1" applyBorder="1" applyAlignment="1">
      <alignment horizontal="left" vertical="center" wrapText="1"/>
    </xf>
    <xf numFmtId="44" fontId="42" fillId="0" borderId="0" xfId="267" applyFont="1" applyFill="1" applyBorder="1" applyAlignment="1">
      <alignment vertical="center"/>
    </xf>
    <xf numFmtId="188" fontId="4" fillId="0" borderId="27" xfId="0" applyNumberFormat="1" applyFont="1" applyBorder="1"/>
    <xf numFmtId="0" fontId="42" fillId="0" borderId="3" xfId="0" applyFont="1" applyBorder="1" applyAlignment="1">
      <alignment horizontal="left" vertical="center" wrapText="1"/>
    </xf>
    <xf numFmtId="0" fontId="9" fillId="17" borderId="0" xfId="0" applyFont="1" applyFill="1"/>
    <xf numFmtId="0" fontId="42" fillId="17" borderId="0" xfId="0" applyFont="1" applyFill="1"/>
    <xf numFmtId="0" fontId="42" fillId="17" borderId="25" xfId="0" applyFont="1" applyFill="1" applyBorder="1" applyAlignment="1">
      <alignment horizontal="center" vertical="center" wrapText="1"/>
    </xf>
    <xf numFmtId="0" fontId="42" fillId="17" borderId="25" xfId="0" applyFont="1" applyFill="1" applyBorder="1" applyAlignment="1">
      <alignment horizontal="center" vertical="center"/>
    </xf>
    <xf numFmtId="0" fontId="65" fillId="0" borderId="48" xfId="0" applyFont="1" applyBorder="1" applyAlignment="1">
      <alignment horizontal="center" vertical="center"/>
    </xf>
    <xf numFmtId="0" fontId="65" fillId="0" borderId="42" xfId="3" applyFont="1" applyBorder="1" applyAlignment="1">
      <alignment vertical="top"/>
    </xf>
    <xf numFmtId="0" fontId="65" fillId="0" borderId="42" xfId="3" applyFont="1" applyBorder="1" applyAlignment="1">
      <alignment horizontal="center" vertical="center" wrapText="1"/>
    </xf>
    <xf numFmtId="0" fontId="3" fillId="0" borderId="42" xfId="1" applyFont="1" applyBorder="1" applyAlignment="1">
      <alignment vertical="top"/>
    </xf>
    <xf numFmtId="0" fontId="68" fillId="0" borderId="47" xfId="3" applyFont="1" applyBorder="1" applyAlignment="1">
      <alignment horizontal="left" vertical="top" wrapText="1"/>
    </xf>
    <xf numFmtId="0" fontId="65" fillId="0" borderId="47" xfId="3" applyFont="1" applyBorder="1" applyAlignment="1">
      <alignment horizontal="left" vertical="top" wrapText="1"/>
    </xf>
    <xf numFmtId="0" fontId="65" fillId="0" borderId="48" xfId="3" applyFont="1" applyBorder="1" applyAlignment="1">
      <alignment horizontal="center" vertical="distributed"/>
    </xf>
    <xf numFmtId="0" fontId="65" fillId="0" borderId="48" xfId="8" applyFont="1" applyBorder="1" applyAlignment="1">
      <alignment horizontal="center" vertical="distributed"/>
    </xf>
    <xf numFmtId="0" fontId="65" fillId="0" borderId="48" xfId="7" applyFont="1" applyBorder="1" applyAlignment="1">
      <alignment horizontal="center" vertical="center"/>
    </xf>
    <xf numFmtId="49" fontId="64" fillId="0" borderId="42" xfId="7" applyNumberFormat="1" applyFont="1" applyBorder="1" applyAlignment="1">
      <alignment horizontal="center" vertical="center"/>
    </xf>
    <xf numFmtId="0" fontId="65" fillId="0" borderId="0" xfId="2" applyFont="1" applyAlignment="1">
      <alignment horizontal="center" vertical="top"/>
    </xf>
    <xf numFmtId="0" fontId="65" fillId="0" borderId="42" xfId="7" applyFont="1" applyBorder="1" applyAlignment="1">
      <alignment horizontal="center" vertical="top"/>
    </xf>
    <xf numFmtId="0" fontId="65" fillId="0" borderId="42" xfId="7" applyFont="1" applyBorder="1" applyAlignment="1">
      <alignment horizontal="center" vertical="center" wrapText="1"/>
    </xf>
    <xf numFmtId="0" fontId="65" fillId="0" borderId="42" xfId="0" applyFont="1" applyBorder="1" applyAlignment="1">
      <alignment horizontal="center"/>
    </xf>
    <xf numFmtId="0" fontId="65" fillId="0" borderId="48" xfId="7" applyFont="1" applyBorder="1" applyAlignment="1">
      <alignment horizontal="center" vertical="top" wrapText="1"/>
    </xf>
    <xf numFmtId="49" fontId="65" fillId="0" borderId="0" xfId="7" quotePrefix="1" applyNumberFormat="1" applyFont="1" applyAlignment="1">
      <alignment horizontal="center" vertical="center"/>
    </xf>
    <xf numFmtId="176" fontId="4" fillId="0" borderId="42" xfId="133" applyFont="1" applyBorder="1" applyAlignment="1">
      <alignment horizontal="center" vertical="top"/>
    </xf>
    <xf numFmtId="176" fontId="4" fillId="0" borderId="42" xfId="133" applyFont="1" applyBorder="1" applyAlignment="1">
      <alignment vertical="top" wrapText="1"/>
    </xf>
    <xf numFmtId="0" fontId="64" fillId="0" borderId="48" xfId="0" applyFont="1" applyBorder="1" applyAlignment="1">
      <alignment vertical="top" wrapText="1"/>
    </xf>
    <xf numFmtId="0" fontId="65" fillId="0" borderId="51" xfId="0" applyFont="1" applyBorder="1" applyAlignment="1">
      <alignment horizontal="center" vertical="top" wrapText="1"/>
    </xf>
    <xf numFmtId="0" fontId="65" fillId="0" borderId="52" xfId="0" applyFont="1" applyBorder="1" applyAlignment="1">
      <alignment horizontal="left" vertical="top" wrapText="1"/>
    </xf>
    <xf numFmtId="0" fontId="65" fillId="0" borderId="52" xfId="0" applyFont="1" applyBorder="1" applyAlignment="1">
      <alignment horizontal="center" vertical="top"/>
    </xf>
    <xf numFmtId="4" fontId="65" fillId="0" borderId="53" xfId="0" applyNumberFormat="1" applyFont="1" applyBorder="1" applyAlignment="1">
      <alignment vertical="top"/>
    </xf>
    <xf numFmtId="0" fontId="68" fillId="0" borderId="48" xfId="3" applyFont="1" applyBorder="1" applyAlignment="1">
      <alignment horizontal="left" vertical="top" wrapText="1"/>
    </xf>
    <xf numFmtId="44" fontId="64" fillId="0" borderId="0" xfId="267" applyFont="1" applyBorder="1"/>
    <xf numFmtId="44" fontId="65" fillId="0" borderId="0" xfId="267" applyFont="1" applyBorder="1"/>
    <xf numFmtId="0" fontId="83" fillId="0" borderId="0" xfId="0" applyFont="1"/>
    <xf numFmtId="44" fontId="64" fillId="0" borderId="0" xfId="267" applyFont="1" applyBorder="1" applyAlignment="1">
      <alignment vertical="center"/>
    </xf>
    <xf numFmtId="44" fontId="64" fillId="0" borderId="0" xfId="267" applyFont="1" applyBorder="1" applyAlignment="1">
      <alignment horizontal="center" vertical="center"/>
    </xf>
    <xf numFmtId="0" fontId="64" fillId="2" borderId="27" xfId="0" applyFont="1" applyFill="1" applyBorder="1" applyAlignment="1">
      <alignment horizontal="center" vertical="center" wrapText="1"/>
    </xf>
    <xf numFmtId="0" fontId="65" fillId="0" borderId="48" xfId="0" applyFont="1" applyBorder="1" applyAlignment="1">
      <alignment vertical="center"/>
    </xf>
    <xf numFmtId="0" fontId="68" fillId="0" borderId="48" xfId="3" applyFont="1" applyBorder="1" applyAlignment="1">
      <alignment horizontal="center" vertical="top" wrapText="1"/>
    </xf>
    <xf numFmtId="176" fontId="68" fillId="0" borderId="48" xfId="133" applyFont="1" applyBorder="1" applyAlignment="1">
      <alignment horizontal="center" vertical="center" wrapText="1"/>
    </xf>
    <xf numFmtId="0" fontId="68" fillId="0" borderId="48" xfId="3" applyFont="1" applyBorder="1" applyAlignment="1">
      <alignment horizontal="center" vertical="top"/>
    </xf>
    <xf numFmtId="0" fontId="65" fillId="0" borderId="48" xfId="3" applyFont="1" applyBorder="1" applyAlignment="1">
      <alignment vertical="top"/>
    </xf>
    <xf numFmtId="0" fontId="65" fillId="0" borderId="48" xfId="3" applyFont="1" applyBorder="1" applyAlignment="1">
      <alignment horizontal="center" vertical="top"/>
    </xf>
    <xf numFmtId="0" fontId="64" fillId="0" borderId="48" xfId="3" applyFont="1" applyBorder="1" applyAlignment="1">
      <alignment horizontal="center" vertical="center" wrapText="1"/>
    </xf>
    <xf numFmtId="0" fontId="65" fillId="0" borderId="48" xfId="3" applyFont="1" applyBorder="1" applyAlignment="1">
      <alignment horizontal="center" vertical="center"/>
    </xf>
    <xf numFmtId="176" fontId="65" fillId="0" borderId="48" xfId="133" applyFont="1" applyBorder="1" applyAlignment="1">
      <alignment horizontal="center"/>
    </xf>
    <xf numFmtId="176" fontId="65" fillId="0" borderId="48" xfId="133" applyFont="1" applyBorder="1" applyAlignment="1">
      <alignment horizontal="center" vertical="top"/>
    </xf>
    <xf numFmtId="0" fontId="65" fillId="0" borderId="48" xfId="262" applyFont="1" applyBorder="1" applyAlignment="1">
      <alignment horizontal="center" vertical="center"/>
    </xf>
    <xf numFmtId="176" fontId="65" fillId="0" borderId="48" xfId="133" applyFont="1" applyBorder="1" applyAlignment="1">
      <alignment horizontal="center" vertical="center"/>
    </xf>
    <xf numFmtId="0" fontId="65" fillId="0" borderId="48" xfId="260" applyFont="1" applyBorder="1" applyAlignment="1">
      <alignment horizontal="center" vertical="center"/>
    </xf>
    <xf numFmtId="0" fontId="64" fillId="0" borderId="48" xfId="3" applyFont="1" applyBorder="1" applyAlignment="1">
      <alignment horizontal="center" vertical="center"/>
    </xf>
    <xf numFmtId="0" fontId="64" fillId="0" borderId="48" xfId="7" applyFont="1" applyBorder="1" applyAlignment="1">
      <alignment horizontal="center" vertical="center" wrapText="1"/>
    </xf>
    <xf numFmtId="0" fontId="65" fillId="0" borderId="48" xfId="7" applyFont="1" applyBorder="1" applyAlignment="1">
      <alignment horizontal="left" vertical="center"/>
    </xf>
    <xf numFmtId="0" fontId="64" fillId="0" borderId="48" xfId="1" applyFont="1" applyBorder="1" applyAlignment="1">
      <alignment horizontal="center" vertical="center" wrapText="1"/>
    </xf>
    <xf numFmtId="0" fontId="3" fillId="0" borderId="48" xfId="1" applyFont="1" applyBorder="1" applyAlignment="1">
      <alignment horizontal="center" vertical="top"/>
    </xf>
    <xf numFmtId="0" fontId="4" fillId="0" borderId="48" xfId="1" applyBorder="1" applyAlignment="1">
      <alignment horizontal="center" vertical="top"/>
    </xf>
    <xf numFmtId="0" fontId="65" fillId="0" borderId="3" xfId="11" applyFont="1" applyBorder="1" applyAlignment="1">
      <alignment horizontal="center" vertical="center"/>
    </xf>
    <xf numFmtId="0" fontId="64" fillId="0" borderId="42" xfId="7" quotePrefix="1" applyFont="1" applyBorder="1" applyAlignment="1">
      <alignment horizontal="center" vertical="center" wrapText="1"/>
    </xf>
    <xf numFmtId="2" fontId="65" fillId="0" borderId="48" xfId="0" applyNumberFormat="1" applyFont="1" applyBorder="1" applyAlignment="1">
      <alignment horizontal="center" vertical="center"/>
    </xf>
    <xf numFmtId="0" fontId="65" fillId="0" borderId="47" xfId="3" applyFont="1" applyBorder="1" applyAlignment="1">
      <alignment vertical="top" wrapText="1"/>
    </xf>
    <xf numFmtId="0" fontId="64" fillId="0" borderId="48" xfId="0" applyFont="1" applyBorder="1" applyAlignment="1">
      <alignment vertical="center" wrapText="1"/>
    </xf>
    <xf numFmtId="0" fontId="64" fillId="0" borderId="0" xfId="0" applyFont="1" applyAlignment="1">
      <alignment horizontal="left" vertical="top" wrapText="1"/>
    </xf>
    <xf numFmtId="0" fontId="65" fillId="0" borderId="42" xfId="11" applyFont="1" applyBorder="1" applyAlignment="1">
      <alignment vertical="center" wrapText="1"/>
    </xf>
    <xf numFmtId="173" fontId="65" fillId="0" borderId="48" xfId="36" applyNumberFormat="1" applyFont="1" applyBorder="1" applyAlignment="1">
      <alignment vertical="center" wrapText="1"/>
    </xf>
    <xf numFmtId="0" fontId="68" fillId="0" borderId="42" xfId="7" quotePrefix="1" applyFont="1" applyBorder="1" applyAlignment="1">
      <alignment horizontal="center" vertical="center"/>
    </xf>
    <xf numFmtId="0" fontId="65" fillId="0" borderId="42" xfId="3" applyFont="1" applyBorder="1" applyAlignment="1">
      <alignment horizontal="left" vertical="center" wrapText="1"/>
    </xf>
    <xf numFmtId="0" fontId="65" fillId="0" borderId="42" xfId="3" applyFont="1" applyBorder="1" applyAlignment="1">
      <alignment vertical="center" wrapText="1"/>
    </xf>
    <xf numFmtId="0" fontId="65" fillId="0" borderId="47" xfId="3" applyFont="1" applyBorder="1" applyAlignment="1">
      <alignment horizontal="center" vertical="center"/>
    </xf>
    <xf numFmtId="0" fontId="65" fillId="0" borderId="48" xfId="3" applyFont="1" applyBorder="1" applyAlignment="1">
      <alignment horizontal="left" vertical="center" wrapText="1"/>
    </xf>
    <xf numFmtId="176" fontId="64" fillId="0" borderId="48" xfId="133" applyFont="1" applyBorder="1" applyAlignment="1">
      <alignment horizontal="left" vertical="center" wrapText="1"/>
    </xf>
    <xf numFmtId="0" fontId="65" fillId="0" borderId="42" xfId="133" applyNumberFormat="1" applyFont="1" applyBorder="1" applyAlignment="1">
      <alignment horizontal="left" vertical="center" wrapText="1"/>
    </xf>
    <xf numFmtId="176" fontId="65" fillId="0" borderId="42" xfId="133" applyFont="1" applyBorder="1" applyAlignment="1">
      <alignment horizontal="left" vertical="center" wrapText="1"/>
    </xf>
    <xf numFmtId="173" fontId="68" fillId="0" borderId="42" xfId="10" applyFont="1" applyBorder="1" applyAlignment="1">
      <alignment vertical="center" wrapText="1"/>
    </xf>
    <xf numFmtId="0" fontId="68" fillId="0" borderId="47" xfId="3" applyFont="1" applyBorder="1" applyAlignment="1">
      <alignment vertical="center" wrapText="1"/>
    </xf>
    <xf numFmtId="176" fontId="64" fillId="0" borderId="42" xfId="133" applyFont="1" applyBorder="1" applyAlignment="1">
      <alignment vertical="center"/>
    </xf>
    <xf numFmtId="0" fontId="41" fillId="0" borderId="0" xfId="0" applyFont="1" applyAlignment="1">
      <alignment vertical="center"/>
    </xf>
    <xf numFmtId="0" fontId="57" fillId="0" borderId="0" xfId="0" applyFont="1" applyAlignment="1">
      <alignment vertical="center"/>
    </xf>
    <xf numFmtId="176" fontId="64" fillId="0" borderId="42" xfId="133" applyFont="1" applyBorder="1" applyAlignment="1">
      <alignment horizontal="left" vertical="center" wrapText="1"/>
    </xf>
    <xf numFmtId="176" fontId="65" fillId="0" borderId="42" xfId="133" applyFont="1" applyBorder="1" applyAlignment="1">
      <alignment vertical="center" wrapText="1"/>
    </xf>
    <xf numFmtId="176" fontId="64" fillId="0" borderId="42" xfId="133" applyFont="1" applyBorder="1" applyAlignment="1">
      <alignment vertical="center" wrapText="1"/>
    </xf>
    <xf numFmtId="0" fontId="86" fillId="0" borderId="0" xfId="0" applyFont="1" applyAlignment="1">
      <alignment vertical="center" wrapText="1"/>
    </xf>
    <xf numFmtId="44" fontId="86" fillId="0" borderId="0" xfId="267" applyFont="1" applyAlignment="1">
      <alignment vertical="center"/>
    </xf>
    <xf numFmtId="0" fontId="75" fillId="0" borderId="48" xfId="8" applyFont="1" applyBorder="1" applyAlignment="1">
      <alignment horizontal="center" vertical="distributed"/>
    </xf>
    <xf numFmtId="0" fontId="65" fillId="0" borderId="48" xfId="0" applyFont="1" applyBorder="1"/>
    <xf numFmtId="0" fontId="65" fillId="0" borderId="47" xfId="2" applyFont="1" applyBorder="1" applyAlignment="1">
      <alignment horizontal="center" vertical="distributed"/>
    </xf>
    <xf numFmtId="0" fontId="65" fillId="0" borderId="48" xfId="7" applyFont="1" applyBorder="1" applyAlignment="1">
      <alignment horizontal="right"/>
    </xf>
    <xf numFmtId="189" fontId="65" fillId="0" borderId="48" xfId="7" applyNumberFormat="1" applyFont="1" applyBorder="1" applyAlignment="1">
      <alignment horizontal="center" vertical="center"/>
    </xf>
    <xf numFmtId="0" fontId="65" fillId="0" borderId="0" xfId="7" applyFont="1" applyAlignment="1">
      <alignment vertical="center" wrapText="1"/>
    </xf>
    <xf numFmtId="0" fontId="3" fillId="0" borderId="6" xfId="7" applyFont="1" applyBorder="1" applyAlignment="1">
      <alignment horizontal="center" vertical="center"/>
    </xf>
    <xf numFmtId="0" fontId="3" fillId="0" borderId="1" xfId="7" applyFont="1" applyBorder="1" applyAlignment="1">
      <alignment horizontal="center" vertical="center"/>
    </xf>
    <xf numFmtId="0" fontId="3" fillId="0" borderId="15" xfId="7" applyFont="1" applyBorder="1" applyAlignment="1">
      <alignment horizontal="center" vertical="center"/>
    </xf>
    <xf numFmtId="188" fontId="3" fillId="0" borderId="7" xfId="7" applyNumberFormat="1" applyFont="1" applyBorder="1" applyAlignment="1">
      <alignment horizontal="center" vertical="center"/>
    </xf>
    <xf numFmtId="0" fontId="3" fillId="17" borderId="2" xfId="7" applyFont="1" applyFill="1" applyBorder="1" applyAlignment="1">
      <alignment vertical="center"/>
    </xf>
    <xf numFmtId="0" fontId="3" fillId="17" borderId="5" xfId="7" applyFont="1" applyFill="1" applyBorder="1" applyAlignment="1">
      <alignment vertical="center"/>
    </xf>
    <xf numFmtId="0" fontId="3" fillId="17" borderId="14" xfId="7" applyFont="1" applyFill="1" applyBorder="1" applyAlignment="1">
      <alignment vertical="center"/>
    </xf>
    <xf numFmtId="0" fontId="3" fillId="17" borderId="6" xfId="7" applyFont="1" applyFill="1" applyBorder="1" applyAlignment="1">
      <alignment vertical="center"/>
    </xf>
    <xf numFmtId="0" fontId="3" fillId="17" borderId="1" xfId="7" applyFont="1" applyFill="1" applyBorder="1" applyAlignment="1">
      <alignment vertical="center"/>
    </xf>
    <xf numFmtId="0" fontId="3" fillId="17" borderId="15" xfId="7" applyFont="1" applyFill="1" applyBorder="1" applyAlignment="1">
      <alignment vertical="center"/>
    </xf>
    <xf numFmtId="3" fontId="65" fillId="0" borderId="42" xfId="8" applyNumberFormat="1" applyFont="1" applyBorder="1" applyAlignment="1">
      <alignment horizontal="center" vertical="distributed"/>
    </xf>
    <xf numFmtId="173" fontId="64" fillId="0" borderId="42" xfId="6" applyFont="1" applyBorder="1" applyAlignment="1">
      <alignment vertical="center" wrapText="1"/>
    </xf>
    <xf numFmtId="175" fontId="65" fillId="0" borderId="42" xfId="9" applyNumberFormat="1" applyFont="1" applyFill="1" applyBorder="1" applyAlignment="1" applyProtection="1">
      <alignment horizontal="center" vertical="distributed"/>
    </xf>
    <xf numFmtId="0" fontId="4" fillId="0" borderId="0" xfId="0" applyFont="1" applyAlignment="1">
      <alignment horizontal="left"/>
    </xf>
    <xf numFmtId="0" fontId="42" fillId="17" borderId="25" xfId="0" applyFont="1" applyFill="1" applyBorder="1" applyAlignment="1">
      <alignment horizontal="left" vertical="center"/>
    </xf>
    <xf numFmtId="0" fontId="42" fillId="0" borderId="0" xfId="0" applyFont="1" applyAlignment="1">
      <alignment horizontal="left" wrapText="1"/>
    </xf>
    <xf numFmtId="0" fontId="3" fillId="17" borderId="5" xfId="7" applyFont="1" applyFill="1" applyBorder="1" applyAlignment="1">
      <alignment horizontal="left" vertical="center"/>
    </xf>
    <xf numFmtId="0" fontId="3" fillId="17" borderId="1" xfId="7" applyFont="1" applyFill="1" applyBorder="1" applyAlignment="1">
      <alignment horizontal="left" vertical="center"/>
    </xf>
    <xf numFmtId="0" fontId="3" fillId="0" borderId="1" xfId="7" applyFont="1" applyBorder="1" applyAlignment="1">
      <alignment horizontal="left" vertical="center"/>
    </xf>
    <xf numFmtId="0" fontId="4" fillId="0" borderId="26" xfId="7" applyBorder="1" applyAlignment="1">
      <alignment horizontal="center"/>
    </xf>
    <xf numFmtId="0" fontId="4" fillId="0" borderId="18" xfId="7" applyBorder="1" applyAlignment="1">
      <alignment horizontal="center"/>
    </xf>
    <xf numFmtId="0" fontId="4" fillId="0" borderId="25" xfId="0" applyFont="1" applyBorder="1" applyAlignment="1">
      <alignment horizontal="left" vertical="center" wrapText="1"/>
    </xf>
    <xf numFmtId="0" fontId="4" fillId="0" borderId="2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44" fontId="42" fillId="0" borderId="14" xfId="267" applyFont="1" applyFill="1" applyBorder="1" applyAlignment="1">
      <alignment horizontal="center" vertical="center"/>
    </xf>
    <xf numFmtId="44" fontId="42" fillId="0" borderId="3" xfId="267" applyFont="1" applyFill="1" applyBorder="1" applyAlignment="1">
      <alignment horizontal="center" vertical="center"/>
    </xf>
    <xf numFmtId="0" fontId="65" fillId="0" borderId="42" xfId="4" applyNumberFormat="1" applyFont="1" applyFill="1" applyBorder="1" applyAlignment="1" applyProtection="1">
      <alignment horizontal="center" vertical="center"/>
    </xf>
    <xf numFmtId="0" fontId="65" fillId="0" borderId="42" xfId="3" applyFont="1" applyBorder="1" applyAlignment="1">
      <alignment vertical="center"/>
    </xf>
    <xf numFmtId="172" fontId="65" fillId="0" borderId="42" xfId="4" applyNumberFormat="1" applyFont="1" applyFill="1" applyBorder="1" applyAlignment="1" applyProtection="1">
      <alignment horizontal="center" vertical="center"/>
    </xf>
    <xf numFmtId="49" fontId="65" fillId="0" borderId="42" xfId="133" applyNumberFormat="1" applyFont="1" applyBorder="1" applyAlignment="1">
      <alignment horizontal="center" vertical="center"/>
    </xf>
    <xf numFmtId="49" fontId="65" fillId="0" borderId="42" xfId="133" applyNumberFormat="1" applyFont="1" applyBorder="1"/>
    <xf numFmtId="43" fontId="65" fillId="0" borderId="0" xfId="0" applyNumberFormat="1" applyFont="1"/>
    <xf numFmtId="49" fontId="65" fillId="0" borderId="42" xfId="133" applyNumberFormat="1" applyFont="1" applyBorder="1" applyAlignment="1">
      <alignment vertical="center" wrapText="1"/>
    </xf>
    <xf numFmtId="0" fontId="65" fillId="0" borderId="48" xfId="3" applyFont="1" applyBorder="1" applyAlignment="1">
      <alignment horizontal="center" vertical="center" wrapText="1"/>
    </xf>
    <xf numFmtId="0" fontId="65" fillId="0" borderId="42" xfId="1" applyFont="1" applyBorder="1" applyAlignment="1">
      <alignment vertical="center"/>
    </xf>
    <xf numFmtId="0" fontId="65" fillId="0" borderId="42" xfId="1" applyFont="1" applyBorder="1" applyAlignment="1">
      <alignment horizontal="center" vertical="distributed"/>
    </xf>
    <xf numFmtId="0" fontId="65" fillId="0" borderId="42" xfId="3" applyFont="1" applyBorder="1" applyAlignment="1">
      <alignment horizontal="left" vertical="center"/>
    </xf>
    <xf numFmtId="1" fontId="65" fillId="0" borderId="42" xfId="3" applyNumberFormat="1" applyFont="1" applyBorder="1" applyAlignment="1">
      <alignment horizontal="center" vertical="distributed"/>
    </xf>
    <xf numFmtId="0" fontId="68" fillId="0" borderId="48" xfId="3" applyFont="1" applyBorder="1" applyAlignment="1">
      <alignment vertical="center" wrapText="1"/>
    </xf>
    <xf numFmtId="0" fontId="64" fillId="0" borderId="0" xfId="0" applyFont="1" applyAlignment="1">
      <alignment vertical="top" wrapText="1"/>
    </xf>
    <xf numFmtId="0" fontId="65" fillId="0" borderId="42" xfId="8" applyFont="1" applyBorder="1" applyAlignment="1">
      <alignment horizontal="center" vertical="center"/>
    </xf>
    <xf numFmtId="2" fontId="65" fillId="0" borderId="48" xfId="8" applyNumberFormat="1" applyFont="1" applyBorder="1" applyAlignment="1">
      <alignment horizontal="center" vertical="distributed"/>
    </xf>
    <xf numFmtId="173" fontId="1" fillId="0" borderId="48" xfId="10" applyFont="1" applyBorder="1" applyAlignment="1">
      <alignment vertical="top" wrapText="1"/>
    </xf>
    <xf numFmtId="0" fontId="1" fillId="0" borderId="48" xfId="3" applyFont="1" applyBorder="1" applyAlignment="1">
      <alignment horizontal="left" vertical="top" wrapText="1"/>
    </xf>
    <xf numFmtId="0" fontId="1" fillId="0" borderId="48" xfId="48" applyFont="1" applyBorder="1" applyAlignment="1">
      <alignment horizontal="center" vertical="center"/>
    </xf>
    <xf numFmtId="0" fontId="68" fillId="0" borderId="48" xfId="3" applyFont="1" applyBorder="1" applyAlignment="1">
      <alignment horizontal="center" vertical="center"/>
    </xf>
    <xf numFmtId="0" fontId="1" fillId="0" borderId="42" xfId="2" applyFont="1" applyBorder="1" applyAlignment="1">
      <alignment horizontal="center" vertical="center"/>
    </xf>
    <xf numFmtId="0" fontId="1" fillId="0" borderId="48" xfId="3" applyFont="1" applyBorder="1" applyAlignment="1">
      <alignment horizontal="center" vertical="distributed"/>
    </xf>
    <xf numFmtId="0" fontId="1" fillId="0" borderId="42" xfId="3" applyFont="1" applyBorder="1" applyAlignment="1">
      <alignment horizontal="center" vertical="center"/>
    </xf>
    <xf numFmtId="0" fontId="1" fillId="0" borderId="42" xfId="0" applyFont="1" applyBorder="1" applyAlignment="1">
      <alignment horizontal="center" vertical="center"/>
    </xf>
    <xf numFmtId="0" fontId="68" fillId="0" borderId="48" xfId="3" applyFont="1" applyBorder="1" applyAlignment="1">
      <alignment horizontal="left" vertical="center" wrapText="1"/>
    </xf>
    <xf numFmtId="0" fontId="64" fillId="0" borderId="48" xfId="3" applyFont="1" applyBorder="1" applyAlignment="1">
      <alignment horizontal="left" vertical="center" wrapText="1"/>
    </xf>
    <xf numFmtId="0" fontId="64" fillId="0" borderId="42" xfId="11" applyFont="1" applyBorder="1" applyAlignment="1">
      <alignment horizontal="center" vertical="center" wrapText="1"/>
    </xf>
    <xf numFmtId="0" fontId="64" fillId="0" borderId="42" xfId="39" applyFont="1" applyBorder="1" applyAlignment="1">
      <alignment horizontal="center" vertical="center" wrapText="1"/>
    </xf>
    <xf numFmtId="0" fontId="1" fillId="0" borderId="48" xfId="3" applyFont="1" applyBorder="1" applyAlignment="1">
      <alignment horizontal="center" vertical="center"/>
    </xf>
    <xf numFmtId="44" fontId="65" fillId="0" borderId="0" xfId="0" applyNumberFormat="1" applyFont="1" applyAlignment="1">
      <alignment vertical="center"/>
    </xf>
    <xf numFmtId="0" fontId="1" fillId="0" borderId="42" xfId="3" applyFont="1" applyBorder="1" applyAlignment="1">
      <alignment horizontal="left" vertical="top" wrapText="1"/>
    </xf>
    <xf numFmtId="0" fontId="56" fillId="0" borderId="48" xfId="7" applyFont="1" applyBorder="1" applyAlignment="1">
      <alignment vertical="center"/>
    </xf>
    <xf numFmtId="0" fontId="56" fillId="0" borderId="42" xfId="7" applyFont="1" applyBorder="1" applyAlignment="1">
      <alignment vertical="center"/>
    </xf>
    <xf numFmtId="9" fontId="56" fillId="0" borderId="42" xfId="7" applyNumberFormat="1" applyFont="1" applyBorder="1" applyAlignment="1">
      <alignment vertical="center"/>
    </xf>
    <xf numFmtId="0" fontId="4" fillId="0" borderId="47" xfId="3" applyBorder="1" applyAlignment="1">
      <alignment horizontal="left" vertical="center" wrapText="1"/>
    </xf>
    <xf numFmtId="0" fontId="0" fillId="0" borderId="42" xfId="0" applyBorder="1" applyAlignment="1">
      <alignment wrapText="1"/>
    </xf>
    <xf numFmtId="0" fontId="4" fillId="0" borderId="42" xfId="3" applyBorder="1" applyAlignment="1">
      <alignment horizontal="left" vertical="top" wrapText="1"/>
    </xf>
    <xf numFmtId="0" fontId="1" fillId="0" borderId="0" xfId="0" applyFont="1" applyAlignment="1">
      <alignment vertical="center"/>
    </xf>
    <xf numFmtId="0" fontId="1" fillId="0" borderId="3" xfId="3" applyFont="1" applyBorder="1" applyAlignment="1">
      <alignment horizontal="center" vertical="center"/>
    </xf>
    <xf numFmtId="0" fontId="1" fillId="0" borderId="48" xfId="3" applyFont="1" applyBorder="1" applyAlignment="1">
      <alignment vertical="top"/>
    </xf>
    <xf numFmtId="0" fontId="1" fillId="0" borderId="42" xfId="3" applyFont="1" applyBorder="1" applyAlignment="1">
      <alignment vertical="top" wrapText="1"/>
    </xf>
    <xf numFmtId="0" fontId="1" fillId="0" borderId="42" xfId="3" applyFont="1" applyBorder="1" applyAlignment="1">
      <alignment vertical="center"/>
    </xf>
    <xf numFmtId="0" fontId="1" fillId="0" borderId="0" xfId="0" applyFont="1"/>
    <xf numFmtId="0" fontId="1" fillId="0" borderId="48" xfId="3" applyFont="1" applyBorder="1" applyAlignment="1">
      <alignment horizontal="center" vertical="top"/>
    </xf>
    <xf numFmtId="1" fontId="1" fillId="0" borderId="42" xfId="3" applyNumberFormat="1" applyFont="1" applyBorder="1" applyAlignment="1">
      <alignment horizontal="center" vertical="center"/>
    </xf>
    <xf numFmtId="0" fontId="1" fillId="0" borderId="42" xfId="4" applyNumberFormat="1" applyFont="1" applyFill="1" applyBorder="1" applyAlignment="1" applyProtection="1">
      <alignment horizontal="center" vertical="center"/>
    </xf>
    <xf numFmtId="172" fontId="1" fillId="0" borderId="42" xfId="4" applyNumberFormat="1" applyFont="1" applyFill="1" applyBorder="1" applyAlignment="1" applyProtection="1">
      <alignment horizontal="center" vertical="center"/>
    </xf>
    <xf numFmtId="43" fontId="1" fillId="0" borderId="0" xfId="0" applyNumberFormat="1" applyFont="1"/>
    <xf numFmtId="49" fontId="1" fillId="0" borderId="42" xfId="133" applyNumberFormat="1" applyFont="1" applyBorder="1" applyAlignment="1">
      <alignment horizontal="center" vertical="center"/>
    </xf>
    <xf numFmtId="49" fontId="1" fillId="0" borderId="48" xfId="133" applyNumberFormat="1" applyFont="1" applyBorder="1" applyAlignment="1">
      <alignment horizontal="center" vertical="center"/>
    </xf>
    <xf numFmtId="176" fontId="1" fillId="0" borderId="42" xfId="133" applyFont="1" applyBorder="1" applyAlignment="1">
      <alignment vertical="center"/>
    </xf>
    <xf numFmtId="176" fontId="1" fillId="0" borderId="48" xfId="133" applyFont="1" applyBorder="1" applyAlignment="1">
      <alignment horizontal="center" vertical="center"/>
    </xf>
    <xf numFmtId="176" fontId="1" fillId="0" borderId="42" xfId="133" applyFont="1" applyBorder="1"/>
    <xf numFmtId="49" fontId="1" fillId="0" borderId="42" xfId="133" applyNumberFormat="1" applyFont="1" applyBorder="1"/>
    <xf numFmtId="49" fontId="1" fillId="0" borderId="42" xfId="3" applyNumberFormat="1" applyFont="1" applyBorder="1" applyAlignment="1">
      <alignment horizontal="left" vertical="top" wrapText="1"/>
    </xf>
    <xf numFmtId="49" fontId="1" fillId="0" borderId="42" xfId="133" applyNumberFormat="1" applyFont="1" applyBorder="1" applyAlignment="1">
      <alignment wrapText="1"/>
    </xf>
    <xf numFmtId="49" fontId="1" fillId="0" borderId="48" xfId="3" applyNumberFormat="1" applyFont="1" applyBorder="1" applyAlignment="1">
      <alignment horizontal="center" vertical="top"/>
    </xf>
    <xf numFmtId="174" fontId="1" fillId="0" borderId="42" xfId="3" applyNumberFormat="1" applyFont="1" applyBorder="1" applyAlignment="1">
      <alignment horizontal="center" vertical="center"/>
    </xf>
    <xf numFmtId="49" fontId="1" fillId="0" borderId="42" xfId="133" applyNumberFormat="1" applyFont="1" applyBorder="1" applyAlignment="1">
      <alignment vertical="center"/>
    </xf>
    <xf numFmtId="0" fontId="1" fillId="0" borderId="3" xfId="0" applyFont="1" applyBorder="1" applyAlignment="1">
      <alignment horizontal="center" vertical="center"/>
    </xf>
    <xf numFmtId="0" fontId="1" fillId="0" borderId="14" xfId="0" applyFont="1" applyBorder="1" applyAlignment="1">
      <alignment horizontal="center" vertical="center"/>
    </xf>
    <xf numFmtId="0" fontId="1" fillId="0" borderId="3" xfId="0" applyFont="1" applyBorder="1" applyAlignment="1">
      <alignment horizontal="right"/>
    </xf>
    <xf numFmtId="0" fontId="1" fillId="0" borderId="0" xfId="0" quotePrefix="1" applyFont="1"/>
    <xf numFmtId="3" fontId="1" fillId="0" borderId="42" xfId="8" applyNumberFormat="1" applyFont="1" applyBorder="1" applyAlignment="1">
      <alignment horizontal="center" vertical="center"/>
    </xf>
    <xf numFmtId="0" fontId="1" fillId="0" borderId="42" xfId="3" applyFont="1" applyBorder="1" applyAlignment="1">
      <alignment horizontal="left" vertical="center" wrapText="1"/>
    </xf>
    <xf numFmtId="0" fontId="1" fillId="0" borderId="42" xfId="3" applyFont="1" applyBorder="1" applyAlignment="1">
      <alignment horizontal="center" vertical="distributed"/>
    </xf>
    <xf numFmtId="3" fontId="1" fillId="0" borderId="42" xfId="8" applyNumberFormat="1" applyFont="1" applyBorder="1" applyAlignment="1">
      <alignment horizontal="center" vertical="distributed"/>
    </xf>
    <xf numFmtId="0" fontId="1" fillId="0" borderId="42" xfId="3" applyFont="1" applyBorder="1" applyAlignment="1">
      <alignment vertical="center" wrapText="1"/>
    </xf>
    <xf numFmtId="176" fontId="1" fillId="0" borderId="42" xfId="133" applyFont="1" applyBorder="1" applyAlignment="1">
      <alignment horizontal="center" vertical="center"/>
    </xf>
    <xf numFmtId="176" fontId="1" fillId="0" borderId="42" xfId="133" applyFont="1" applyBorder="1" applyAlignment="1">
      <alignment vertical="center" wrapText="1"/>
    </xf>
    <xf numFmtId="175" fontId="1" fillId="0" borderId="42" xfId="133" applyNumberFormat="1" applyFont="1" applyBorder="1" applyAlignment="1">
      <alignment horizontal="center" vertical="center"/>
    </xf>
    <xf numFmtId="0" fontId="1" fillId="0" borderId="42" xfId="7" applyFont="1" applyBorder="1" applyAlignment="1">
      <alignment horizontal="center" vertical="center"/>
    </xf>
    <xf numFmtId="189" fontId="1" fillId="0" borderId="42" xfId="7" applyNumberFormat="1" applyFont="1" applyBorder="1" applyAlignment="1">
      <alignment horizontal="center" vertical="center"/>
    </xf>
    <xf numFmtId="0" fontId="1" fillId="0" borderId="42" xfId="7" applyFont="1" applyBorder="1" applyAlignment="1">
      <alignment horizontal="left" vertical="center" wrapText="1"/>
    </xf>
    <xf numFmtId="175" fontId="1" fillId="0" borderId="42" xfId="7" applyNumberFormat="1" applyFont="1" applyBorder="1" applyAlignment="1">
      <alignment horizontal="center" vertical="center"/>
    </xf>
    <xf numFmtId="0" fontId="1" fillId="0" borderId="42" xfId="0" applyFont="1" applyBorder="1"/>
    <xf numFmtId="0" fontId="1" fillId="0" borderId="42" xfId="262" applyFont="1" applyBorder="1" applyAlignment="1">
      <alignment vertical="center"/>
    </xf>
    <xf numFmtId="0" fontId="1" fillId="0" borderId="42" xfId="0" applyFont="1" applyBorder="1" applyAlignment="1">
      <alignment vertical="center"/>
    </xf>
    <xf numFmtId="0" fontId="1" fillId="0" borderId="42" xfId="0" applyFont="1" applyBorder="1" applyAlignment="1">
      <alignment horizontal="right" vertical="center"/>
    </xf>
    <xf numFmtId="175" fontId="1" fillId="0" borderId="42" xfId="9" applyNumberFormat="1" applyFont="1" applyFill="1" applyBorder="1" applyAlignment="1" applyProtection="1">
      <alignment horizontal="center" vertical="distributed"/>
    </xf>
    <xf numFmtId="191" fontId="1" fillId="0" borderId="42" xfId="9" applyNumberFormat="1" applyFont="1" applyFill="1" applyBorder="1" applyAlignment="1" applyProtection="1">
      <alignment horizontal="center" vertical="distributed"/>
    </xf>
    <xf numFmtId="173" fontId="1" fillId="0" borderId="42" xfId="6" applyFont="1" applyBorder="1" applyAlignment="1">
      <alignment vertical="center" wrapText="1"/>
    </xf>
    <xf numFmtId="0" fontId="1" fillId="0" borderId="42" xfId="261" applyFont="1" applyBorder="1" applyAlignment="1">
      <alignment horizontal="center" vertical="center"/>
    </xf>
    <xf numFmtId="0" fontId="1" fillId="0" borderId="42" xfId="260" applyFont="1" applyBorder="1" applyAlignment="1">
      <alignment vertical="center"/>
    </xf>
    <xf numFmtId="0" fontId="1" fillId="0" borderId="42" xfId="3" applyFont="1" applyBorder="1" applyAlignment="1">
      <alignment horizontal="left" vertical="center"/>
    </xf>
    <xf numFmtId="3" fontId="1" fillId="0" borderId="0" xfId="8" applyNumberFormat="1" applyFont="1" applyAlignment="1">
      <alignment horizontal="center" vertical="distributed"/>
    </xf>
    <xf numFmtId="0" fontId="1" fillId="0" borderId="48" xfId="3" applyFont="1" applyBorder="1" applyAlignment="1">
      <alignment horizontal="left" vertical="center"/>
    </xf>
    <xf numFmtId="0" fontId="68" fillId="0" borderId="48" xfId="3" applyFont="1" applyBorder="1" applyAlignment="1">
      <alignment horizontal="left" vertical="center"/>
    </xf>
    <xf numFmtId="173" fontId="1" fillId="0" borderId="48" xfId="10" applyFont="1" applyBorder="1" applyAlignment="1">
      <alignment vertical="center" wrapText="1"/>
    </xf>
    <xf numFmtId="2" fontId="1" fillId="0" borderId="42" xfId="48" applyNumberFormat="1" applyFont="1" applyBorder="1" applyAlignment="1">
      <alignment horizontal="center" vertical="center"/>
    </xf>
    <xf numFmtId="3" fontId="1" fillId="0" borderId="48" xfId="8" applyNumberFormat="1" applyFont="1" applyBorder="1" applyAlignment="1">
      <alignment horizontal="center" vertical="distributed"/>
    </xf>
    <xf numFmtId="0" fontId="1" fillId="0" borderId="42" xfId="1" applyFont="1" applyBorder="1" applyAlignment="1">
      <alignment vertical="center"/>
    </xf>
    <xf numFmtId="0" fontId="1" fillId="0" borderId="42" xfId="1" applyFont="1" applyBorder="1" applyAlignment="1">
      <alignment horizontal="center" vertical="distributed"/>
    </xf>
    <xf numFmtId="1" fontId="1" fillId="0" borderId="42" xfId="3" applyNumberFormat="1" applyFont="1" applyBorder="1" applyAlignment="1">
      <alignment horizontal="center" vertical="distributed"/>
    </xf>
    <xf numFmtId="0" fontId="1" fillId="0" borderId="42" xfId="7" applyFont="1" applyBorder="1" applyAlignment="1">
      <alignment horizontal="left" vertical="center"/>
    </xf>
    <xf numFmtId="189" fontId="1" fillId="0" borderId="42" xfId="7" applyNumberFormat="1" applyFont="1" applyBorder="1" applyAlignment="1">
      <alignment horizontal="left" vertical="center"/>
    </xf>
    <xf numFmtId="0" fontId="1" fillId="0" borderId="42" xfId="1" applyFont="1" applyBorder="1" applyAlignment="1">
      <alignment vertical="center" wrapText="1"/>
    </xf>
    <xf numFmtId="175" fontId="1" fillId="0" borderId="42" xfId="1" applyNumberFormat="1" applyFont="1" applyBorder="1" applyAlignment="1">
      <alignment horizontal="center" vertical="distributed"/>
    </xf>
    <xf numFmtId="0" fontId="1" fillId="14" borderId="0" xfId="0" applyFont="1" applyFill="1"/>
    <xf numFmtId="0" fontId="1" fillId="0" borderId="42" xfId="1" applyFont="1" applyBorder="1" applyAlignment="1">
      <alignment horizontal="center" vertical="center"/>
    </xf>
    <xf numFmtId="175" fontId="1" fillId="0" borderId="42" xfId="1" applyNumberFormat="1" applyFont="1" applyBorder="1" applyAlignment="1">
      <alignment horizontal="center" vertical="center"/>
    </xf>
    <xf numFmtId="0" fontId="1" fillId="14" borderId="0" xfId="0" applyFont="1" applyFill="1" applyAlignment="1">
      <alignment vertical="center"/>
    </xf>
    <xf numFmtId="0" fontId="1" fillId="14" borderId="0" xfId="0" quotePrefix="1" applyFont="1" applyFill="1"/>
    <xf numFmtId="0" fontId="68" fillId="0" borderId="48" xfId="1" applyFont="1" applyBorder="1" applyAlignment="1">
      <alignment horizontal="left" vertical="center"/>
    </xf>
    <xf numFmtId="0" fontId="1" fillId="0" borderId="48" xfId="0" applyFont="1" applyBorder="1"/>
    <xf numFmtId="0" fontId="1" fillId="0" borderId="48" xfId="7" applyFont="1" applyBorder="1" applyAlignment="1">
      <alignment horizontal="center" vertical="center"/>
    </xf>
    <xf numFmtId="0" fontId="1" fillId="0" borderId="48" xfId="0" applyFont="1" applyBorder="1" applyAlignment="1">
      <alignment vertical="center"/>
    </xf>
    <xf numFmtId="173" fontId="68" fillId="0" borderId="48" xfId="10" applyFont="1" applyBorder="1" applyAlignment="1">
      <alignment vertical="center" wrapText="1"/>
    </xf>
    <xf numFmtId="3" fontId="68" fillId="0" borderId="48" xfId="8" applyNumberFormat="1" applyFont="1" applyBorder="1" applyAlignment="1">
      <alignment horizontal="center" vertical="distributed"/>
    </xf>
    <xf numFmtId="2" fontId="1" fillId="0" borderId="42" xfId="48" applyNumberFormat="1" applyFont="1" applyBorder="1" applyAlignment="1">
      <alignment horizontal="center" vertical="center" wrapText="1"/>
    </xf>
    <xf numFmtId="44" fontId="1" fillId="0" borderId="0" xfId="267" applyFont="1" applyBorder="1"/>
    <xf numFmtId="0" fontId="1" fillId="0" borderId="23" xfId="2" applyFont="1" applyBorder="1" applyAlignment="1">
      <alignment horizontal="center" vertical="center"/>
    </xf>
    <xf numFmtId="0" fontId="1" fillId="0" borderId="47" xfId="2" applyFont="1" applyBorder="1" applyAlignment="1">
      <alignment horizontal="center" vertical="distributed"/>
    </xf>
    <xf numFmtId="0" fontId="1" fillId="0" borderId="47" xfId="2" applyFont="1" applyBorder="1" applyAlignment="1">
      <alignment horizontal="center" vertical="center"/>
    </xf>
    <xf numFmtId="0" fontId="1" fillId="0" borderId="48" xfId="2" applyFont="1" applyBorder="1" applyAlignment="1">
      <alignment horizontal="center" vertical="distributed"/>
    </xf>
    <xf numFmtId="0" fontId="1" fillId="0" borderId="48" xfId="2" applyFont="1" applyBorder="1" applyAlignment="1">
      <alignment horizontal="left" vertical="top" wrapText="1"/>
    </xf>
    <xf numFmtId="0" fontId="1" fillId="0" borderId="23" xfId="3" applyFont="1" applyBorder="1" applyAlignment="1">
      <alignment horizontal="center" vertical="center"/>
    </xf>
    <xf numFmtId="0" fontId="1" fillId="0" borderId="48" xfId="8" applyFont="1" applyBorder="1" applyAlignment="1">
      <alignment horizontal="center" vertical="distributed"/>
    </xf>
    <xf numFmtId="0" fontId="65" fillId="0" borderId="48" xfId="3" applyFont="1" applyBorder="1" applyAlignment="1">
      <alignment horizontal="left" vertical="top" wrapText="1"/>
    </xf>
    <xf numFmtId="0" fontId="1" fillId="0" borderId="42" xfId="8" applyFont="1" applyBorder="1" applyAlignment="1">
      <alignment horizontal="center" vertical="distributed"/>
    </xf>
    <xf numFmtId="0" fontId="68" fillId="0" borderId="48" xfId="3" applyFont="1" applyBorder="1" applyAlignment="1">
      <alignment horizontal="center" vertical="distributed"/>
    </xf>
    <xf numFmtId="0" fontId="64" fillId="0" borderId="47" xfId="3" applyFont="1" applyBorder="1" applyAlignment="1">
      <alignment horizontal="center" vertical="center"/>
    </xf>
    <xf numFmtId="0" fontId="65" fillId="0" borderId="47" xfId="8" applyFont="1" applyBorder="1" applyAlignment="1">
      <alignment horizontal="center" vertical="center"/>
    </xf>
    <xf numFmtId="0" fontId="1" fillId="0" borderId="47" xfId="3" applyFont="1" applyBorder="1" applyAlignment="1">
      <alignment horizontal="left" vertical="top" wrapText="1"/>
    </xf>
    <xf numFmtId="44" fontId="1" fillId="0" borderId="0" xfId="267" applyFont="1" applyBorder="1" applyAlignment="1">
      <alignment horizontal="center" vertical="center"/>
    </xf>
    <xf numFmtId="0" fontId="68" fillId="0" borderId="48" xfId="2" applyFont="1" applyBorder="1" applyAlignment="1">
      <alignment horizontal="left" vertical="top" wrapText="1"/>
    </xf>
    <xf numFmtId="0" fontId="68" fillId="0" borderId="48" xfId="7" applyFont="1" applyBorder="1" applyAlignment="1">
      <alignment horizontal="left" vertical="top" wrapText="1"/>
    </xf>
    <xf numFmtId="0" fontId="1" fillId="0" borderId="3" xfId="7" applyFont="1" applyBorder="1" applyAlignment="1">
      <alignment horizontal="right"/>
    </xf>
    <xf numFmtId="0" fontId="1" fillId="0" borderId="23" xfId="8" applyFont="1" applyBorder="1" applyAlignment="1">
      <alignment horizontal="center" vertical="center"/>
    </xf>
    <xf numFmtId="0" fontId="75" fillId="0" borderId="47" xfId="3" applyFont="1" applyBorder="1" applyAlignment="1">
      <alignment horizontal="left" vertical="top" wrapText="1"/>
    </xf>
    <xf numFmtId="173" fontId="1" fillId="0" borderId="47" xfId="10" applyFont="1" applyBorder="1" applyAlignment="1">
      <alignment vertical="top"/>
    </xf>
    <xf numFmtId="173" fontId="1" fillId="0" borderId="47" xfId="10" applyFont="1" applyBorder="1" applyAlignment="1">
      <alignment vertical="top" wrapText="1"/>
    </xf>
    <xf numFmtId="0" fontId="64" fillId="0" borderId="42" xfId="3" applyFont="1" applyBorder="1" applyAlignment="1">
      <alignment horizontal="center" wrapText="1"/>
    </xf>
    <xf numFmtId="0" fontId="68" fillId="0" borderId="47" xfId="3" applyFont="1" applyBorder="1" applyAlignment="1">
      <alignment horizontal="left" vertical="center" wrapText="1"/>
    </xf>
    <xf numFmtId="0" fontId="1" fillId="0" borderId="48" xfId="3" applyFont="1" applyBorder="1" applyAlignment="1">
      <alignment horizontal="center"/>
    </xf>
    <xf numFmtId="0" fontId="1" fillId="0" borderId="48" xfId="8" applyFont="1" applyBorder="1" applyAlignment="1">
      <alignment horizontal="center"/>
    </xf>
    <xf numFmtId="1" fontId="1" fillId="0" borderId="42" xfId="48" applyNumberFormat="1" applyFont="1" applyBorder="1" applyAlignment="1">
      <alignment horizontal="center" vertical="center"/>
    </xf>
    <xf numFmtId="173" fontId="1" fillId="0" borderId="0" xfId="10" applyFont="1" applyAlignment="1">
      <alignment vertical="top" wrapText="1"/>
    </xf>
    <xf numFmtId="0" fontId="1" fillId="0" borderId="0" xfId="3" applyFont="1" applyAlignment="1">
      <alignment horizontal="left" vertical="top" wrapText="1"/>
    </xf>
    <xf numFmtId="0" fontId="68" fillId="0" borderId="42" xfId="7" applyFont="1" applyBorder="1" applyAlignment="1">
      <alignment vertical="top" wrapText="1"/>
    </xf>
    <xf numFmtId="2" fontId="1" fillId="0" borderId="48" xfId="48" applyNumberFormat="1" applyFont="1" applyBorder="1" applyAlignment="1">
      <alignment horizontal="center" vertical="center"/>
    </xf>
    <xf numFmtId="1" fontId="1" fillId="0" borderId="48" xfId="48" applyNumberFormat="1" applyFont="1" applyBorder="1" applyAlignment="1">
      <alignment horizontal="center" vertical="center"/>
    </xf>
    <xf numFmtId="0" fontId="1" fillId="0" borderId="47" xfId="3" applyFont="1" applyBorder="1" applyAlignment="1">
      <alignment horizontal="left" vertical="center" wrapText="1"/>
    </xf>
    <xf numFmtId="0" fontId="1" fillId="0" borderId="42" xfId="48" applyFont="1" applyBorder="1" applyAlignment="1">
      <alignment horizontal="center" vertical="center"/>
    </xf>
    <xf numFmtId="0" fontId="1" fillId="0" borderId="42" xfId="215" applyFont="1" applyBorder="1" applyAlignment="1">
      <alignment horizontal="center" vertical="center" wrapText="1"/>
    </xf>
    <xf numFmtId="0" fontId="65" fillId="0" borderId="58" xfId="7" applyFont="1" applyBorder="1" applyAlignment="1">
      <alignment horizontal="center" vertical="top" wrapText="1"/>
    </xf>
    <xf numFmtId="0" fontId="68" fillId="0" borderId="48" xfId="8" applyFont="1" applyBorder="1" applyAlignment="1">
      <alignment horizontal="center" vertical="center"/>
    </xf>
    <xf numFmtId="0" fontId="1" fillId="0" borderId="47" xfId="8" applyFont="1" applyBorder="1" applyAlignment="1">
      <alignment vertical="top" wrapText="1"/>
    </xf>
    <xf numFmtId="189" fontId="1" fillId="0" borderId="48" xfId="7" applyNumberFormat="1" applyFont="1" applyBorder="1" applyAlignment="1">
      <alignment horizontal="center" vertical="center"/>
    </xf>
    <xf numFmtId="0" fontId="4" fillId="0" borderId="42" xfId="3" applyBorder="1" applyAlignment="1">
      <alignment horizontal="center" vertical="top" wrapText="1"/>
    </xf>
    <xf numFmtId="0" fontId="4" fillId="0" borderId="48" xfId="3" applyBorder="1" applyAlignment="1">
      <alignment horizontal="center" vertical="top"/>
    </xf>
    <xf numFmtId="0" fontId="4" fillId="0" borderId="48" xfId="3" applyBorder="1" applyAlignment="1">
      <alignment vertical="top"/>
    </xf>
    <xf numFmtId="0" fontId="4" fillId="0" borderId="23" xfId="3" applyBorder="1" applyAlignment="1">
      <alignment horizontal="center" vertical="top" wrapText="1"/>
    </xf>
    <xf numFmtId="0" fontId="4" fillId="0" borderId="42" xfId="3" applyBorder="1" applyAlignment="1">
      <alignment horizontal="left" vertical="center" wrapText="1"/>
    </xf>
    <xf numFmtId="39" fontId="4" fillId="0" borderId="42" xfId="3" applyNumberFormat="1" applyBorder="1" applyAlignment="1">
      <alignment horizontal="center" vertical="distributed"/>
    </xf>
    <xf numFmtId="169" fontId="4" fillId="0" borderId="42" xfId="3" applyNumberFormat="1" applyBorder="1" applyAlignment="1">
      <alignment horizontal="center" vertical="distributed"/>
    </xf>
    <xf numFmtId="0" fontId="4" fillId="0" borderId="47" xfId="3" applyBorder="1" applyAlignment="1">
      <alignment horizontal="left" vertical="top" wrapText="1"/>
    </xf>
    <xf numFmtId="0" fontId="4" fillId="0" borderId="47" xfId="3" applyBorder="1" applyAlignment="1">
      <alignment horizontal="center" vertical="distributed"/>
    </xf>
    <xf numFmtId="39" fontId="4" fillId="0" borderId="47" xfId="3" applyNumberFormat="1" applyBorder="1" applyAlignment="1">
      <alignment horizontal="center" vertical="distributed"/>
    </xf>
    <xf numFmtId="169" fontId="4" fillId="0" borderId="48" xfId="3" applyNumberFormat="1" applyBorder="1" applyAlignment="1">
      <alignment horizontal="center" vertical="distributed"/>
    </xf>
    <xf numFmtId="0" fontId="4" fillId="0" borderId="47" xfId="3" applyBorder="1" applyAlignment="1">
      <alignment vertical="top" wrapText="1"/>
    </xf>
    <xf numFmtId="39" fontId="4" fillId="0" borderId="48" xfId="3" applyNumberFormat="1" applyBorder="1" applyAlignment="1">
      <alignment horizontal="center" vertical="distributed"/>
    </xf>
    <xf numFmtId="0" fontId="4" fillId="0" borderId="48" xfId="8" applyBorder="1" applyAlignment="1">
      <alignment horizontal="center" vertical="distributed"/>
    </xf>
    <xf numFmtId="0" fontId="4" fillId="0" borderId="47" xfId="3" applyBorder="1" applyAlignment="1">
      <alignment vertical="center" wrapText="1"/>
    </xf>
    <xf numFmtId="3" fontId="4" fillId="0" borderId="47" xfId="3" applyNumberFormat="1" applyBorder="1" applyAlignment="1">
      <alignment horizontal="center" vertical="distributed"/>
    </xf>
    <xf numFmtId="0" fontId="4" fillId="0" borderId="48" xfId="7" applyBorder="1" applyAlignment="1">
      <alignment horizontal="center" vertical="center"/>
    </xf>
    <xf numFmtId="189" fontId="4" fillId="0" borderId="42" xfId="7" applyNumberFormat="1" applyBorder="1" applyAlignment="1">
      <alignment horizontal="center" vertical="center"/>
    </xf>
    <xf numFmtId="188" fontId="4" fillId="0" borderId="42" xfId="7" applyNumberFormat="1" applyBorder="1" applyAlignment="1">
      <alignment horizontal="center" vertical="center"/>
    </xf>
    <xf numFmtId="188" fontId="6" fillId="0" borderId="42" xfId="7" applyNumberFormat="1" applyFont="1" applyBorder="1" applyAlignment="1">
      <alignment horizontal="right" vertical="center"/>
    </xf>
    <xf numFmtId="0" fontId="4" fillId="0" borderId="47" xfId="7" applyBorder="1" applyAlignment="1">
      <alignment vertical="top" wrapText="1"/>
    </xf>
    <xf numFmtId="0" fontId="4" fillId="0" borderId="47" xfId="7" applyBorder="1" applyAlignment="1">
      <alignment horizontal="center" vertical="top"/>
    </xf>
    <xf numFmtId="0" fontId="3" fillId="0" borderId="47" xfId="3" applyFont="1" applyBorder="1" applyAlignment="1">
      <alignment horizontal="left" vertical="center" wrapText="1"/>
    </xf>
    <xf numFmtId="0" fontId="9" fillId="0" borderId="47" xfId="3" applyFont="1" applyBorder="1" applyAlignment="1">
      <alignment vertical="top" wrapText="1"/>
    </xf>
    <xf numFmtId="0" fontId="9" fillId="0" borderId="47" xfId="3" applyFont="1" applyBorder="1" applyAlignment="1">
      <alignment horizontal="center" vertical="distributed"/>
    </xf>
    <xf numFmtId="39" fontId="9" fillId="0" borderId="47" xfId="3" applyNumberFormat="1" applyFont="1" applyBorder="1" applyAlignment="1">
      <alignment horizontal="center" vertical="distributed"/>
    </xf>
    <xf numFmtId="39" fontId="9" fillId="0" borderId="48" xfId="3" applyNumberFormat="1" applyFont="1" applyBorder="1" applyAlignment="1">
      <alignment horizontal="center" vertical="distributed"/>
    </xf>
    <xf numFmtId="0" fontId="4" fillId="0" borderId="48" xfId="3" applyBorder="1" applyAlignment="1">
      <alignment horizontal="center" vertical="distributed"/>
    </xf>
    <xf numFmtId="176" fontId="9" fillId="13" borderId="42" xfId="133" applyFont="1" applyFill="1" applyBorder="1" applyAlignment="1">
      <alignment horizontal="left" wrapText="1"/>
    </xf>
    <xf numFmtId="0" fontId="9" fillId="0" borderId="48" xfId="3" applyFont="1" applyBorder="1" applyAlignment="1">
      <alignment horizontal="center" vertical="distributed"/>
    </xf>
    <xf numFmtId="0" fontId="9" fillId="0" borderId="42" xfId="3" applyFont="1" applyBorder="1" applyAlignment="1">
      <alignment horizontal="center" vertical="distributed"/>
    </xf>
    <xf numFmtId="0" fontId="60" fillId="0" borderId="42" xfId="3" applyFont="1" applyBorder="1" applyAlignment="1">
      <alignment horizontal="center" vertical="distributed"/>
    </xf>
    <xf numFmtId="0" fontId="60" fillId="0" borderId="48" xfId="3" applyFont="1" applyBorder="1" applyAlignment="1">
      <alignment horizontal="center" vertical="distributed"/>
    </xf>
    <xf numFmtId="39" fontId="60" fillId="0" borderId="47" xfId="3" applyNumberFormat="1" applyFont="1" applyBorder="1" applyAlignment="1">
      <alignment horizontal="center" vertical="distributed"/>
    </xf>
    <xf numFmtId="39" fontId="60" fillId="0" borderId="48" xfId="3" applyNumberFormat="1" applyFont="1" applyBorder="1" applyAlignment="1">
      <alignment horizontal="center" vertical="distributed"/>
    </xf>
    <xf numFmtId="0" fontId="41" fillId="0" borderId="42" xfId="0" applyFont="1" applyBorder="1"/>
    <xf numFmtId="0" fontId="41" fillId="0" borderId="48" xfId="0" applyFont="1" applyBorder="1"/>
    <xf numFmtId="0" fontId="4" fillId="0" borderId="48" xfId="3" applyBorder="1" applyAlignment="1">
      <alignment horizontal="left" vertical="top" wrapText="1"/>
    </xf>
    <xf numFmtId="0" fontId="4" fillId="15" borderId="48" xfId="3" applyFill="1" applyBorder="1" applyAlignment="1">
      <alignment horizontal="left" vertical="top" wrapText="1"/>
    </xf>
    <xf numFmtId="0" fontId="4" fillId="15" borderId="42" xfId="3" applyFill="1" applyBorder="1" applyAlignment="1">
      <alignment horizontal="center" vertical="distributed"/>
    </xf>
    <xf numFmtId="0" fontId="4" fillId="15" borderId="48" xfId="3" applyFill="1" applyBorder="1" applyAlignment="1">
      <alignment horizontal="center" vertical="distributed"/>
    </xf>
    <xf numFmtId="39" fontId="4" fillId="15" borderId="47" xfId="3" applyNumberFormat="1" applyFill="1" applyBorder="1" applyAlignment="1">
      <alignment horizontal="center" vertical="distributed"/>
    </xf>
    <xf numFmtId="39" fontId="4" fillId="15" borderId="48" xfId="3" applyNumberFormat="1" applyFill="1" applyBorder="1" applyAlignment="1">
      <alignment horizontal="center" vertical="distributed"/>
    </xf>
    <xf numFmtId="0" fontId="60" fillId="0" borderId="47" xfId="3" applyFont="1" applyBorder="1" applyAlignment="1">
      <alignment horizontal="center" vertical="distributed"/>
    </xf>
    <xf numFmtId="188" fontId="4" fillId="0" borderId="48" xfId="7" applyNumberFormat="1" applyBorder="1" applyAlignment="1">
      <alignment horizontal="center" vertical="center"/>
    </xf>
    <xf numFmtId="0" fontId="60" fillId="0" borderId="48" xfId="3" applyFont="1" applyBorder="1" applyAlignment="1">
      <alignment horizontal="left" vertical="top" wrapText="1"/>
    </xf>
    <xf numFmtId="0" fontId="9" fillId="0" borderId="48" xfId="3" applyFont="1" applyBorder="1" applyAlignment="1">
      <alignment horizontal="left" vertical="top" wrapText="1"/>
    </xf>
    <xf numFmtId="0" fontId="59" fillId="0" borderId="48" xfId="3" applyFont="1" applyBorder="1" applyAlignment="1">
      <alignment horizontal="left" vertical="top" wrapText="1"/>
    </xf>
    <xf numFmtId="0" fontId="59" fillId="0" borderId="42" xfId="3" applyFont="1" applyBorder="1" applyAlignment="1">
      <alignment horizontal="center" vertical="distributed"/>
    </xf>
    <xf numFmtId="0" fontId="59" fillId="0" borderId="48" xfId="3" applyFont="1" applyBorder="1" applyAlignment="1">
      <alignment horizontal="center" vertical="distributed"/>
    </xf>
    <xf numFmtId="39" fontId="59" fillId="0" borderId="47" xfId="3" applyNumberFormat="1" applyFont="1" applyBorder="1" applyAlignment="1">
      <alignment horizontal="center" vertical="distributed"/>
    </xf>
    <xf numFmtId="39" fontId="59" fillId="0" borderId="48" xfId="3" applyNumberFormat="1" applyFont="1" applyBorder="1" applyAlignment="1">
      <alignment horizontal="center" vertical="distributed"/>
    </xf>
    <xf numFmtId="0" fontId="4" fillId="0" borderId="48" xfId="3" applyBorder="1" applyAlignment="1">
      <alignment horizontal="center" vertical="top" wrapText="1"/>
    </xf>
    <xf numFmtId="0" fontId="3" fillId="0" borderId="48" xfId="3" applyFont="1" applyBorder="1" applyAlignment="1">
      <alignment horizontal="left" vertical="center" wrapText="1"/>
    </xf>
    <xf numFmtId="0" fontId="4" fillId="0" borderId="48" xfId="3" applyBorder="1" applyAlignment="1">
      <alignment vertical="top" wrapText="1"/>
    </xf>
    <xf numFmtId="0" fontId="4" fillId="0" borderId="48" xfId="3" applyBorder="1" applyAlignment="1">
      <alignment horizontal="left" vertical="center" wrapText="1"/>
    </xf>
    <xf numFmtId="0" fontId="4" fillId="0" borderId="48" xfId="7" applyBorder="1" applyAlignment="1">
      <alignment horizontal="center" vertical="top" wrapText="1"/>
    </xf>
    <xf numFmtId="0" fontId="3" fillId="0" borderId="47" xfId="7" applyFont="1" applyBorder="1" applyAlignment="1">
      <alignment horizontal="left" vertical="center" wrapText="1"/>
    </xf>
    <xf numFmtId="0" fontId="4" fillId="0" borderId="47" xfId="7" applyBorder="1" applyAlignment="1">
      <alignment horizontal="left" vertical="top" wrapText="1"/>
    </xf>
    <xf numFmtId="0" fontId="65" fillId="0" borderId="48" xfId="2" applyFont="1" applyBorder="1" applyAlignment="1">
      <alignment horizontal="center" vertical="distributed"/>
    </xf>
    <xf numFmtId="3" fontId="1" fillId="0" borderId="48" xfId="8" applyNumberFormat="1" applyFont="1" applyBorder="1" applyAlignment="1">
      <alignment horizontal="center" vertical="center"/>
    </xf>
    <xf numFmtId="0" fontId="1" fillId="0" borderId="47" xfId="2" applyFont="1" applyBorder="1" applyAlignment="1">
      <alignment horizontal="left" vertical="top" wrapText="1"/>
    </xf>
    <xf numFmtId="0" fontId="65" fillId="0" borderId="47" xfId="2" applyFont="1" applyBorder="1" applyAlignment="1">
      <alignment horizontal="left" vertical="top" wrapText="1"/>
    </xf>
    <xf numFmtId="0" fontId="64" fillId="0" borderId="47" xfId="7" applyFont="1" applyBorder="1" applyAlignment="1">
      <alignment horizontal="left" vertical="top" wrapText="1"/>
    </xf>
    <xf numFmtId="0" fontId="64" fillId="0" borderId="47" xfId="3" applyFont="1" applyBorder="1" applyAlignment="1">
      <alignment horizontal="left" vertical="top" wrapText="1"/>
    </xf>
    <xf numFmtId="173" fontId="65" fillId="0" borderId="42" xfId="10" applyFont="1" applyBorder="1" applyAlignment="1">
      <alignment horizontal="center" vertical="distributed"/>
    </xf>
    <xf numFmtId="173" fontId="65" fillId="0" borderId="47" xfId="10" applyFont="1" applyBorder="1" applyAlignment="1">
      <alignment vertical="top"/>
    </xf>
    <xf numFmtId="0" fontId="65" fillId="0" borderId="47" xfId="3" applyFont="1" applyBorder="1" applyAlignment="1">
      <alignment horizontal="center" vertical="top"/>
    </xf>
    <xf numFmtId="0" fontId="65" fillId="0" borderId="47" xfId="8" applyFont="1" applyBorder="1" applyAlignment="1">
      <alignment vertical="top" wrapText="1"/>
    </xf>
    <xf numFmtId="0" fontId="65" fillId="0" borderId="23" xfId="8" applyFont="1" applyBorder="1" applyAlignment="1">
      <alignment horizontal="center" vertical="top"/>
    </xf>
    <xf numFmtId="0" fontId="65" fillId="0" borderId="47" xfId="8" applyFont="1" applyBorder="1" applyAlignment="1">
      <alignment horizontal="center" vertical="top"/>
    </xf>
    <xf numFmtId="1" fontId="65" fillId="0" borderId="48" xfId="8" applyNumberFormat="1" applyFont="1" applyBorder="1" applyAlignment="1">
      <alignment horizontal="center" vertical="distributed"/>
    </xf>
    <xf numFmtId="173" fontId="65" fillId="0" borderId="48" xfId="10" applyFont="1" applyBorder="1" applyAlignment="1">
      <alignment horizontal="center" vertical="distributed"/>
    </xf>
    <xf numFmtId="0" fontId="64" fillId="0" borderId="48" xfId="2" applyFont="1" applyBorder="1" applyAlignment="1">
      <alignment horizontal="center" vertical="top" wrapText="1"/>
    </xf>
    <xf numFmtId="0" fontId="65" fillId="0" borderId="47" xfId="2" applyFont="1" applyBorder="1" applyAlignment="1">
      <alignment horizontal="center" vertical="top"/>
    </xf>
    <xf numFmtId="0" fontId="64" fillId="0" borderId="47" xfId="2" applyFont="1" applyBorder="1" applyAlignment="1">
      <alignment horizontal="center" vertical="top" wrapText="1"/>
    </xf>
    <xf numFmtId="3" fontId="65" fillId="0" borderId="48" xfId="8" applyNumberFormat="1" applyFont="1" applyBorder="1" applyAlignment="1">
      <alignment horizontal="center" vertical="distributed"/>
    </xf>
    <xf numFmtId="174" fontId="65" fillId="0" borderId="48" xfId="8" applyNumberFormat="1" applyFont="1" applyBorder="1" applyAlignment="1">
      <alignment horizontal="center" vertical="distributed"/>
    </xf>
    <xf numFmtId="173" fontId="68" fillId="0" borderId="48" xfId="6" applyFont="1" applyBorder="1" applyAlignment="1">
      <alignment vertical="center" wrapText="1"/>
    </xf>
    <xf numFmtId="173" fontId="1" fillId="0" borderId="48" xfId="6" applyFont="1" applyBorder="1" applyAlignment="1">
      <alignment vertical="center" wrapText="1"/>
    </xf>
    <xf numFmtId="175" fontId="1" fillId="0" borderId="48" xfId="9" applyNumberFormat="1" applyFont="1" applyFill="1" applyBorder="1" applyAlignment="1" applyProtection="1">
      <alignment horizontal="center" vertical="distributed"/>
    </xf>
    <xf numFmtId="0" fontId="64" fillId="0" borderId="48" xfId="3" applyFont="1" applyBorder="1" applyAlignment="1">
      <alignment horizontal="left" vertical="top" wrapText="1"/>
    </xf>
    <xf numFmtId="0" fontId="65" fillId="0" borderId="48" xfId="7" applyFont="1" applyBorder="1" applyAlignment="1">
      <alignment horizontal="left" wrapText="1"/>
    </xf>
    <xf numFmtId="175" fontId="65" fillId="0" borderId="48" xfId="7" applyNumberFormat="1" applyFont="1" applyBorder="1" applyAlignment="1">
      <alignment horizontal="center" vertical="center"/>
    </xf>
    <xf numFmtId="0" fontId="64" fillId="0" borderId="48" xfId="2" applyFont="1" applyBorder="1" applyAlignment="1">
      <alignment horizontal="center" vertical="distributed"/>
    </xf>
    <xf numFmtId="0" fontId="65" fillId="0" borderId="48" xfId="2" applyFont="1" applyBorder="1" applyAlignment="1">
      <alignment horizontal="left" vertical="top" wrapText="1"/>
    </xf>
    <xf numFmtId="0" fontId="64" fillId="0" borderId="48" xfId="7" applyFont="1" applyBorder="1" applyAlignment="1">
      <alignment horizontal="left"/>
    </xf>
    <xf numFmtId="0" fontId="65" fillId="0" borderId="47" xfId="2" applyFont="1" applyBorder="1" applyAlignment="1">
      <alignment horizontal="center" vertical="top" wrapText="1"/>
    </xf>
    <xf numFmtId="0" fontId="64" fillId="0" borderId="48" xfId="2" applyFont="1" applyBorder="1" applyAlignment="1">
      <alignment horizontal="left" vertical="center" wrapText="1"/>
    </xf>
    <xf numFmtId="0" fontId="69" fillId="0" borderId="48" xfId="8" applyFont="1" applyBorder="1" applyAlignment="1">
      <alignment horizontal="center" vertical="distributed"/>
    </xf>
    <xf numFmtId="173" fontId="64" fillId="0" borderId="48" xfId="6" applyFont="1" applyBorder="1" applyAlignment="1">
      <alignment vertical="center" wrapText="1"/>
    </xf>
    <xf numFmtId="173" fontId="65" fillId="0" borderId="48" xfId="6" applyFont="1" applyBorder="1" applyAlignment="1">
      <alignment vertical="center" wrapText="1"/>
    </xf>
    <xf numFmtId="0" fontId="64" fillId="0" borderId="48" xfId="3" applyFont="1" applyBorder="1" applyAlignment="1">
      <alignment horizontal="center" vertical="distributed"/>
    </xf>
    <xf numFmtId="0" fontId="64" fillId="0" borderId="47" xfId="3" applyFont="1" applyBorder="1" applyAlignment="1">
      <alignment horizontal="left" vertical="center" wrapText="1"/>
    </xf>
    <xf numFmtId="0" fontId="65" fillId="0" borderId="47" xfId="3" applyFont="1" applyBorder="1" applyAlignment="1">
      <alignment vertical="center" wrapText="1"/>
    </xf>
    <xf numFmtId="0" fontId="65" fillId="0" borderId="47" xfId="3" applyFont="1" applyBorder="1" applyAlignment="1">
      <alignment horizontal="left" vertical="center" wrapText="1"/>
    </xf>
    <xf numFmtId="0" fontId="65" fillId="0" borderId="48" xfId="8" applyFont="1" applyBorder="1" applyAlignment="1">
      <alignment horizontal="center" vertical="center"/>
    </xf>
    <xf numFmtId="0" fontId="64" fillId="0" borderId="47" xfId="3" applyFont="1" applyBorder="1" applyAlignment="1">
      <alignment vertical="center" wrapText="1"/>
    </xf>
    <xf numFmtId="0" fontId="1" fillId="0" borderId="48" xfId="3" applyFont="1" applyBorder="1" applyAlignment="1">
      <alignment vertical="center" wrapText="1"/>
    </xf>
    <xf numFmtId="0" fontId="1" fillId="0" borderId="42" xfId="0" applyFont="1" applyBorder="1" applyAlignment="1">
      <alignment vertical="center" wrapText="1"/>
    </xf>
    <xf numFmtId="0" fontId="1" fillId="0" borderId="47" xfId="3" applyFont="1" applyBorder="1" applyAlignment="1">
      <alignment horizontal="center" vertical="center"/>
    </xf>
    <xf numFmtId="0" fontId="1" fillId="0" borderId="47" xfId="3" applyFont="1" applyBorder="1" applyAlignment="1">
      <alignment vertical="center" wrapText="1"/>
    </xf>
    <xf numFmtId="3" fontId="65" fillId="0" borderId="47" xfId="3" applyNumberFormat="1" applyFont="1" applyBorder="1" applyAlignment="1">
      <alignment horizontal="center" vertical="center"/>
    </xf>
    <xf numFmtId="0" fontId="64" fillId="0" borderId="47" xfId="7" applyFont="1" applyBorder="1" applyAlignment="1">
      <alignment vertical="center" wrapText="1"/>
    </xf>
    <xf numFmtId="0" fontId="65" fillId="0" borderId="47" xfId="7" applyFont="1" applyBorder="1" applyAlignment="1">
      <alignment horizontal="center" vertical="center"/>
    </xf>
    <xf numFmtId="0" fontId="65" fillId="0" borderId="47" xfId="7" applyFont="1" applyBorder="1" applyAlignment="1">
      <alignment vertical="center" wrapText="1"/>
    </xf>
    <xf numFmtId="49" fontId="1" fillId="0" borderId="42" xfId="7" applyNumberFormat="1" applyFont="1" applyBorder="1" applyAlignment="1">
      <alignment horizontal="center" vertical="center"/>
    </xf>
    <xf numFmtId="173" fontId="1" fillId="0" borderId="42" xfId="10" applyFont="1" applyBorder="1" applyAlignment="1">
      <alignment vertical="center" wrapText="1"/>
    </xf>
    <xf numFmtId="44" fontId="1" fillId="0" borderId="0" xfId="267" applyFont="1" applyAlignment="1">
      <alignment vertical="center"/>
    </xf>
    <xf numFmtId="0" fontId="1" fillId="0" borderId="42" xfId="11" applyFont="1" applyBorder="1" applyAlignment="1">
      <alignment horizontal="center" vertical="center"/>
    </xf>
    <xf numFmtId="173" fontId="1" fillId="0" borderId="42" xfId="10" applyFont="1" applyBorder="1" applyAlignment="1">
      <alignment horizontal="center" vertical="center"/>
    </xf>
    <xf numFmtId="175" fontId="1" fillId="0" borderId="42" xfId="11" applyNumberFormat="1" applyFont="1" applyBorder="1" applyAlignment="1">
      <alignment horizontal="center" vertical="center"/>
    </xf>
    <xf numFmtId="173" fontId="1" fillId="0" borderId="42" xfId="10" applyFont="1" applyBorder="1" applyAlignment="1">
      <alignment horizontal="left" vertical="center" wrapText="1"/>
    </xf>
    <xf numFmtId="49" fontId="65" fillId="0" borderId="42" xfId="7" applyNumberFormat="1" applyFont="1" applyBorder="1" applyAlignment="1">
      <alignment horizontal="center" vertical="center" wrapText="1"/>
    </xf>
    <xf numFmtId="0" fontId="1" fillId="0" borderId="42" xfId="7" applyFont="1" applyBorder="1" applyAlignment="1">
      <alignment vertical="center"/>
    </xf>
    <xf numFmtId="175" fontId="1" fillId="0" borderId="48" xfId="7" applyNumberFormat="1" applyFont="1" applyBorder="1" applyAlignment="1">
      <alignment horizontal="center" vertical="center"/>
    </xf>
    <xf numFmtId="3" fontId="1" fillId="0" borderId="47" xfId="3" applyNumberFormat="1" applyFont="1" applyBorder="1" applyAlignment="1">
      <alignment horizontal="center" vertical="center"/>
    </xf>
    <xf numFmtId="175" fontId="1" fillId="0" borderId="42" xfId="9" applyNumberFormat="1" applyFont="1" applyFill="1" applyBorder="1" applyAlignment="1" applyProtection="1">
      <alignment horizontal="center" vertical="center"/>
    </xf>
    <xf numFmtId="176" fontId="65" fillId="0" borderId="48" xfId="133" applyFont="1" applyBorder="1" applyAlignment="1">
      <alignment horizontal="left" vertical="center" wrapText="1"/>
    </xf>
    <xf numFmtId="0" fontId="1" fillId="0" borderId="48" xfId="1" applyFont="1" applyBorder="1" applyAlignment="1">
      <alignment vertical="center" wrapText="1"/>
    </xf>
    <xf numFmtId="0" fontId="68" fillId="0" borderId="47" xfId="7" applyFont="1" applyBorder="1" applyAlignment="1">
      <alignment horizontal="left" vertical="center" wrapText="1"/>
    </xf>
    <xf numFmtId="0" fontId="1" fillId="0" borderId="47" xfId="7" applyFont="1" applyBorder="1" applyAlignment="1">
      <alignment vertical="center" wrapText="1"/>
    </xf>
    <xf numFmtId="0" fontId="1" fillId="0" borderId="47" xfId="7" applyFont="1" applyBorder="1" applyAlignment="1">
      <alignment horizontal="left" vertical="center" wrapText="1"/>
    </xf>
    <xf numFmtId="173" fontId="1" fillId="0" borderId="42" xfId="10" applyFont="1" applyBorder="1" applyAlignment="1">
      <alignment vertical="top" wrapText="1"/>
    </xf>
    <xf numFmtId="189" fontId="1" fillId="0" borderId="42" xfId="11" applyNumberFormat="1" applyFont="1" applyBorder="1" applyAlignment="1">
      <alignment horizontal="center" vertical="center"/>
    </xf>
    <xf numFmtId="173" fontId="68" fillId="0" borderId="42" xfId="10" applyFont="1" applyBorder="1" applyAlignment="1">
      <alignment vertical="top" wrapText="1"/>
    </xf>
    <xf numFmtId="191" fontId="1" fillId="0" borderId="42" xfId="11" applyNumberFormat="1" applyFont="1" applyBorder="1" applyAlignment="1">
      <alignment horizontal="center" vertical="center"/>
    </xf>
    <xf numFmtId="0" fontId="68" fillId="0" borderId="42" xfId="7" applyFont="1" applyBorder="1" applyAlignment="1">
      <alignment horizontal="left" vertical="top" wrapText="1"/>
    </xf>
    <xf numFmtId="0" fontId="1" fillId="0" borderId="42" xfId="7" applyFont="1" applyBorder="1"/>
    <xf numFmtId="0" fontId="68" fillId="0" borderId="42" xfId="7" applyFont="1" applyBorder="1" applyAlignment="1">
      <alignment vertical="center"/>
    </xf>
    <xf numFmtId="0" fontId="68" fillId="0" borderId="42" xfId="7" applyFont="1" applyBorder="1"/>
    <xf numFmtId="0" fontId="1" fillId="0" borderId="42" xfId="7" applyFont="1" applyBorder="1" applyAlignment="1">
      <alignment wrapText="1"/>
    </xf>
    <xf numFmtId="0" fontId="1" fillId="0" borderId="42" xfId="11" applyFont="1" applyBorder="1" applyAlignment="1">
      <alignment horizontal="center" vertical="top"/>
    </xf>
    <xf numFmtId="0" fontId="1" fillId="0" borderId="42" xfId="7" applyFont="1" applyBorder="1" applyAlignment="1">
      <alignment horizontal="left" vertical="top" wrapText="1"/>
    </xf>
    <xf numFmtId="0" fontId="68" fillId="0" borderId="42" xfId="7" applyFont="1" applyBorder="1" applyAlignment="1">
      <alignment wrapText="1"/>
    </xf>
    <xf numFmtId="0" fontId="1" fillId="0" borderId="42" xfId="11" applyFont="1" applyBorder="1" applyAlignment="1">
      <alignment vertical="top" wrapText="1"/>
    </xf>
    <xf numFmtId="49" fontId="1" fillId="0" borderId="42" xfId="7" applyNumberFormat="1" applyFont="1" applyBorder="1" applyAlignment="1">
      <alignment horizontal="center" vertical="center" wrapText="1"/>
    </xf>
    <xf numFmtId="0" fontId="1" fillId="0" borderId="42" xfId="7" applyFont="1" applyBorder="1" applyAlignment="1">
      <alignment horizontal="center" vertical="top"/>
    </xf>
    <xf numFmtId="0" fontId="1" fillId="0" borderId="42" xfId="7" applyFont="1" applyBorder="1" applyAlignment="1">
      <alignment vertical="top" wrapText="1"/>
    </xf>
    <xf numFmtId="194" fontId="1" fillId="0" borderId="42" xfId="7" applyNumberFormat="1" applyFont="1" applyBorder="1" applyAlignment="1">
      <alignment horizontal="center" vertical="center"/>
    </xf>
    <xf numFmtId="173" fontId="1" fillId="0" borderId="42" xfId="6" applyFont="1" applyBorder="1" applyAlignment="1">
      <alignment vertical="top" wrapText="1"/>
    </xf>
    <xf numFmtId="0" fontId="68" fillId="0" borderId="42" xfId="7" applyFont="1" applyBorder="1" applyAlignment="1">
      <alignment horizontal="left" wrapText="1"/>
    </xf>
    <xf numFmtId="0" fontId="1" fillId="0" borderId="42" xfId="7" applyFont="1" applyBorder="1" applyAlignment="1">
      <alignment horizontal="left"/>
    </xf>
    <xf numFmtId="0" fontId="1" fillId="0" borderId="42" xfId="7" applyFont="1" applyBorder="1" applyAlignment="1">
      <alignment horizontal="left" wrapText="1"/>
    </xf>
    <xf numFmtId="191" fontId="1" fillId="0" borderId="42" xfId="7" applyNumberFormat="1" applyFont="1" applyBorder="1" applyAlignment="1">
      <alignment horizontal="center" vertical="center"/>
    </xf>
    <xf numFmtId="49" fontId="1" fillId="0" borderId="3" xfId="7" applyNumberFormat="1" applyFont="1" applyBorder="1" applyAlignment="1">
      <alignment horizontal="center"/>
    </xf>
    <xf numFmtId="2" fontId="68" fillId="0" borderId="42" xfId="48" applyNumberFormat="1" applyFont="1" applyBorder="1" applyAlignment="1">
      <alignment wrapText="1"/>
    </xf>
    <xf numFmtId="173" fontId="68" fillId="0" borderId="42" xfId="47" applyFont="1" applyBorder="1" applyAlignment="1">
      <alignment wrapText="1"/>
    </xf>
    <xf numFmtId="173" fontId="1" fillId="0" borderId="42" xfId="47" applyFont="1" applyBorder="1" applyAlignment="1">
      <alignment wrapText="1"/>
    </xf>
    <xf numFmtId="49" fontId="64" fillId="0" borderId="42" xfId="47" applyNumberFormat="1" applyFont="1" applyBorder="1" applyAlignment="1">
      <alignment horizontal="center" vertical="center"/>
    </xf>
    <xf numFmtId="0" fontId="1" fillId="0" borderId="0" xfId="0" applyFont="1" applyAlignment="1">
      <alignment horizontal="center"/>
    </xf>
    <xf numFmtId="0" fontId="1" fillId="0" borderId="0" xfId="7" applyFont="1" applyAlignment="1">
      <alignment horizontal="center" vertical="center"/>
    </xf>
    <xf numFmtId="189" fontId="68" fillId="0" borderId="42" xfId="10" applyNumberFormat="1" applyFont="1" applyBorder="1" applyAlignment="1">
      <alignment horizontal="center" vertical="center"/>
    </xf>
    <xf numFmtId="173" fontId="1" fillId="0" borderId="42" xfId="10" applyFont="1" applyBorder="1" applyAlignment="1">
      <alignment horizontal="center" vertical="top"/>
    </xf>
    <xf numFmtId="0" fontId="1" fillId="0" borderId="48" xfId="7" applyFont="1" applyBorder="1" applyAlignment="1">
      <alignment horizontal="left" wrapText="1"/>
    </xf>
    <xf numFmtId="0" fontId="68" fillId="0" borderId="48" xfId="7" applyFont="1" applyBorder="1" applyAlignment="1">
      <alignment horizontal="left" vertical="center"/>
    </xf>
    <xf numFmtId="0" fontId="1" fillId="0" borderId="42" xfId="7" applyFont="1" applyBorder="1" applyAlignment="1">
      <alignment horizontal="left" vertical="top"/>
    </xf>
    <xf numFmtId="175" fontId="1" fillId="0" borderId="42" xfId="10" applyNumberFormat="1" applyFont="1" applyBorder="1" applyAlignment="1">
      <alignment horizontal="center" vertical="center"/>
    </xf>
    <xf numFmtId="49" fontId="64" fillId="0" borderId="42" xfId="7" applyNumberFormat="1" applyFont="1" applyBorder="1" applyAlignment="1">
      <alignment horizontal="center" vertical="center" wrapText="1"/>
    </xf>
    <xf numFmtId="175" fontId="68" fillId="0" borderId="42" xfId="7" applyNumberFormat="1" applyFont="1" applyBorder="1" applyAlignment="1">
      <alignment horizontal="center" vertical="center"/>
    </xf>
    <xf numFmtId="0" fontId="68" fillId="0" borderId="47" xfId="7" applyFont="1" applyBorder="1" applyAlignment="1">
      <alignment vertical="top" wrapText="1"/>
    </xf>
    <xf numFmtId="0" fontId="1" fillId="0" borderId="47" xfId="7" applyFont="1" applyBorder="1" applyAlignment="1">
      <alignment horizontal="center" vertical="top"/>
    </xf>
    <xf numFmtId="0" fontId="1" fillId="0" borderId="47" xfId="7" applyFont="1" applyBorder="1" applyAlignment="1">
      <alignment horizontal="left" vertical="top" wrapText="1"/>
    </xf>
    <xf numFmtId="0" fontId="1" fillId="0" borderId="48" xfId="7" applyFont="1" applyBorder="1" applyAlignment="1">
      <alignment horizontal="center" vertical="top"/>
    </xf>
    <xf numFmtId="173" fontId="64" fillId="0" borderId="42" xfId="10" applyFont="1" applyBorder="1" applyAlignment="1">
      <alignment vertical="center" wrapText="1"/>
    </xf>
    <xf numFmtId="0" fontId="64" fillId="0" borderId="42" xfId="7" applyFont="1" applyBorder="1" applyAlignment="1">
      <alignment vertical="center"/>
    </xf>
    <xf numFmtId="0" fontId="1" fillId="0" borderId="42" xfId="11" applyFont="1" applyBorder="1" applyAlignment="1">
      <alignment vertical="center" wrapText="1"/>
    </xf>
    <xf numFmtId="0" fontId="1" fillId="0" borderId="42" xfId="7" applyFont="1" applyBorder="1" applyAlignment="1">
      <alignment horizontal="center" vertical="center" wrapText="1"/>
    </xf>
    <xf numFmtId="0" fontId="65" fillId="0" borderId="42" xfId="48" applyFont="1" applyBorder="1" applyAlignment="1">
      <alignment horizontal="center" vertical="center"/>
    </xf>
    <xf numFmtId="175" fontId="1" fillId="0" borderId="42" xfId="48" applyNumberFormat="1" applyFont="1" applyBorder="1" applyAlignment="1">
      <alignment horizontal="center" vertical="center"/>
    </xf>
    <xf numFmtId="173" fontId="65" fillId="0" borderId="47" xfId="10" applyFont="1" applyBorder="1" applyAlignment="1">
      <alignment vertical="center" wrapText="1"/>
    </xf>
    <xf numFmtId="173" fontId="64" fillId="0" borderId="47" xfId="10" applyFont="1" applyBorder="1" applyAlignment="1">
      <alignment vertical="top"/>
    </xf>
    <xf numFmtId="173" fontId="65" fillId="0" borderId="47" xfId="10" applyFont="1" applyBorder="1" applyAlignment="1">
      <alignment vertical="center"/>
    </xf>
    <xf numFmtId="173" fontId="65" fillId="0" borderId="42" xfId="6" applyFont="1" applyBorder="1" applyAlignment="1">
      <alignment vertical="center" wrapText="1"/>
    </xf>
    <xf numFmtId="173" fontId="65" fillId="0" borderId="42" xfId="6" applyFont="1" applyBorder="1" applyAlignment="1">
      <alignment vertical="top" wrapText="1"/>
    </xf>
    <xf numFmtId="173" fontId="65" fillId="0" borderId="48" xfId="6" applyFont="1" applyBorder="1" applyAlignment="1">
      <alignment vertical="top" wrapText="1"/>
    </xf>
    <xf numFmtId="49" fontId="1" fillId="0" borderId="42" xfId="7" applyNumberFormat="1" applyFont="1" applyBorder="1" applyAlignment="1">
      <alignment horizontal="center"/>
    </xf>
    <xf numFmtId="1" fontId="65" fillId="0" borderId="42" xfId="7" applyNumberFormat="1" applyFont="1" applyBorder="1" applyAlignment="1">
      <alignment horizontal="center" vertical="center"/>
    </xf>
    <xf numFmtId="0" fontId="69" fillId="0" borderId="42" xfId="7" applyFont="1" applyBorder="1" applyAlignment="1">
      <alignment horizontal="right" vertical="center"/>
    </xf>
    <xf numFmtId="173" fontId="64" fillId="0" borderId="42" xfId="47" applyFont="1" applyBorder="1" applyAlignment="1">
      <alignment vertical="center" wrapText="1"/>
    </xf>
    <xf numFmtId="0" fontId="64" fillId="0" borderId="42" xfId="7" applyFont="1" applyBorder="1" applyAlignment="1">
      <alignment horizontal="left" vertical="center"/>
    </xf>
    <xf numFmtId="175" fontId="64" fillId="0" borderId="42" xfId="7" applyNumberFormat="1" applyFont="1" applyBorder="1" applyAlignment="1">
      <alignment horizontal="center" vertical="center"/>
    </xf>
    <xf numFmtId="49" fontId="65" fillId="0" borderId="42" xfId="7" applyNumberFormat="1" applyFont="1" applyBorder="1" applyAlignment="1">
      <alignment horizontal="left" vertical="center"/>
    </xf>
    <xf numFmtId="49" fontId="1" fillId="0" borderId="0" xfId="7" applyNumberFormat="1" applyFont="1" applyAlignment="1">
      <alignment horizontal="center" vertical="center"/>
    </xf>
    <xf numFmtId="0" fontId="1" fillId="0" borderId="0" xfId="11" applyFont="1" applyAlignment="1">
      <alignment horizontal="center" vertical="center"/>
    </xf>
    <xf numFmtId="0" fontId="65" fillId="0" borderId="42" xfId="39" applyFont="1" applyBorder="1" applyAlignment="1">
      <alignment horizontal="left" vertical="center" wrapText="1"/>
    </xf>
    <xf numFmtId="0" fontId="64" fillId="0" borderId="42" xfId="39" applyFont="1" applyBorder="1" applyAlignment="1">
      <alignment horizontal="left" vertical="center" wrapText="1"/>
    </xf>
    <xf numFmtId="0" fontId="64" fillId="0" borderId="47" xfId="7" applyFont="1" applyBorder="1" applyAlignment="1">
      <alignment horizontal="left" vertical="center" wrapText="1"/>
    </xf>
    <xf numFmtId="0" fontId="65" fillId="0" borderId="48" xfId="11" applyFont="1" applyBorder="1" applyAlignment="1">
      <alignment vertical="center" wrapText="1"/>
    </xf>
    <xf numFmtId="0" fontId="65" fillId="0" borderId="48" xfId="39" applyFont="1" applyBorder="1" applyAlignment="1">
      <alignment vertical="center" wrapText="1"/>
    </xf>
    <xf numFmtId="0" fontId="65" fillId="0" borderId="48" xfId="39" applyFont="1" applyBorder="1" applyAlignment="1">
      <alignment horizontal="center" vertical="center"/>
    </xf>
    <xf numFmtId="0" fontId="64" fillId="0" borderId="48" xfId="39" applyFont="1" applyBorder="1" applyAlignment="1">
      <alignment vertical="center" wrapText="1"/>
    </xf>
    <xf numFmtId="0" fontId="69" fillId="0" borderId="48" xfId="7" applyFont="1" applyBorder="1" applyAlignment="1">
      <alignment horizontal="right" vertical="center"/>
    </xf>
    <xf numFmtId="0" fontId="65" fillId="0" borderId="57" xfId="7" applyFont="1" applyBorder="1" applyAlignment="1">
      <alignment horizontal="center" vertical="center"/>
    </xf>
    <xf numFmtId="173" fontId="65" fillId="0" borderId="42" xfId="36" applyNumberFormat="1" applyFont="1" applyBorder="1" applyAlignment="1">
      <alignment vertical="center" wrapText="1"/>
    </xf>
    <xf numFmtId="173" fontId="64" fillId="0" borderId="47" xfId="10" applyFont="1" applyBorder="1" applyAlignment="1">
      <alignment vertical="center" wrapText="1"/>
    </xf>
    <xf numFmtId="173" fontId="65" fillId="0" borderId="42" xfId="36" applyNumberFormat="1" applyFont="1" applyBorder="1" applyAlignment="1">
      <alignment horizontal="center" vertical="center" wrapText="1"/>
    </xf>
    <xf numFmtId="173" fontId="65" fillId="0" borderId="42" xfId="36" applyNumberFormat="1" applyFont="1" applyBorder="1" applyAlignment="1">
      <alignment horizontal="center" vertical="center"/>
    </xf>
    <xf numFmtId="0" fontId="65" fillId="0" borderId="42" xfId="39" applyFont="1" applyBorder="1" applyAlignment="1">
      <alignment horizontal="center" vertical="center" wrapText="1"/>
    </xf>
    <xf numFmtId="0" fontId="65" fillId="0" borderId="42" xfId="39" applyFont="1" applyBorder="1" applyAlignment="1">
      <alignment vertical="center"/>
    </xf>
    <xf numFmtId="0" fontId="65" fillId="0" borderId="48" xfId="39" applyFont="1" applyBorder="1" applyAlignment="1">
      <alignment vertical="center"/>
    </xf>
    <xf numFmtId="173" fontId="65" fillId="0" borderId="47" xfId="10" applyFont="1" applyBorder="1" applyAlignment="1">
      <alignment horizontal="center" vertical="center"/>
    </xf>
    <xf numFmtId="0" fontId="64" fillId="0" borderId="42" xfId="39" applyFont="1" applyBorder="1" applyAlignment="1">
      <alignment horizontal="center" vertical="center"/>
    </xf>
    <xf numFmtId="0" fontId="1" fillId="0" borderId="0" xfId="0" applyFont="1" applyAlignment="1">
      <alignment horizontal="center" vertical="center"/>
    </xf>
    <xf numFmtId="175" fontId="1" fillId="0" borderId="0" xfId="0" applyNumberFormat="1" applyFont="1" applyAlignment="1">
      <alignment horizontal="center" vertical="center"/>
    </xf>
    <xf numFmtId="0" fontId="1" fillId="0" borderId="48" xfId="0" applyFont="1" applyBorder="1" applyAlignment="1">
      <alignment horizontal="center" vertical="center"/>
    </xf>
    <xf numFmtId="0" fontId="1" fillId="0" borderId="42" xfId="0" applyFont="1" applyBorder="1" applyAlignment="1">
      <alignment horizontal="center"/>
    </xf>
    <xf numFmtId="175" fontId="1" fillId="0" borderId="42" xfId="0" applyNumberFormat="1" applyFont="1" applyBorder="1" applyAlignment="1">
      <alignment horizontal="center"/>
    </xf>
    <xf numFmtId="0" fontId="1" fillId="0" borderId="42" xfId="0" applyFont="1" applyBorder="1" applyAlignment="1">
      <alignment horizontal="center" vertical="top"/>
    </xf>
    <xf numFmtId="0" fontId="64" fillId="0" borderId="48" xfId="0" applyFont="1" applyBorder="1" applyAlignment="1">
      <alignment wrapText="1"/>
    </xf>
    <xf numFmtId="0" fontId="1" fillId="0" borderId="46" xfId="0" applyFont="1" applyBorder="1" applyAlignment="1">
      <alignment horizontal="center" vertical="center"/>
    </xf>
    <xf numFmtId="9" fontId="65" fillId="0" borderId="0" xfId="218" applyFont="1" applyAlignment="1">
      <alignment vertical="center"/>
    </xf>
    <xf numFmtId="0" fontId="65" fillId="0" borderId="58" xfId="3" applyFont="1" applyBorder="1" applyAlignment="1">
      <alignment horizontal="center" vertical="center"/>
    </xf>
    <xf numFmtId="0" fontId="65" fillId="0" borderId="58" xfId="3" applyFont="1" applyBorder="1" applyAlignment="1">
      <alignment horizontal="center" vertical="top"/>
    </xf>
    <xf numFmtId="0" fontId="65" fillId="0" borderId="59" xfId="7" applyFont="1" applyBorder="1" applyAlignment="1">
      <alignment horizontal="center" vertical="center"/>
    </xf>
    <xf numFmtId="167" fontId="65" fillId="0" borderId="0" xfId="0" applyNumberFormat="1" applyFont="1" applyAlignment="1">
      <alignment vertical="center"/>
    </xf>
    <xf numFmtId="0" fontId="1" fillId="0" borderId="58" xfId="2" applyFont="1" applyBorder="1" applyAlignment="1">
      <alignment horizontal="center" vertical="center"/>
    </xf>
    <xf numFmtId="2" fontId="65" fillId="0" borderId="59" xfId="0" applyNumberFormat="1" applyFont="1" applyBorder="1" applyAlignment="1">
      <alignment horizontal="center" vertical="center"/>
    </xf>
    <xf numFmtId="0" fontId="64" fillId="0" borderId="59" xfId="0" applyFont="1" applyBorder="1" applyAlignment="1">
      <alignment wrapText="1"/>
    </xf>
    <xf numFmtId="1" fontId="65" fillId="0" borderId="59" xfId="0" quotePrefix="1" applyNumberFormat="1" applyFont="1" applyBorder="1" applyAlignment="1">
      <alignment horizontal="center" vertical="center"/>
    </xf>
    <xf numFmtId="0" fontId="65" fillId="0" borderId="59" xfId="0" applyFont="1" applyBorder="1" applyAlignment="1">
      <alignment wrapText="1"/>
    </xf>
    <xf numFmtId="0" fontId="1" fillId="0" borderId="59" xfId="0" applyFont="1" applyBorder="1" applyAlignment="1">
      <alignment horizontal="center" vertical="center"/>
    </xf>
    <xf numFmtId="0" fontId="69" fillId="0" borderId="59" xfId="7" applyFont="1" applyBorder="1" applyAlignment="1">
      <alignment horizontal="right"/>
    </xf>
    <xf numFmtId="175" fontId="65" fillId="0" borderId="59" xfId="7" applyNumberFormat="1" applyFont="1" applyBorder="1" applyAlignment="1">
      <alignment horizontal="center" vertical="center"/>
    </xf>
    <xf numFmtId="0" fontId="65" fillId="0" borderId="59" xfId="0" applyFont="1" applyBorder="1" applyAlignment="1">
      <alignment horizontal="left" wrapText="1" indent="1"/>
    </xf>
    <xf numFmtId="0" fontId="1" fillId="0" borderId="0" xfId="0" applyFont="1" applyAlignment="1">
      <alignment wrapText="1"/>
    </xf>
    <xf numFmtId="0" fontId="65" fillId="0" borderId="59" xfId="11" applyFont="1" applyBorder="1" applyAlignment="1">
      <alignment horizontal="center" vertical="top"/>
    </xf>
    <xf numFmtId="0" fontId="64" fillId="0" borderId="59" xfId="0" applyFont="1" applyBorder="1" applyAlignment="1">
      <alignment vertical="top" wrapText="1"/>
    </xf>
    <xf numFmtId="0" fontId="64" fillId="0" borderId="59" xfId="0" applyFont="1" applyBorder="1" applyAlignment="1">
      <alignment horizontal="center" vertical="center" wrapText="1"/>
    </xf>
    <xf numFmtId="0" fontId="64" fillId="0" borderId="59" xfId="0" applyFont="1" applyBorder="1" applyAlignment="1">
      <alignment vertical="center" wrapText="1"/>
    </xf>
    <xf numFmtId="0" fontId="65" fillId="0" borderId="59" xfId="0" applyFont="1" applyBorder="1" applyAlignment="1">
      <alignment horizontal="center" vertical="center"/>
    </xf>
    <xf numFmtId="175" fontId="1" fillId="0" borderId="0" xfId="0" applyNumberFormat="1" applyFont="1" applyAlignment="1">
      <alignment horizontal="center"/>
    </xf>
    <xf numFmtId="0" fontId="65" fillId="0" borderId="58" xfId="3" applyFont="1" applyBorder="1" applyAlignment="1">
      <alignment horizontal="center" vertical="center" wrapText="1"/>
    </xf>
    <xf numFmtId="0" fontId="1" fillId="0" borderId="59" xfId="0" applyFont="1" applyBorder="1"/>
    <xf numFmtId="0" fontId="68" fillId="0" borderId="60" xfId="0" applyFont="1" applyBorder="1" applyAlignment="1">
      <alignment horizontal="left" vertical="center"/>
    </xf>
    <xf numFmtId="0" fontId="1" fillId="0" borderId="60" xfId="0" applyFont="1" applyBorder="1" applyAlignment="1">
      <alignment vertical="center"/>
    </xf>
    <xf numFmtId="0" fontId="65" fillId="0" borderId="64" xfId="0" applyFont="1" applyBorder="1" applyAlignment="1">
      <alignment horizontal="center" vertical="center" wrapText="1"/>
    </xf>
    <xf numFmtId="0" fontId="65" fillId="0" borderId="66" xfId="0" applyFont="1" applyBorder="1" applyAlignment="1">
      <alignment horizontal="center" vertical="center" wrapText="1"/>
    </xf>
    <xf numFmtId="0" fontId="65" fillId="0" borderId="68" xfId="0" applyFont="1" applyBorder="1" applyAlignment="1">
      <alignment horizontal="center" vertical="center" wrapText="1"/>
    </xf>
    <xf numFmtId="0" fontId="1" fillId="0" borderId="64" xfId="0" applyFont="1" applyBorder="1" applyAlignment="1">
      <alignment horizontal="center" vertical="center"/>
    </xf>
    <xf numFmtId="0" fontId="1" fillId="0" borderId="72" xfId="0" applyFont="1" applyBorder="1" applyAlignment="1">
      <alignment horizontal="center" vertical="center"/>
    </xf>
    <xf numFmtId="2" fontId="64" fillId="0" borderId="42" xfId="0" applyNumberFormat="1" applyFont="1" applyBorder="1" applyAlignment="1">
      <alignment horizontal="center" vertical="center"/>
    </xf>
    <xf numFmtId="175" fontId="65" fillId="0" borderId="42" xfId="133" applyNumberFormat="1" applyFont="1" applyBorder="1" applyAlignment="1">
      <alignment horizontal="center" vertical="center"/>
    </xf>
    <xf numFmtId="197" fontId="65" fillId="0" borderId="42" xfId="267" quotePrefix="1" applyNumberFormat="1" applyFont="1" applyBorder="1" applyAlignment="1">
      <alignment horizontal="center" vertical="center"/>
    </xf>
    <xf numFmtId="0" fontId="1" fillId="0" borderId="75" xfId="2" applyFont="1" applyBorder="1" applyAlignment="1">
      <alignment horizontal="left" vertical="top" wrapText="1"/>
    </xf>
    <xf numFmtId="0" fontId="65" fillId="0" borderId="58" xfId="2" applyFont="1" applyBorder="1" applyAlignment="1">
      <alignment horizontal="center" vertical="top"/>
    </xf>
    <xf numFmtId="0" fontId="69" fillId="0" borderId="58" xfId="8" applyFont="1" applyBorder="1" applyAlignment="1">
      <alignment horizontal="center" vertical="center"/>
    </xf>
    <xf numFmtId="0" fontId="1" fillId="0" borderId="75" xfId="8" applyFont="1" applyBorder="1" applyAlignment="1">
      <alignment horizontal="left" vertical="top" wrapText="1"/>
    </xf>
    <xf numFmtId="0" fontId="68" fillId="0" borderId="75" xfId="8" applyFont="1" applyBorder="1" applyAlignment="1">
      <alignment horizontal="left" vertical="top" wrapText="1"/>
    </xf>
    <xf numFmtId="0" fontId="1" fillId="0" borderId="58" xfId="8" applyFont="1" applyBorder="1" applyAlignment="1">
      <alignment horizontal="left" vertical="top" wrapText="1"/>
    </xf>
    <xf numFmtId="0" fontId="1" fillId="0" borderId="58" xfId="3" applyFont="1" applyBorder="1" applyAlignment="1">
      <alignment horizontal="center" vertical="distributed"/>
    </xf>
    <xf numFmtId="0" fontId="1" fillId="0" borderId="75" xfId="8" applyFont="1" applyBorder="1" applyAlignment="1">
      <alignment horizontal="center" vertical="distributed"/>
    </xf>
    <xf numFmtId="0" fontId="1" fillId="0" borderId="58" xfId="3" applyFont="1" applyBorder="1" applyAlignment="1">
      <alignment horizontal="left" vertical="top" wrapText="1"/>
    </xf>
    <xf numFmtId="0" fontId="1" fillId="0" borderId="23" xfId="3" quotePrefix="1" applyFont="1" applyBorder="1" applyAlignment="1">
      <alignment horizontal="center" vertical="center"/>
    </xf>
    <xf numFmtId="0" fontId="65" fillId="0" borderId="48" xfId="0" applyFont="1" applyBorder="1" applyAlignment="1">
      <alignment horizontal="left" vertical="center" wrapText="1"/>
    </xf>
    <xf numFmtId="0" fontId="1" fillId="0" borderId="59" xfId="3" applyFont="1" applyBorder="1" applyAlignment="1">
      <alignment horizontal="center" vertical="center"/>
    </xf>
    <xf numFmtId="173" fontId="68" fillId="0" borderId="47" xfId="10" applyFont="1" applyBorder="1" applyAlignment="1">
      <alignment vertical="top" wrapText="1"/>
    </xf>
    <xf numFmtId="0" fontId="65" fillId="0" borderId="0" xfId="3" applyFont="1" applyAlignment="1">
      <alignment horizontal="center" vertical="distributed"/>
    </xf>
    <xf numFmtId="0" fontId="65" fillId="0" borderId="75" xfId="3" applyFont="1" applyBorder="1" applyAlignment="1">
      <alignment horizontal="left" vertical="center" wrapText="1"/>
    </xf>
    <xf numFmtId="3" fontId="1" fillId="0" borderId="42" xfId="3" applyNumberFormat="1" applyFont="1" applyBorder="1" applyAlignment="1">
      <alignment horizontal="center" vertical="center"/>
    </xf>
    <xf numFmtId="0" fontId="65" fillId="0" borderId="48" xfId="39" applyFont="1" applyBorder="1" applyAlignment="1">
      <alignment horizontal="left" vertical="center" wrapText="1"/>
    </xf>
    <xf numFmtId="173" fontId="65" fillId="0" borderId="59" xfId="10" applyFont="1" applyBorder="1" applyAlignment="1">
      <alignment horizontal="center" vertical="center"/>
    </xf>
    <xf numFmtId="2" fontId="65" fillId="0" borderId="0" xfId="0" applyNumberFormat="1" applyFont="1" applyAlignment="1">
      <alignment horizontal="center" vertical="center" wrapText="1"/>
    </xf>
    <xf numFmtId="0" fontId="65" fillId="0" borderId="70" xfId="0" applyFont="1" applyBorder="1" applyAlignment="1">
      <alignment horizontal="center" vertical="center" wrapText="1"/>
    </xf>
    <xf numFmtId="0" fontId="42" fillId="0" borderId="59" xfId="0" applyFont="1" applyBorder="1"/>
    <xf numFmtId="0" fontId="42" fillId="0" borderId="48" xfId="0" applyFont="1" applyBorder="1"/>
    <xf numFmtId="0" fontId="42" fillId="0" borderId="59" xfId="3" applyFont="1" applyBorder="1" applyAlignment="1">
      <alignment horizontal="center" vertical="top"/>
    </xf>
    <xf numFmtId="49" fontId="42" fillId="0" borderId="0" xfId="133" applyNumberFormat="1" applyFont="1" applyAlignment="1">
      <alignment horizontal="center" vertical="center"/>
    </xf>
    <xf numFmtId="49" fontId="42" fillId="0" borderId="0" xfId="133" applyNumberFormat="1" applyFont="1" applyAlignment="1">
      <alignment vertical="center"/>
    </xf>
    <xf numFmtId="0" fontId="42" fillId="0" borderId="0" xfId="3" applyFont="1" applyAlignment="1">
      <alignment horizontal="left" vertical="top"/>
    </xf>
    <xf numFmtId="174" fontId="42" fillId="0" borderId="0" xfId="3" applyNumberFormat="1" applyFont="1" applyAlignment="1">
      <alignment horizontal="center" vertical="top"/>
    </xf>
    <xf numFmtId="188" fontId="42" fillId="0" borderId="0" xfId="5" applyNumberFormat="1" applyFont="1" applyAlignment="1">
      <alignment horizontal="right" vertical="top"/>
    </xf>
    <xf numFmtId="188" fontId="42" fillId="0" borderId="0" xfId="5" applyNumberFormat="1" applyFont="1" applyAlignment="1">
      <alignment vertical="top"/>
    </xf>
    <xf numFmtId="188" fontId="42" fillId="0" borderId="48" xfId="5" applyNumberFormat="1" applyFont="1" applyBorder="1" applyAlignment="1">
      <alignment vertical="top"/>
    </xf>
    <xf numFmtId="0" fontId="4" fillId="0" borderId="59" xfId="7" applyBorder="1" applyAlignment="1">
      <alignment horizontal="center" vertical="center"/>
    </xf>
    <xf numFmtId="0" fontId="4" fillId="0" borderId="0" xfId="7" applyAlignment="1">
      <alignment horizontal="left" vertical="center"/>
    </xf>
    <xf numFmtId="0" fontId="42" fillId="0" borderId="48" xfId="0" applyFont="1" applyBorder="1" applyAlignment="1">
      <alignment horizontal="center" vertical="center" wrapText="1"/>
    </xf>
    <xf numFmtId="0" fontId="42" fillId="0" borderId="59" xfId="0" applyFont="1" applyBorder="1" applyAlignment="1">
      <alignment horizontal="center" vertical="center" wrapText="1"/>
    </xf>
    <xf numFmtId="44" fontId="42" fillId="0" borderId="48" xfId="267" applyFont="1" applyFill="1" applyBorder="1" applyAlignment="1">
      <alignment vertical="center"/>
    </xf>
    <xf numFmtId="0" fontId="3" fillId="0" borderId="59" xfId="7" applyFont="1" applyBorder="1" applyAlignment="1">
      <alignment horizontal="center" vertical="center"/>
    </xf>
    <xf numFmtId="0" fontId="3" fillId="0" borderId="0" xfId="7" applyFont="1" applyAlignment="1">
      <alignment horizontal="left" vertical="center"/>
    </xf>
    <xf numFmtId="188" fontId="3" fillId="0" borderId="48" xfId="7" applyNumberFormat="1" applyFont="1" applyBorder="1" applyAlignment="1">
      <alignment horizontal="center" vertical="center"/>
    </xf>
    <xf numFmtId="0" fontId="65" fillId="0" borderId="59" xfId="0" applyFont="1" applyBorder="1" applyAlignment="1">
      <alignment horizontal="left" vertical="center" wrapText="1"/>
    </xf>
    <xf numFmtId="0" fontId="0" fillId="0" borderId="48" xfId="0" applyBorder="1" applyAlignment="1">
      <alignment horizontal="left" wrapText="1"/>
    </xf>
    <xf numFmtId="0" fontId="0" fillId="0" borderId="0" xfId="0" applyAlignment="1">
      <alignment horizontal="left" wrapText="1"/>
    </xf>
    <xf numFmtId="0" fontId="64" fillId="0" borderId="42" xfId="1" applyFont="1" applyBorder="1" applyAlignment="1">
      <alignment horizontal="center" vertical="center" wrapText="1"/>
    </xf>
    <xf numFmtId="0" fontId="65" fillId="0" borderId="7" xfId="3" applyFont="1" applyBorder="1" applyAlignment="1">
      <alignment horizontal="center" vertical="center"/>
    </xf>
    <xf numFmtId="0" fontId="1" fillId="0" borderId="75" xfId="3" applyFont="1" applyBorder="1" applyAlignment="1">
      <alignment horizontal="left" vertical="top" wrapText="1"/>
    </xf>
    <xf numFmtId="0" fontId="65" fillId="0" borderId="75" xfId="3" applyFont="1" applyBorder="1" applyAlignment="1">
      <alignment horizontal="center" vertical="center"/>
    </xf>
    <xf numFmtId="0" fontId="65" fillId="0" borderId="15" xfId="0" applyFont="1" applyBorder="1" applyAlignment="1">
      <alignment vertical="center"/>
    </xf>
    <xf numFmtId="0" fontId="68" fillId="3" borderId="2" xfId="7" applyFont="1" applyFill="1" applyBorder="1" applyAlignment="1">
      <alignment vertical="center"/>
    </xf>
    <xf numFmtId="0" fontId="68" fillId="3" borderId="0" xfId="7" applyFont="1" applyFill="1" applyAlignment="1">
      <alignment vertical="center"/>
    </xf>
    <xf numFmtId="0" fontId="1" fillId="0" borderId="42" xfId="7" applyFont="1" applyBorder="1" applyAlignment="1">
      <alignment horizontal="right"/>
    </xf>
    <xf numFmtId="0" fontId="65" fillId="0" borderId="75" xfId="3" applyFont="1" applyBorder="1" applyAlignment="1">
      <alignment horizontal="center" vertical="top"/>
    </xf>
    <xf numFmtId="0" fontId="65" fillId="0" borderId="13" xfId="3" applyFont="1" applyBorder="1" applyAlignment="1">
      <alignment horizontal="center" vertical="top"/>
    </xf>
    <xf numFmtId="0" fontId="64" fillId="0" borderId="15" xfId="3" applyFont="1" applyBorder="1" applyAlignment="1">
      <alignment horizontal="left" vertical="top" wrapText="1"/>
    </xf>
    <xf numFmtId="0" fontId="65" fillId="0" borderId="15" xfId="3" applyFont="1" applyBorder="1" applyAlignment="1">
      <alignment horizontal="center" vertical="top"/>
    </xf>
    <xf numFmtId="0" fontId="65" fillId="0" borderId="75" xfId="0" applyFont="1" applyBorder="1"/>
    <xf numFmtId="0" fontId="65" fillId="0" borderId="15" xfId="3" applyFont="1" applyBorder="1" applyAlignment="1">
      <alignment horizontal="left" vertical="top" wrapText="1"/>
    </xf>
    <xf numFmtId="0" fontId="65" fillId="0" borderId="7" xfId="3" applyFont="1" applyBorder="1" applyAlignment="1">
      <alignment horizontal="center" vertical="distributed"/>
    </xf>
    <xf numFmtId="0" fontId="65" fillId="0" borderId="7" xfId="8" applyFont="1" applyBorder="1" applyAlignment="1">
      <alignment horizontal="center" vertical="distributed"/>
    </xf>
    <xf numFmtId="0" fontId="1" fillId="0" borderId="42" xfId="8" applyFont="1" applyBorder="1" applyAlignment="1">
      <alignment horizontal="center" vertical="center"/>
    </xf>
    <xf numFmtId="173" fontId="64" fillId="0" borderId="48" xfId="10" applyFont="1" applyBorder="1" applyAlignment="1">
      <alignment vertical="center" wrapText="1"/>
    </xf>
    <xf numFmtId="0" fontId="64" fillId="0" borderId="48" xfId="36" applyFont="1" applyBorder="1" applyAlignment="1">
      <alignment vertical="center" wrapText="1"/>
    </xf>
    <xf numFmtId="0" fontId="65" fillId="0" borderId="48" xfId="36" applyFont="1" applyBorder="1" applyAlignment="1">
      <alignment vertical="center" wrapText="1"/>
    </xf>
    <xf numFmtId="0" fontId="65" fillId="0" borderId="42" xfId="36" applyFont="1" applyBorder="1" applyAlignment="1">
      <alignment horizontal="center" vertical="center"/>
    </xf>
    <xf numFmtId="0" fontId="65" fillId="0" borderId="0" xfId="0" applyFont="1" applyAlignment="1">
      <alignment horizont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68" fillId="0" borderId="64" xfId="0" applyFont="1" applyBorder="1" applyAlignment="1">
      <alignment horizontal="center" vertical="center"/>
    </xf>
    <xf numFmtId="0" fontId="68" fillId="0" borderId="6" xfId="0" applyFont="1" applyBorder="1" applyAlignment="1">
      <alignment horizontal="left" vertical="center" wrapText="1"/>
    </xf>
    <xf numFmtId="0" fontId="68" fillId="0" borderId="66" xfId="0" applyFont="1" applyBorder="1" applyAlignment="1">
      <alignment horizontal="center" vertical="center"/>
    </xf>
    <xf numFmtId="0" fontId="42" fillId="0" borderId="59" xfId="0" applyFont="1" applyBorder="1" applyAlignment="1">
      <alignment horizontal="center" vertical="center"/>
    </xf>
    <xf numFmtId="0" fontId="65" fillId="0" borderId="58" xfId="2" applyFont="1" applyBorder="1" applyAlignment="1">
      <alignment horizontal="center" vertical="center"/>
    </xf>
    <xf numFmtId="0" fontId="1" fillId="0" borderId="59" xfId="0" applyFont="1" applyBorder="1" applyAlignment="1">
      <alignment vertical="center"/>
    </xf>
    <xf numFmtId="0" fontId="68" fillId="0" borderId="75" xfId="2" applyFont="1" applyBorder="1" applyAlignment="1">
      <alignment horizontal="left" vertical="top" wrapText="1"/>
    </xf>
    <xf numFmtId="0" fontId="68" fillId="0" borderId="75" xfId="2" applyFont="1" applyBorder="1" applyAlignment="1">
      <alignment horizontal="left" vertical="center" wrapText="1"/>
    </xf>
    <xf numFmtId="0" fontId="1" fillId="0" borderId="75" xfId="3" applyFont="1" applyBorder="1" applyAlignment="1">
      <alignment horizontal="center" vertical="distributed"/>
    </xf>
    <xf numFmtId="0" fontId="65" fillId="0" borderId="75" xfId="2" applyFont="1" applyBorder="1" applyAlignment="1">
      <alignment horizontal="center" vertical="center"/>
    </xf>
    <xf numFmtId="0" fontId="68" fillId="0" borderId="75" xfId="3" applyFont="1" applyBorder="1" applyAlignment="1">
      <alignment horizontal="left" vertical="top" wrapText="1"/>
    </xf>
    <xf numFmtId="0" fontId="1" fillId="0" borderId="75" xfId="0" applyFont="1" applyBorder="1"/>
    <xf numFmtId="0" fontId="68" fillId="0" borderId="59" xfId="0" applyFont="1" applyBorder="1" applyAlignment="1">
      <alignment horizontal="center" vertical="center"/>
    </xf>
    <xf numFmtId="0" fontId="65" fillId="0" borderId="59" xfId="8" applyFont="1" applyBorder="1" applyAlignment="1">
      <alignment horizontal="center" vertical="center"/>
    </xf>
    <xf numFmtId="0" fontId="68" fillId="0" borderId="59" xfId="8" applyFont="1" applyBorder="1" applyAlignment="1">
      <alignment vertical="top" wrapText="1"/>
    </xf>
    <xf numFmtId="0" fontId="1" fillId="0" borderId="59" xfId="8" applyFont="1" applyBorder="1" applyAlignment="1">
      <alignment vertical="top" wrapText="1"/>
    </xf>
    <xf numFmtId="0" fontId="1" fillId="0" borderId="59" xfId="3" applyFont="1" applyBorder="1" applyAlignment="1">
      <alignment vertical="center"/>
    </xf>
    <xf numFmtId="0" fontId="68" fillId="0" borderId="42" xfId="2" applyFont="1" applyBorder="1" applyAlignment="1">
      <alignment horizontal="left" vertical="top"/>
    </xf>
    <xf numFmtId="0" fontId="68" fillId="0" borderId="59" xfId="3" applyFont="1" applyBorder="1" applyAlignment="1">
      <alignment horizontal="center" vertical="center"/>
    </xf>
    <xf numFmtId="0" fontId="1" fillId="0" borderId="7" xfId="0" applyFont="1" applyBorder="1" applyAlignment="1">
      <alignment vertical="center"/>
    </xf>
    <xf numFmtId="0" fontId="1" fillId="0" borderId="7" xfId="0" applyFont="1" applyBorder="1"/>
    <xf numFmtId="2" fontId="65" fillId="0" borderId="42" xfId="3" applyNumberFormat="1" applyFont="1" applyBorder="1" applyAlignment="1">
      <alignment horizontal="center" vertical="center"/>
    </xf>
    <xf numFmtId="2" fontId="68" fillId="0" borderId="42" xfId="0" quotePrefix="1" applyNumberFormat="1" applyFont="1" applyBorder="1" applyAlignment="1">
      <alignment horizontal="center" vertical="center"/>
    </xf>
    <xf numFmtId="0" fontId="64" fillId="0" borderId="58" xfId="3" applyFont="1" applyBorder="1" applyAlignment="1">
      <alignment horizontal="center" vertical="center" wrapText="1"/>
    </xf>
    <xf numFmtId="0" fontId="64" fillId="0" borderId="58" xfId="3" applyFont="1" applyBorder="1" applyAlignment="1">
      <alignment horizontal="center" vertical="center"/>
    </xf>
    <xf numFmtId="0" fontId="4" fillId="0" borderId="58" xfId="3" applyBorder="1" applyAlignment="1">
      <alignment horizontal="center" vertical="top" wrapText="1"/>
    </xf>
    <xf numFmtId="0" fontId="4" fillId="0" borderId="58" xfId="7" applyBorder="1" applyAlignment="1">
      <alignment horizontal="center" vertical="top" wrapText="1"/>
    </xf>
    <xf numFmtId="0" fontId="4" fillId="0" borderId="59" xfId="2" applyFont="1" applyBorder="1" applyAlignment="1">
      <alignment horizontal="left" vertical="top" wrapText="1"/>
    </xf>
    <xf numFmtId="0" fontId="4" fillId="0" borderId="58" xfId="3" applyBorder="1" applyAlignment="1">
      <alignment vertical="top" wrapText="1"/>
    </xf>
    <xf numFmtId="0" fontId="9" fillId="0" borderId="58" xfId="3" applyFont="1" applyBorder="1" applyAlignment="1">
      <alignment horizontal="center" vertical="top" wrapText="1"/>
    </xf>
    <xf numFmtId="0" fontId="4" fillId="0" borderId="75" xfId="3" applyBorder="1" applyAlignment="1">
      <alignment horizontal="left" vertical="top" wrapText="1"/>
    </xf>
    <xf numFmtId="0" fontId="9" fillId="0" borderId="75" xfId="3" applyFont="1" applyBorder="1" applyAlignment="1">
      <alignment horizontal="left" vertical="top" wrapText="1"/>
    </xf>
    <xf numFmtId="0" fontId="41" fillId="0" borderId="75" xfId="0" applyFont="1" applyBorder="1"/>
    <xf numFmtId="0" fontId="60" fillId="0" borderId="58" xfId="3" applyFont="1" applyBorder="1" applyAlignment="1">
      <alignment horizontal="center" vertical="top" wrapText="1"/>
    </xf>
    <xf numFmtId="0" fontId="60" fillId="0" borderId="75" xfId="3" applyFont="1" applyBorder="1" applyAlignment="1">
      <alignment horizontal="left" vertical="top" wrapText="1"/>
    </xf>
    <xf numFmtId="0" fontId="4" fillId="15" borderId="58" xfId="3" applyFill="1" applyBorder="1" applyAlignment="1">
      <alignment horizontal="center" vertical="top" wrapText="1"/>
    </xf>
    <xf numFmtId="0" fontId="3" fillId="0" borderId="75" xfId="3" applyFont="1" applyBorder="1" applyAlignment="1">
      <alignment horizontal="left" vertical="center" wrapText="1"/>
    </xf>
    <xf numFmtId="0" fontId="4" fillId="0" borderId="75" xfId="3" applyBorder="1" applyAlignment="1">
      <alignment horizontal="center" vertical="top" wrapText="1"/>
    </xf>
    <xf numFmtId="0" fontId="4" fillId="0" borderId="75" xfId="7" applyBorder="1" applyAlignment="1">
      <alignment vertical="top" wrapText="1"/>
    </xf>
    <xf numFmtId="0" fontId="4" fillId="0" borderId="58" xfId="7" applyBorder="1" applyAlignment="1">
      <alignment vertical="top" wrapText="1"/>
    </xf>
    <xf numFmtId="0" fontId="65" fillId="0" borderId="75" xfId="3" applyFont="1" applyBorder="1" applyAlignment="1">
      <alignment horizontal="left" vertical="top" wrapText="1"/>
    </xf>
    <xf numFmtId="0" fontId="65" fillId="0" borderId="58" xfId="3" applyFont="1" applyBorder="1" applyAlignment="1">
      <alignment horizontal="center" vertical="top" wrapText="1"/>
    </xf>
    <xf numFmtId="0" fontId="64" fillId="0" borderId="75" xfId="2" applyFont="1" applyBorder="1" applyAlignment="1">
      <alignment horizontal="left" vertical="top" wrapText="1"/>
    </xf>
    <xf numFmtId="0" fontId="65" fillId="0" borderId="59" xfId="3" applyFont="1" applyBorder="1" applyAlignment="1">
      <alignment horizontal="center" vertical="center"/>
    </xf>
    <xf numFmtId="0" fontId="64" fillId="0" borderId="75" xfId="3" applyFont="1" applyBorder="1" applyAlignment="1">
      <alignment horizontal="left" vertical="top" wrapText="1"/>
    </xf>
    <xf numFmtId="0" fontId="65" fillId="0" borderId="75" xfId="2" applyFont="1" applyBorder="1" applyAlignment="1">
      <alignment horizontal="center" vertical="distributed"/>
    </xf>
    <xf numFmtId="0" fontId="65" fillId="0" borderId="75" xfId="2" applyFont="1" applyBorder="1" applyAlignment="1">
      <alignment horizontal="left" vertical="top" wrapText="1"/>
    </xf>
    <xf numFmtId="0" fontId="65" fillId="0" borderId="75" xfId="7" applyFont="1" applyBorder="1" applyAlignment="1">
      <alignment horizontal="right"/>
    </xf>
    <xf numFmtId="0" fontId="64" fillId="0" borderId="75" xfId="3" applyFont="1" applyBorder="1" applyAlignment="1">
      <alignment horizontal="left" vertical="center" wrapText="1"/>
    </xf>
    <xf numFmtId="0" fontId="64" fillId="0" borderId="58" xfId="3" applyFont="1" applyBorder="1" applyAlignment="1">
      <alignment horizontal="center" vertical="top"/>
    </xf>
    <xf numFmtId="0" fontId="65" fillId="0" borderId="75" xfId="3" applyFont="1" applyBorder="1" applyAlignment="1">
      <alignment vertical="top" wrapText="1"/>
    </xf>
    <xf numFmtId="0" fontId="69" fillId="0" borderId="59" xfId="8" applyFont="1" applyBorder="1" applyAlignment="1">
      <alignment horizontal="center" vertical="center"/>
    </xf>
    <xf numFmtId="0" fontId="69" fillId="0" borderId="58" xfId="8" applyFont="1" applyBorder="1" applyAlignment="1">
      <alignment horizontal="center" vertical="top"/>
    </xf>
    <xf numFmtId="0" fontId="69" fillId="0" borderId="75" xfId="8" applyFont="1" applyBorder="1" applyAlignment="1">
      <alignment horizontal="left" vertical="top" wrapText="1"/>
    </xf>
    <xf numFmtId="0" fontId="65" fillId="0" borderId="75" xfId="3" applyFont="1" applyBorder="1" applyAlignment="1">
      <alignment horizontal="center" vertical="center" wrapText="1"/>
    </xf>
    <xf numFmtId="176" fontId="65" fillId="0" borderId="75" xfId="133" applyFont="1" applyBorder="1" applyAlignment="1">
      <alignment horizontal="center" vertical="center"/>
    </xf>
    <xf numFmtId="0" fontId="65" fillId="0" borderId="58" xfId="7" applyFont="1" applyBorder="1" applyAlignment="1">
      <alignment horizontal="center" vertical="center" wrapText="1"/>
    </xf>
    <xf numFmtId="0" fontId="65" fillId="0" borderId="75" xfId="7" applyFont="1" applyBorder="1" applyAlignment="1">
      <alignment vertical="center" wrapText="1"/>
    </xf>
    <xf numFmtId="0" fontId="64" fillId="0" borderId="58" xfId="7" applyFont="1" applyBorder="1" applyAlignment="1">
      <alignment horizontal="center" vertical="center" wrapText="1"/>
    </xf>
    <xf numFmtId="0" fontId="64" fillId="0" borderId="75" xfId="7" applyFont="1" applyBorder="1" applyAlignment="1">
      <alignment vertical="center" wrapText="1"/>
    </xf>
    <xf numFmtId="0" fontId="65" fillId="0" borderId="58" xfId="7" applyFont="1" applyBorder="1" applyAlignment="1">
      <alignment horizontal="center" vertical="center"/>
    </xf>
    <xf numFmtId="0" fontId="65" fillId="0" borderId="59" xfId="2" applyFont="1" applyBorder="1" applyAlignment="1">
      <alignment horizontal="center" vertical="center"/>
    </xf>
    <xf numFmtId="0" fontId="65" fillId="0" borderId="75" xfId="7" applyFont="1" applyBorder="1" applyAlignment="1">
      <alignment horizontal="center" vertical="top" wrapText="1"/>
    </xf>
    <xf numFmtId="173" fontId="1" fillId="0" borderId="58" xfId="10" applyFont="1" applyBorder="1" applyAlignment="1">
      <alignment horizontal="center" vertical="center"/>
    </xf>
    <xf numFmtId="173" fontId="65" fillId="0" borderId="58" xfId="10" applyFont="1" applyBorder="1" applyAlignment="1">
      <alignment horizontal="center" vertical="center"/>
    </xf>
    <xf numFmtId="0" fontId="64" fillId="0" borderId="75" xfId="2" applyFont="1" applyBorder="1" applyAlignment="1">
      <alignment horizontal="left" vertical="center" wrapText="1"/>
    </xf>
    <xf numFmtId="173" fontId="65" fillId="0" borderId="76" xfId="10" applyFont="1" applyBorder="1" applyAlignment="1">
      <alignment horizontal="center" vertical="center"/>
    </xf>
    <xf numFmtId="0" fontId="64" fillId="0" borderId="59" xfId="7" applyFont="1" applyBorder="1" applyAlignment="1">
      <alignment horizontal="center" vertical="center"/>
    </xf>
    <xf numFmtId="44" fontId="64" fillId="0" borderId="42" xfId="267" applyFont="1" applyFill="1" applyBorder="1" applyAlignment="1" applyProtection="1">
      <alignment horizontal="center" vertical="center"/>
      <protection locked="0"/>
    </xf>
    <xf numFmtId="44" fontId="65" fillId="0" borderId="42" xfId="267" applyFont="1" applyBorder="1" applyAlignment="1" applyProtection="1">
      <alignment horizontal="center" vertical="center"/>
      <protection locked="0"/>
    </xf>
    <xf numFmtId="44" fontId="65" fillId="0" borderId="0" xfId="267" applyFont="1" applyAlignment="1" applyProtection="1">
      <alignment horizontal="center" vertical="center"/>
      <protection locked="0"/>
    </xf>
    <xf numFmtId="44" fontId="65" fillId="0" borderId="0" xfId="267" applyFont="1" applyFill="1" applyAlignment="1" applyProtection="1">
      <alignment horizontal="center" vertical="center"/>
      <protection locked="0"/>
    </xf>
    <xf numFmtId="44" fontId="65" fillId="0" borderId="59" xfId="267" applyFont="1" applyBorder="1" applyAlignment="1" applyProtection="1">
      <alignment vertical="center"/>
      <protection locked="0"/>
    </xf>
    <xf numFmtId="44" fontId="65" fillId="0" borderId="59" xfId="267" applyFont="1" applyBorder="1" applyAlignment="1" applyProtection="1">
      <alignment horizontal="center" vertical="center"/>
      <protection locked="0"/>
    </xf>
    <xf numFmtId="44" fontId="65" fillId="0" borderId="0" xfId="267" applyFont="1" applyAlignment="1" applyProtection="1">
      <alignment vertical="center"/>
      <protection locked="0"/>
    </xf>
    <xf numFmtId="44" fontId="65" fillId="0" borderId="42" xfId="267" applyFont="1" applyBorder="1" applyAlignment="1" applyProtection="1">
      <alignment vertical="center"/>
      <protection locked="0"/>
    </xf>
    <xf numFmtId="44" fontId="65" fillId="0" borderId="0" xfId="267" applyFont="1" applyBorder="1" applyAlignment="1" applyProtection="1">
      <alignment vertical="center"/>
      <protection locked="0"/>
    </xf>
    <xf numFmtId="44" fontId="65" fillId="0" borderId="0" xfId="267" applyFont="1" applyBorder="1" applyAlignment="1" applyProtection="1">
      <alignment horizontal="center" vertical="center"/>
      <protection locked="0"/>
    </xf>
    <xf numFmtId="44" fontId="64" fillId="0" borderId="59" xfId="267" applyFont="1" applyBorder="1" applyAlignment="1" applyProtection="1">
      <alignment vertical="center"/>
      <protection locked="0"/>
    </xf>
    <xf numFmtId="44" fontId="64" fillId="0" borderId="42" xfId="267" applyFont="1" applyBorder="1" applyAlignment="1" applyProtection="1">
      <alignment vertical="center"/>
      <protection locked="0"/>
    </xf>
    <xf numFmtId="44" fontId="65" fillId="0" borderId="42" xfId="267" applyFont="1" applyFill="1" applyBorder="1" applyAlignment="1" applyProtection="1">
      <alignment vertical="center"/>
      <protection locked="0"/>
    </xf>
    <xf numFmtId="44" fontId="65" fillId="0" borderId="0" xfId="267" applyFont="1" applyFill="1" applyBorder="1" applyAlignment="1" applyProtection="1">
      <alignment vertical="center"/>
      <protection locked="0"/>
    </xf>
    <xf numFmtId="44" fontId="65" fillId="0" borderId="7" xfId="267" applyFont="1" applyFill="1" applyBorder="1" applyAlignment="1" applyProtection="1">
      <alignment vertical="center"/>
      <protection locked="0"/>
    </xf>
    <xf numFmtId="9" fontId="65" fillId="0" borderId="59" xfId="267" applyNumberFormat="1" applyFont="1" applyFill="1" applyBorder="1" applyAlignment="1" applyProtection="1">
      <alignment horizontal="center" vertical="center"/>
      <protection locked="0"/>
    </xf>
    <xf numFmtId="44" fontId="64" fillId="0" borderId="48" xfId="267" applyFont="1" applyBorder="1" applyAlignment="1" applyProtection="1">
      <alignment horizontal="center" vertical="center"/>
      <protection locked="0"/>
    </xf>
    <xf numFmtId="9" fontId="65" fillId="0" borderId="0" xfId="218" applyFont="1" applyAlignment="1" applyProtection="1">
      <alignment horizontal="center" vertical="center"/>
      <protection locked="0"/>
    </xf>
    <xf numFmtId="44" fontId="64" fillId="0" borderId="59" xfId="267" applyFont="1" applyBorder="1" applyAlignment="1" applyProtection="1">
      <alignment horizontal="center" vertical="center"/>
      <protection locked="0"/>
    </xf>
    <xf numFmtId="44" fontId="65" fillId="0" borderId="12" xfId="267" applyFont="1" applyBorder="1" applyAlignment="1" applyProtection="1">
      <alignment horizontal="center" vertical="center"/>
      <protection locked="0"/>
    </xf>
    <xf numFmtId="44" fontId="65" fillId="0" borderId="3" xfId="267" applyFont="1" applyBorder="1" applyAlignment="1" applyProtection="1">
      <alignment vertical="center"/>
      <protection locked="0"/>
    </xf>
    <xf numFmtId="44" fontId="65" fillId="0" borderId="75" xfId="267" applyFont="1" applyBorder="1" applyAlignment="1" applyProtection="1">
      <alignment horizontal="center" vertical="center"/>
      <protection locked="0"/>
    </xf>
    <xf numFmtId="44" fontId="65" fillId="0" borderId="75" xfId="267" applyFont="1" applyFill="1" applyBorder="1" applyAlignment="1" applyProtection="1">
      <alignment horizontal="center" vertical="center"/>
      <protection locked="0"/>
    </xf>
    <xf numFmtId="44" fontId="65" fillId="0" borderId="42" xfId="267" applyFont="1" applyFill="1" applyBorder="1" applyAlignment="1" applyProtection="1">
      <alignment horizontal="center" vertical="center"/>
      <protection locked="0"/>
    </xf>
    <xf numFmtId="44" fontId="65" fillId="0" borderId="48" xfId="267" applyFont="1" applyFill="1" applyBorder="1" applyAlignment="1" applyProtection="1">
      <alignment horizontal="center" vertical="center"/>
      <protection locked="0"/>
    </xf>
    <xf numFmtId="44" fontId="65" fillId="0" borderId="0" xfId="267" applyFont="1" applyFill="1" applyBorder="1" applyAlignment="1" applyProtection="1">
      <alignment horizontal="center" vertical="center"/>
      <protection locked="0"/>
    </xf>
    <xf numFmtId="9" fontId="65" fillId="0" borderId="0" xfId="267" applyNumberFormat="1" applyFont="1" applyBorder="1" applyAlignment="1" applyProtection="1">
      <alignment horizontal="center" vertical="center"/>
      <protection locked="0"/>
    </xf>
    <xf numFmtId="44" fontId="65" fillId="0" borderId="48" xfId="267" applyFont="1" applyBorder="1" applyAlignment="1" applyProtection="1">
      <alignment horizontal="center" vertical="center"/>
      <protection locked="0"/>
    </xf>
    <xf numFmtId="188" fontId="1" fillId="0" borderId="48" xfId="3" applyNumberFormat="1" applyFont="1" applyBorder="1" applyAlignment="1" applyProtection="1">
      <alignment horizontal="right" vertical="center"/>
      <protection locked="0"/>
    </xf>
    <xf numFmtId="188" fontId="1" fillId="0" borderId="42" xfId="3" applyNumberFormat="1" applyFont="1" applyBorder="1" applyAlignment="1" applyProtection="1">
      <alignment vertical="center"/>
      <protection locked="0"/>
    </xf>
    <xf numFmtId="4" fontId="1" fillId="0" borderId="42" xfId="3" applyNumberFormat="1" applyFont="1" applyBorder="1" applyAlignment="1" applyProtection="1">
      <alignment vertical="center"/>
      <protection locked="0"/>
    </xf>
    <xf numFmtId="44" fontId="1" fillId="0" borderId="42" xfId="267" applyFont="1" applyBorder="1" applyAlignment="1" applyProtection="1">
      <alignment horizontal="center" vertical="distributed"/>
      <protection locked="0"/>
    </xf>
    <xf numFmtId="188" fontId="1" fillId="0" borderId="48" xfId="5" quotePrefix="1" applyNumberFormat="1" applyFont="1" applyBorder="1" applyAlignment="1" applyProtection="1">
      <alignment horizontal="right" vertical="center"/>
      <protection locked="0"/>
    </xf>
    <xf numFmtId="188" fontId="65" fillId="0" borderId="48" xfId="3" applyNumberFormat="1" applyFont="1" applyBorder="1" applyAlignment="1" applyProtection="1">
      <alignment horizontal="right" vertical="center"/>
      <protection locked="0"/>
    </xf>
    <xf numFmtId="188" fontId="65" fillId="0" borderId="42" xfId="3" applyNumberFormat="1" applyFont="1" applyBorder="1" applyAlignment="1" applyProtection="1">
      <alignment vertical="center"/>
      <protection locked="0"/>
    </xf>
    <xf numFmtId="188" fontId="68" fillId="0" borderId="48" xfId="5" applyNumberFormat="1" applyFont="1" applyBorder="1" applyAlignment="1" applyProtection="1">
      <alignment horizontal="right" vertical="center"/>
      <protection locked="0"/>
    </xf>
    <xf numFmtId="188" fontId="68" fillId="0" borderId="42" xfId="5" applyNumberFormat="1" applyFont="1" applyBorder="1" applyAlignment="1" applyProtection="1">
      <alignment vertical="center"/>
      <protection locked="0"/>
    </xf>
    <xf numFmtId="188" fontId="1" fillId="0" borderId="48" xfId="5" applyNumberFormat="1" applyFont="1" applyBorder="1" applyAlignment="1" applyProtection="1">
      <alignment horizontal="right" vertical="center"/>
      <protection locked="0"/>
    </xf>
    <xf numFmtId="188" fontId="1" fillId="0" borderId="42" xfId="5" applyNumberFormat="1" applyFont="1" applyBorder="1" applyAlignment="1" applyProtection="1">
      <alignment vertical="center"/>
      <protection locked="0"/>
    </xf>
    <xf numFmtId="188" fontId="65" fillId="0" borderId="48" xfId="5" applyNumberFormat="1" applyFont="1" applyBorder="1" applyAlignment="1" applyProtection="1">
      <alignment horizontal="right" vertical="center"/>
      <protection locked="0"/>
    </xf>
    <xf numFmtId="187" fontId="1" fillId="0" borderId="3" xfId="0" applyNumberFormat="1" applyFont="1" applyBorder="1" applyAlignment="1" applyProtection="1">
      <alignment vertical="center"/>
      <protection locked="0"/>
    </xf>
    <xf numFmtId="188" fontId="68" fillId="0" borderId="48" xfId="3" applyNumberFormat="1" applyFont="1" applyBorder="1" applyAlignment="1" applyProtection="1">
      <alignment horizontal="right" vertical="center"/>
      <protection locked="0"/>
    </xf>
    <xf numFmtId="188" fontId="1" fillId="0" borderId="42" xfId="3" applyNumberFormat="1" applyFont="1" applyBorder="1" applyAlignment="1" applyProtection="1">
      <alignment horizontal="right" vertical="center"/>
      <protection locked="0"/>
    </xf>
    <xf numFmtId="188" fontId="1" fillId="0" borderId="42" xfId="3" applyNumberFormat="1" applyFont="1" applyBorder="1" applyAlignment="1" applyProtection="1">
      <alignment horizontal="right" vertical="distributed"/>
      <protection locked="0"/>
    </xf>
    <xf numFmtId="188" fontId="65" fillId="0" borderId="42" xfId="3" applyNumberFormat="1" applyFont="1" applyBorder="1" applyAlignment="1" applyProtection="1">
      <alignment horizontal="right" vertical="distributed"/>
      <protection locked="0"/>
    </xf>
    <xf numFmtId="188" fontId="65" fillId="0" borderId="48" xfId="3" applyNumberFormat="1" applyFont="1" applyBorder="1" applyAlignment="1" applyProtection="1">
      <alignment horizontal="right" vertical="distributed"/>
      <protection locked="0"/>
    </xf>
    <xf numFmtId="188" fontId="68" fillId="0" borderId="42" xfId="3" applyNumberFormat="1" applyFont="1" applyBorder="1" applyAlignment="1" applyProtection="1">
      <alignment horizontal="right" vertical="distributed"/>
      <protection locked="0"/>
    </xf>
    <xf numFmtId="188" fontId="1" fillId="0" borderId="42" xfId="7" applyNumberFormat="1" applyFont="1" applyBorder="1" applyAlignment="1" applyProtection="1">
      <alignment horizontal="center" vertical="center"/>
      <protection locked="0"/>
    </xf>
    <xf numFmtId="188" fontId="75" fillId="0" borderId="42" xfId="7" applyNumberFormat="1" applyFont="1" applyBorder="1" applyAlignment="1" applyProtection="1">
      <alignment horizontal="right" vertical="center"/>
      <protection locked="0"/>
    </xf>
    <xf numFmtId="188" fontId="68" fillId="0" borderId="42" xfId="3" applyNumberFormat="1" applyFont="1" applyBorder="1" applyAlignment="1" applyProtection="1">
      <alignment horizontal="right" vertical="center"/>
      <protection locked="0"/>
    </xf>
    <xf numFmtId="0" fontId="1" fillId="0" borderId="42" xfId="0" applyFont="1" applyBorder="1" applyAlignment="1" applyProtection="1">
      <alignment horizontal="right"/>
      <protection locked="0"/>
    </xf>
    <xf numFmtId="0" fontId="1" fillId="0" borderId="42" xfId="0" applyFont="1" applyBorder="1" applyProtection="1">
      <protection locked="0"/>
    </xf>
    <xf numFmtId="188" fontId="1" fillId="0" borderId="42" xfId="1" applyNumberFormat="1" applyFont="1" applyBorder="1" applyAlignment="1" applyProtection="1">
      <alignment horizontal="right" vertical="distributed"/>
      <protection locked="0"/>
    </xf>
    <xf numFmtId="187" fontId="1" fillId="0" borderId="42" xfId="0" applyNumberFormat="1" applyFont="1" applyBorder="1" applyProtection="1">
      <protection locked="0"/>
    </xf>
    <xf numFmtId="187" fontId="1" fillId="0" borderId="3" xfId="0" applyNumberFormat="1" applyFont="1" applyBorder="1" applyProtection="1">
      <protection locked="0"/>
    </xf>
    <xf numFmtId="188" fontId="1" fillId="0" borderId="42" xfId="5" applyNumberFormat="1" applyFont="1" applyBorder="1" applyAlignment="1" applyProtection="1">
      <alignment horizontal="right" vertical="center"/>
      <protection locked="0"/>
    </xf>
    <xf numFmtId="188" fontId="65" fillId="0" borderId="42" xfId="1" applyNumberFormat="1" applyFont="1" applyBorder="1" applyAlignment="1" applyProtection="1">
      <alignment horizontal="right" vertical="distributed"/>
      <protection locked="0"/>
    </xf>
    <xf numFmtId="188" fontId="68" fillId="0" borderId="42" xfId="7" applyNumberFormat="1" applyFont="1" applyBorder="1" applyAlignment="1" applyProtection="1">
      <alignment horizontal="left" vertical="center"/>
      <protection locked="0"/>
    </xf>
    <xf numFmtId="188" fontId="1" fillId="0" borderId="42" xfId="7" applyNumberFormat="1" applyFont="1" applyBorder="1" applyAlignment="1" applyProtection="1">
      <alignment horizontal="left" vertical="center"/>
      <protection locked="0"/>
    </xf>
    <xf numFmtId="188" fontId="1" fillId="0" borderId="42" xfId="1" applyNumberFormat="1" applyFont="1" applyBorder="1" applyAlignment="1" applyProtection="1">
      <alignment horizontal="right" vertical="center"/>
      <protection locked="0"/>
    </xf>
    <xf numFmtId="188" fontId="1" fillId="0" borderId="48" xfId="3" applyNumberFormat="1" applyFont="1" applyBorder="1" applyAlignment="1" applyProtection="1">
      <alignment horizontal="right" vertical="distributed"/>
      <protection locked="0"/>
    </xf>
    <xf numFmtId="0" fontId="1" fillId="0" borderId="48" xfId="0" applyFont="1" applyBorder="1" applyProtection="1">
      <protection locked="0"/>
    </xf>
    <xf numFmtId="39" fontId="4" fillId="0" borderId="42" xfId="1" applyNumberFormat="1" applyBorder="1" applyAlignment="1" applyProtection="1">
      <alignment vertical="distributed"/>
      <protection locked="0"/>
    </xf>
    <xf numFmtId="4" fontId="4" fillId="0" borderId="42" xfId="1" applyNumberFormat="1" applyBorder="1" applyAlignment="1" applyProtection="1">
      <alignment vertical="distributed"/>
      <protection locked="0"/>
    </xf>
    <xf numFmtId="44" fontId="1" fillId="0" borderId="0" xfId="267" applyFont="1" applyAlignment="1" applyProtection="1">
      <alignment horizontal="center" vertical="distributed"/>
      <protection locked="0"/>
    </xf>
    <xf numFmtId="44" fontId="1" fillId="0" borderId="42" xfId="267" applyFont="1" applyBorder="1" applyAlignment="1" applyProtection="1">
      <alignment vertical="distributed"/>
      <protection locked="0"/>
    </xf>
    <xf numFmtId="44" fontId="68" fillId="0" borderId="42" xfId="267" applyFont="1" applyBorder="1" applyAlignment="1" applyProtection="1">
      <alignment horizontal="center" vertical="center"/>
      <protection locked="0"/>
    </xf>
    <xf numFmtId="44" fontId="68" fillId="0" borderId="42" xfId="267" applyFont="1" applyBorder="1" applyAlignment="1" applyProtection="1">
      <alignment vertical="center"/>
      <protection locked="0"/>
    </xf>
    <xf numFmtId="44" fontId="1" fillId="0" borderId="0" xfId="267" applyFont="1" applyAlignment="1" applyProtection="1">
      <alignment horizontal="center" vertical="center"/>
      <protection locked="0"/>
    </xf>
    <xf numFmtId="44" fontId="1" fillId="0" borderId="42" xfId="267" applyFont="1" applyBorder="1" applyAlignment="1" applyProtection="1">
      <alignment horizontal="center" vertical="center"/>
      <protection locked="0"/>
    </xf>
    <xf numFmtId="44" fontId="1" fillId="0" borderId="0" xfId="267" applyFont="1" applyAlignment="1" applyProtection="1">
      <alignment horizontal="right" vertical="distributed"/>
      <protection locked="0"/>
    </xf>
    <xf numFmtId="44" fontId="1" fillId="0" borderId="0" xfId="267" applyFont="1" applyFill="1" applyAlignment="1" applyProtection="1">
      <alignment horizontal="center" vertical="distributed"/>
      <protection locked="0"/>
    </xf>
    <xf numFmtId="44" fontId="68" fillId="0" borderId="0" xfId="267" applyFont="1" applyAlignment="1" applyProtection="1">
      <alignment horizontal="center" vertical="distributed"/>
      <protection locked="0"/>
    </xf>
    <xf numFmtId="44" fontId="68" fillId="0" borderId="42" xfId="267" applyFont="1" applyBorder="1" applyAlignment="1" applyProtection="1">
      <alignment horizontal="center" vertical="distributed"/>
      <protection locked="0"/>
    </xf>
    <xf numFmtId="44" fontId="1" fillId="0" borderId="42" xfId="267" applyFont="1" applyFill="1" applyBorder="1" applyAlignment="1" applyProtection="1">
      <alignment horizontal="center" vertical="distributed"/>
      <protection locked="0"/>
    </xf>
    <xf numFmtId="44" fontId="1" fillId="0" borderId="59" xfId="267" applyFont="1" applyBorder="1" applyAlignment="1" applyProtection="1">
      <alignment horizontal="center" vertical="center"/>
      <protection locked="0"/>
    </xf>
    <xf numFmtId="44" fontId="1" fillId="0" borderId="0" xfId="267" applyFont="1" applyBorder="1" applyAlignment="1" applyProtection="1">
      <alignment horizontal="center" vertical="center"/>
      <protection locked="0"/>
    </xf>
    <xf numFmtId="44" fontId="1" fillId="0" borderId="59" xfId="267" applyFont="1" applyBorder="1" applyAlignment="1" applyProtection="1">
      <alignment vertical="distributed"/>
      <protection locked="0"/>
    </xf>
    <xf numFmtId="44" fontId="75" fillId="0" borderId="42" xfId="267" applyFont="1" applyBorder="1" applyAlignment="1" applyProtection="1">
      <alignment vertical="distributed"/>
      <protection locked="0"/>
    </xf>
    <xf numFmtId="44" fontId="1" fillId="0" borderId="42" xfId="267" applyFont="1" applyBorder="1" applyAlignment="1" applyProtection="1">
      <alignment horizontal="right" vertical="center"/>
      <protection locked="0"/>
    </xf>
    <xf numFmtId="44" fontId="1" fillId="0" borderId="0" xfId="267" applyFont="1" applyBorder="1" applyAlignment="1" applyProtection="1">
      <alignment horizontal="center" vertical="distributed"/>
      <protection locked="0"/>
    </xf>
    <xf numFmtId="44" fontId="1" fillId="0" borderId="42" xfId="267" applyFont="1" applyFill="1" applyBorder="1" applyAlignment="1" applyProtection="1">
      <alignment horizontal="right" vertical="center"/>
      <protection locked="0"/>
    </xf>
    <xf numFmtId="44" fontId="1" fillId="0" borderId="59" xfId="267" applyFont="1" applyBorder="1" applyAlignment="1" applyProtection="1">
      <alignment horizontal="center" vertical="distributed"/>
      <protection locked="0"/>
    </xf>
    <xf numFmtId="44" fontId="1" fillId="0" borderId="59" xfId="267" applyFont="1" applyBorder="1" applyAlignment="1" applyProtection="1">
      <alignment horizontal="center"/>
      <protection locked="0"/>
    </xf>
    <xf numFmtId="44" fontId="1" fillId="0" borderId="42" xfId="267" applyFont="1" applyBorder="1" applyAlignment="1" applyProtection="1">
      <alignment horizontal="center"/>
      <protection locked="0"/>
    </xf>
    <xf numFmtId="44" fontId="1" fillId="0" borderId="59" xfId="267" applyFont="1" applyFill="1" applyBorder="1" applyAlignment="1" applyProtection="1">
      <alignment horizontal="center" vertical="distributed"/>
      <protection locked="0"/>
    </xf>
    <xf numFmtId="44" fontId="1" fillId="0" borderId="0" xfId="267" applyFont="1" applyFill="1" applyBorder="1" applyAlignment="1" applyProtection="1">
      <alignment horizontal="center" vertical="distributed"/>
      <protection locked="0"/>
    </xf>
    <xf numFmtId="44" fontId="1" fillId="0" borderId="48" xfId="267" applyFont="1" applyFill="1" applyBorder="1" applyAlignment="1" applyProtection="1">
      <alignment horizontal="center" vertical="distributed"/>
      <protection locked="0"/>
    </xf>
    <xf numFmtId="44" fontId="1" fillId="0" borderId="48" xfId="267" applyFont="1" applyBorder="1" applyAlignment="1" applyProtection="1">
      <alignment horizontal="center" vertical="distributed"/>
      <protection locked="0"/>
    </xf>
    <xf numFmtId="44" fontId="1" fillId="0" borderId="7" xfId="267" applyFont="1" applyBorder="1" applyProtection="1">
      <protection locked="0"/>
    </xf>
    <xf numFmtId="44" fontId="1" fillId="0" borderId="48" xfId="267" applyFont="1" applyBorder="1" applyProtection="1">
      <protection locked="0"/>
    </xf>
    <xf numFmtId="44" fontId="68" fillId="0" borderId="59" xfId="267" applyFont="1" applyBorder="1" applyAlignment="1" applyProtection="1">
      <alignment horizontal="center" vertical="center"/>
      <protection locked="0"/>
    </xf>
    <xf numFmtId="44" fontId="75" fillId="0" borderId="42" xfId="267" applyFont="1" applyBorder="1" applyAlignment="1" applyProtection="1">
      <alignment horizontal="right" vertical="center"/>
      <protection locked="0"/>
    </xf>
    <xf numFmtId="44" fontId="65" fillId="0" borderId="0" xfId="267" applyFont="1" applyFill="1" applyAlignment="1" applyProtection="1">
      <alignment vertical="center"/>
      <protection locked="0"/>
    </xf>
    <xf numFmtId="44" fontId="64" fillId="0" borderId="0" xfId="267" applyFont="1" applyFill="1" applyAlignment="1" applyProtection="1">
      <alignment horizontal="center" vertical="center"/>
      <protection locked="0"/>
    </xf>
    <xf numFmtId="44" fontId="65" fillId="0" borderId="59" xfId="267" applyFont="1" applyFill="1" applyBorder="1" applyAlignment="1" applyProtection="1">
      <alignment vertical="center"/>
      <protection locked="0"/>
    </xf>
    <xf numFmtId="44" fontId="65" fillId="0" borderId="59" xfId="267" applyFont="1" applyFill="1" applyBorder="1" applyAlignment="1" applyProtection="1">
      <alignment horizontal="center" vertical="center"/>
      <protection locked="0"/>
    </xf>
    <xf numFmtId="44" fontId="65" fillId="0" borderId="76" xfId="267" applyFont="1" applyFill="1" applyBorder="1" applyAlignment="1" applyProtection="1">
      <alignment vertical="center"/>
      <protection locked="0"/>
    </xf>
    <xf numFmtId="44" fontId="65" fillId="0" borderId="76" xfId="267" applyFont="1" applyFill="1" applyBorder="1" applyAlignment="1" applyProtection="1">
      <alignment horizontal="center" vertical="center"/>
      <protection locked="0"/>
    </xf>
    <xf numFmtId="44" fontId="64" fillId="0" borderId="48" xfId="267" applyFont="1" applyFill="1" applyBorder="1" applyAlignment="1" applyProtection="1">
      <alignment horizontal="center" vertical="center"/>
      <protection locked="0"/>
    </xf>
    <xf numFmtId="44" fontId="64" fillId="0" borderId="42" xfId="267" applyFont="1" applyFill="1" applyBorder="1" applyAlignment="1" applyProtection="1">
      <alignment vertical="top"/>
      <protection locked="0"/>
    </xf>
    <xf numFmtId="44" fontId="65" fillId="0" borderId="42" xfId="267" applyFont="1" applyBorder="1" applyAlignment="1" applyProtection="1">
      <alignment horizontal="center" vertical="distributed"/>
      <protection locked="0"/>
    </xf>
    <xf numFmtId="188" fontId="1" fillId="0" borderId="0" xfId="3" applyNumberFormat="1" applyFont="1" applyAlignment="1" applyProtection="1">
      <alignment horizontal="right" vertical="center"/>
      <protection locked="0"/>
    </xf>
    <xf numFmtId="44" fontId="64" fillId="0" borderId="42" xfId="267" applyFont="1" applyBorder="1" applyAlignment="1" applyProtection="1">
      <alignment horizontal="center" vertical="center"/>
      <protection locked="0"/>
    </xf>
    <xf numFmtId="44" fontId="65" fillId="0" borderId="48" xfId="267" applyFont="1" applyBorder="1" applyAlignment="1" applyProtection="1">
      <alignment horizontal="center" vertical="distributed"/>
      <protection locked="0"/>
    </xf>
    <xf numFmtId="44" fontId="65" fillId="0" borderId="42" xfId="267" applyFont="1" applyBorder="1" applyProtection="1">
      <protection locked="0"/>
    </xf>
    <xf numFmtId="188" fontId="65" fillId="0" borderId="42" xfId="7" applyNumberFormat="1" applyFont="1" applyBorder="1" applyAlignment="1" applyProtection="1">
      <alignment horizontal="right" vertical="center"/>
      <protection locked="0"/>
    </xf>
    <xf numFmtId="44" fontId="65" fillId="0" borderId="42" xfId="267" applyFont="1" applyFill="1" applyBorder="1" applyAlignment="1" applyProtection="1">
      <alignment horizontal="center" vertical="distributed"/>
      <protection locked="0"/>
    </xf>
    <xf numFmtId="44" fontId="1" fillId="0" borderId="0" xfId="267" applyFont="1" applyFill="1" applyAlignment="1" applyProtection="1">
      <alignment horizontal="center" vertical="center"/>
      <protection locked="0"/>
    </xf>
    <xf numFmtId="44" fontId="64" fillId="0" borderId="42" xfId="267" applyFont="1" applyBorder="1" applyAlignment="1" applyProtection="1">
      <alignment horizontal="center" vertical="distributed"/>
      <protection locked="0"/>
    </xf>
    <xf numFmtId="188" fontId="1" fillId="0" borderId="59" xfId="1" applyNumberFormat="1" applyFont="1" applyBorder="1" applyAlignment="1" applyProtection="1">
      <alignment horizontal="right" vertical="distributed"/>
      <protection locked="0"/>
    </xf>
    <xf numFmtId="44" fontId="64" fillId="0" borderId="48" xfId="267" applyFont="1" applyBorder="1" applyAlignment="1" applyProtection="1">
      <alignment horizontal="center" vertical="distributed"/>
      <protection locked="0"/>
    </xf>
    <xf numFmtId="44" fontId="65" fillId="0" borderId="42" xfId="267" applyFont="1" applyBorder="1" applyAlignment="1" applyProtection="1">
      <alignment horizontal="right" vertical="center"/>
      <protection locked="0"/>
    </xf>
    <xf numFmtId="44" fontId="69" fillId="0" borderId="0" xfId="267" applyFont="1" applyBorder="1" applyAlignment="1" applyProtection="1">
      <alignment vertical="distributed"/>
      <protection locked="0"/>
    </xf>
    <xf numFmtId="44" fontId="69" fillId="0" borderId="42" xfId="267" applyFont="1" applyBorder="1" applyAlignment="1" applyProtection="1">
      <alignment vertical="distributed"/>
      <protection locked="0"/>
    </xf>
    <xf numFmtId="44" fontId="64" fillId="0" borderId="0" xfId="267" applyFont="1" applyAlignment="1" applyProtection="1">
      <alignment horizontal="center" vertical="distributed"/>
      <protection locked="0"/>
    </xf>
    <xf numFmtId="44" fontId="65" fillId="0" borderId="0" xfId="267" applyFont="1" applyAlignment="1" applyProtection="1">
      <alignment horizontal="center" vertical="distributed"/>
      <protection locked="0"/>
    </xf>
    <xf numFmtId="0" fontId="65" fillId="0" borderId="48" xfId="3" applyFont="1" applyBorder="1" applyAlignment="1" applyProtection="1">
      <alignment vertical="center"/>
      <protection locked="0"/>
    </xf>
    <xf numFmtId="44" fontId="65" fillId="0" borderId="14" xfId="267" applyFont="1" applyBorder="1" applyAlignment="1" applyProtection="1">
      <alignment vertical="center"/>
      <protection locked="0"/>
    </xf>
    <xf numFmtId="44" fontId="1" fillId="0" borderId="42" xfId="267" applyFont="1" applyBorder="1" applyAlignment="1" applyProtection="1">
      <alignment vertical="center"/>
      <protection locked="0"/>
    </xf>
    <xf numFmtId="39" fontId="65" fillId="0" borderId="42" xfId="3" applyNumberFormat="1" applyFont="1" applyBorder="1" applyAlignment="1" applyProtection="1">
      <alignment horizontal="center" vertical="center"/>
      <protection locked="0"/>
    </xf>
    <xf numFmtId="39" fontId="65" fillId="0" borderId="47" xfId="3" applyNumberFormat="1" applyFont="1" applyBorder="1" applyAlignment="1" applyProtection="1">
      <alignment horizontal="center" vertical="center"/>
      <protection locked="0"/>
    </xf>
    <xf numFmtId="44" fontId="65" fillId="0" borderId="47" xfId="267" applyFont="1" applyBorder="1" applyAlignment="1" applyProtection="1">
      <alignment horizontal="center" vertical="center"/>
      <protection locked="0"/>
    </xf>
    <xf numFmtId="188" fontId="65" fillId="0" borderId="42" xfId="3" applyNumberFormat="1" applyFont="1" applyBorder="1" applyAlignment="1" applyProtection="1">
      <alignment horizontal="right" vertical="center"/>
      <protection locked="0"/>
    </xf>
    <xf numFmtId="44" fontId="1" fillId="0" borderId="48" xfId="267" applyFont="1" applyBorder="1" applyAlignment="1" applyProtection="1">
      <alignment horizontal="right" vertical="center"/>
      <protection locked="0"/>
    </xf>
    <xf numFmtId="44" fontId="65" fillId="0" borderId="47" xfId="267" applyFont="1" applyFill="1" applyBorder="1" applyAlignment="1" applyProtection="1">
      <alignment horizontal="center" vertical="center"/>
      <protection locked="0"/>
    </xf>
    <xf numFmtId="44" fontId="1" fillId="0" borderId="47" xfId="267" applyFont="1" applyBorder="1" applyAlignment="1" applyProtection="1">
      <alignment horizontal="center" vertical="center"/>
      <protection locked="0"/>
    </xf>
    <xf numFmtId="44" fontId="1" fillId="0" borderId="48" xfId="267" applyFont="1" applyBorder="1" applyAlignment="1" applyProtection="1">
      <alignment horizontal="center" vertical="center"/>
      <protection locked="0"/>
    </xf>
    <xf numFmtId="44" fontId="68" fillId="0" borderId="48" xfId="267" applyFont="1" applyFill="1" applyBorder="1" applyAlignment="1" applyProtection="1">
      <alignment horizontal="center" vertical="center"/>
      <protection locked="0"/>
    </xf>
    <xf numFmtId="44" fontId="68" fillId="0" borderId="42" xfId="267" applyFont="1" applyFill="1" applyBorder="1" applyAlignment="1" applyProtection="1">
      <alignment horizontal="center" vertical="center"/>
      <protection locked="0"/>
    </xf>
    <xf numFmtId="44" fontId="1" fillId="0" borderId="47" xfId="267" applyFont="1" applyFill="1" applyBorder="1" applyAlignment="1" applyProtection="1">
      <alignment horizontal="center" vertical="center"/>
      <protection locked="0"/>
    </xf>
    <xf numFmtId="44" fontId="1" fillId="0" borderId="48" xfId="267" applyFont="1" applyFill="1" applyBorder="1" applyAlignment="1" applyProtection="1">
      <alignment horizontal="center" vertical="center"/>
      <protection locked="0"/>
    </xf>
    <xf numFmtId="188" fontId="65" fillId="0" borderId="42" xfId="7" applyNumberFormat="1" applyFont="1" applyBorder="1" applyAlignment="1" applyProtection="1">
      <alignment horizontal="center" vertical="center"/>
      <protection locked="0"/>
    </xf>
    <xf numFmtId="190" fontId="65" fillId="0" borderId="42" xfId="1" applyNumberFormat="1" applyFont="1" applyBorder="1" applyAlignment="1" applyProtection="1">
      <alignment horizontal="center" vertical="center"/>
      <protection locked="0"/>
    </xf>
    <xf numFmtId="44" fontId="65" fillId="0" borderId="42" xfId="1" applyNumberFormat="1" applyFont="1" applyBorder="1" applyAlignment="1" applyProtection="1">
      <alignment horizontal="center" vertical="center"/>
      <protection locked="0"/>
    </xf>
    <xf numFmtId="188" fontId="1" fillId="0" borderId="48" xfId="1" applyNumberFormat="1" applyFont="1" applyBorder="1" applyAlignment="1" applyProtection="1">
      <alignment horizontal="right" vertical="center"/>
      <protection locked="0"/>
    </xf>
    <xf numFmtId="44" fontId="68" fillId="0" borderId="2" xfId="267" applyFont="1" applyFill="1" applyBorder="1" applyAlignment="1" applyProtection="1">
      <alignment horizontal="right" vertical="top"/>
      <protection locked="0"/>
    </xf>
    <xf numFmtId="44" fontId="68" fillId="0" borderId="3" xfId="267" applyFont="1" applyFill="1" applyBorder="1" applyAlignment="1" applyProtection="1">
      <alignment horizontal="right" vertical="top"/>
      <protection locked="0"/>
    </xf>
    <xf numFmtId="44" fontId="68" fillId="0" borderId="42" xfId="267" applyFont="1" applyBorder="1" applyAlignment="1" applyProtection="1">
      <alignment horizontal="right" vertical="center"/>
      <protection locked="0"/>
    </xf>
    <xf numFmtId="44" fontId="68" fillId="0" borderId="0" xfId="267" applyFont="1" applyAlignment="1" applyProtection="1">
      <alignment horizontal="center" vertical="center"/>
      <protection locked="0"/>
    </xf>
    <xf numFmtId="44" fontId="1" fillId="0" borderId="0" xfId="267" applyFont="1" applyAlignment="1" applyProtection="1">
      <alignment horizontal="center"/>
      <protection locked="0"/>
    </xf>
    <xf numFmtId="44" fontId="1" fillId="0" borderId="42" xfId="267" applyFont="1" applyBorder="1" applyProtection="1">
      <protection locked="0"/>
    </xf>
    <xf numFmtId="188" fontId="64" fillId="0" borderId="3" xfId="7" applyNumberFormat="1" applyFont="1" applyBorder="1" applyAlignment="1" applyProtection="1">
      <alignment horizontal="right" vertical="top"/>
      <protection locked="0"/>
    </xf>
    <xf numFmtId="188" fontId="64" fillId="0" borderId="42" xfId="11" applyNumberFormat="1" applyFont="1" applyBorder="1" applyAlignment="1" applyProtection="1">
      <alignment horizontal="right" vertical="center"/>
      <protection locked="0"/>
    </xf>
    <xf numFmtId="188" fontId="65" fillId="0" borderId="42" xfId="11" applyNumberFormat="1" applyFont="1" applyBorder="1" applyAlignment="1" applyProtection="1">
      <alignment horizontal="right" vertical="center"/>
      <protection locked="0"/>
    </xf>
    <xf numFmtId="188" fontId="64" fillId="0" borderId="42" xfId="7" applyNumberFormat="1" applyFont="1" applyBorder="1" applyAlignment="1" applyProtection="1">
      <alignment horizontal="right" vertical="center"/>
      <protection locked="0"/>
    </xf>
    <xf numFmtId="188" fontId="1" fillId="0" borderId="42" xfId="7" applyNumberFormat="1" applyFont="1" applyBorder="1" applyAlignment="1" applyProtection="1">
      <alignment horizontal="right" vertical="center"/>
      <protection locked="0"/>
    </xf>
    <xf numFmtId="188" fontId="1" fillId="0" borderId="42" xfId="11" applyNumberFormat="1" applyFont="1" applyBorder="1" applyAlignment="1" applyProtection="1">
      <alignment horizontal="right" vertical="center"/>
      <protection locked="0"/>
    </xf>
    <xf numFmtId="188" fontId="65" fillId="0" borderId="42" xfId="65" applyNumberFormat="1" applyFont="1" applyBorder="1" applyAlignment="1" applyProtection="1">
      <alignment horizontal="right" vertical="center"/>
      <protection locked="0"/>
    </xf>
    <xf numFmtId="188" fontId="65" fillId="0" borderId="42" xfId="52" applyNumberFormat="1" applyFont="1" applyBorder="1" applyAlignment="1" applyProtection="1">
      <alignment horizontal="right" vertical="center"/>
      <protection locked="0"/>
    </xf>
    <xf numFmtId="188" fontId="65" fillId="0" borderId="42" xfId="7" applyNumberFormat="1" applyFont="1" applyBorder="1" applyAlignment="1" applyProtection="1">
      <alignment vertical="center"/>
      <protection locked="0"/>
    </xf>
    <xf numFmtId="188" fontId="84" fillId="0" borderId="42" xfId="0" applyNumberFormat="1" applyFont="1" applyBorder="1" applyAlignment="1" applyProtection="1">
      <alignment horizontal="right"/>
      <protection locked="0"/>
    </xf>
    <xf numFmtId="188" fontId="65" fillId="0" borderId="3" xfId="7" applyNumberFormat="1" applyFont="1" applyBorder="1" applyAlignment="1" applyProtection="1">
      <alignment vertical="center"/>
      <protection locked="0"/>
    </xf>
    <xf numFmtId="188" fontId="65" fillId="0" borderId="59" xfId="7" applyNumberFormat="1" applyFont="1" applyBorder="1" applyAlignment="1" applyProtection="1">
      <alignment horizontal="right" vertical="center"/>
      <protection locked="0"/>
    </xf>
    <xf numFmtId="188" fontId="42" fillId="0" borderId="42" xfId="3" applyNumberFormat="1" applyFont="1" applyBorder="1" applyAlignment="1" applyProtection="1">
      <alignment horizontal="right" vertical="distributed"/>
      <protection locked="0"/>
    </xf>
    <xf numFmtId="44" fontId="42" fillId="0" borderId="42" xfId="267" applyFont="1" applyFill="1" applyBorder="1" applyAlignment="1" applyProtection="1">
      <alignment horizontal="right" vertical="distributed"/>
      <protection locked="0"/>
    </xf>
    <xf numFmtId="188" fontId="64" fillId="0" borderId="42" xfId="7" applyNumberFormat="1" applyFont="1" applyBorder="1" applyAlignment="1" applyProtection="1">
      <alignment horizontal="center" vertical="center"/>
      <protection locked="0"/>
    </xf>
    <xf numFmtId="188" fontId="65" fillId="0" borderId="42" xfId="11" applyNumberFormat="1" applyFont="1" applyBorder="1" applyAlignment="1" applyProtection="1">
      <alignment vertical="center"/>
      <protection locked="0"/>
    </xf>
    <xf numFmtId="188" fontId="65" fillId="0" borderId="3" xfId="7" applyNumberFormat="1" applyFont="1" applyBorder="1" applyAlignment="1" applyProtection="1">
      <alignment horizontal="right" vertical="center"/>
      <protection locked="0"/>
    </xf>
    <xf numFmtId="188" fontId="67" fillId="0" borderId="42" xfId="11" applyNumberFormat="1" applyFont="1" applyBorder="1" applyAlignment="1" applyProtection="1">
      <alignment vertical="center"/>
      <protection locked="0"/>
    </xf>
    <xf numFmtId="188" fontId="67" fillId="0" borderId="42" xfId="11" applyNumberFormat="1" applyFont="1" applyBorder="1" applyAlignment="1" applyProtection="1">
      <alignment horizontal="right" vertical="center"/>
      <protection locked="0"/>
    </xf>
    <xf numFmtId="188" fontId="69" fillId="0" borderId="42" xfId="7" applyNumberFormat="1" applyFont="1" applyBorder="1" applyAlignment="1" applyProtection="1">
      <alignment horizontal="right" vertical="center"/>
      <protection locked="0"/>
    </xf>
    <xf numFmtId="188" fontId="65" fillId="0" borderId="48" xfId="11" applyNumberFormat="1" applyFont="1" applyBorder="1" applyAlignment="1" applyProtection="1">
      <alignment horizontal="right" vertical="center"/>
      <protection locked="0"/>
    </xf>
    <xf numFmtId="44" fontId="1" fillId="0" borderId="42" xfId="0" applyNumberFormat="1" applyFont="1" applyBorder="1" applyAlignment="1" applyProtection="1">
      <alignment vertical="center"/>
      <protection locked="0"/>
    </xf>
    <xf numFmtId="188" fontId="64" fillId="0" borderId="42" xfId="11" applyNumberFormat="1" applyFont="1" applyBorder="1" applyAlignment="1" applyProtection="1">
      <alignment vertical="center" wrapText="1"/>
      <protection locked="0"/>
    </xf>
    <xf numFmtId="188" fontId="64" fillId="0" borderId="42" xfId="11" applyNumberFormat="1" applyFont="1" applyBorder="1" applyAlignment="1" applyProtection="1">
      <alignment horizontal="right" vertical="center" wrapText="1"/>
      <protection locked="0"/>
    </xf>
    <xf numFmtId="188" fontId="65" fillId="0" borderId="48" xfId="11" applyNumberFormat="1" applyFont="1" applyBorder="1" applyAlignment="1" applyProtection="1">
      <alignment vertical="center"/>
      <protection locked="0"/>
    </xf>
    <xf numFmtId="44" fontId="64" fillId="0" borderId="42" xfId="267" applyFont="1" applyBorder="1" applyAlignment="1" applyProtection="1">
      <alignment horizontal="right" vertical="center"/>
      <protection locked="0"/>
    </xf>
    <xf numFmtId="44" fontId="64" fillId="0" borderId="42" xfId="267" applyFont="1" applyBorder="1" applyAlignment="1" applyProtection="1">
      <alignment vertical="center" wrapText="1"/>
      <protection locked="0"/>
    </xf>
    <xf numFmtId="44" fontId="65" fillId="0" borderId="42" xfId="267" quotePrefix="1" applyFont="1" applyBorder="1" applyAlignment="1" applyProtection="1">
      <alignment horizontal="center" vertical="center"/>
      <protection locked="0"/>
    </xf>
    <xf numFmtId="44" fontId="65" fillId="0" borderId="59" xfId="267" quotePrefix="1" applyFont="1" applyBorder="1" applyAlignment="1" applyProtection="1">
      <alignment horizontal="center" vertical="center"/>
      <protection locked="0"/>
    </xf>
    <xf numFmtId="44" fontId="67" fillId="0" borderId="42" xfId="267" applyFont="1" applyBorder="1" applyAlignment="1" applyProtection="1">
      <alignment vertical="center"/>
      <protection locked="0"/>
    </xf>
    <xf numFmtId="44" fontId="67" fillId="0" borderId="42" xfId="267" applyFont="1" applyBorder="1" applyAlignment="1" applyProtection="1">
      <alignment horizontal="right" vertical="center"/>
      <protection locked="0"/>
    </xf>
    <xf numFmtId="44" fontId="69" fillId="0" borderId="42" xfId="267" applyFont="1" applyBorder="1" applyAlignment="1" applyProtection="1">
      <alignment horizontal="right" vertical="center"/>
      <protection locked="0"/>
    </xf>
    <xf numFmtId="44" fontId="65" fillId="0" borderId="3" xfId="267" applyFont="1" applyBorder="1" applyAlignment="1" applyProtection="1">
      <alignment horizontal="right" vertical="center"/>
      <protection locked="0"/>
    </xf>
    <xf numFmtId="44" fontId="65" fillId="0" borderId="42" xfId="267" quotePrefix="1" applyFont="1" applyBorder="1" applyAlignment="1" applyProtection="1">
      <alignment horizontal="center" vertical="center" wrapText="1"/>
      <protection locked="0"/>
    </xf>
    <xf numFmtId="44" fontId="65" fillId="0" borderId="42" xfId="267" applyFont="1" applyBorder="1" applyAlignment="1" applyProtection="1">
      <alignment vertical="center" wrapText="1"/>
      <protection locked="0"/>
    </xf>
    <xf numFmtId="44" fontId="65" fillId="0" borderId="42" xfId="267" applyFont="1" applyBorder="1" applyAlignment="1" applyProtection="1">
      <alignment horizontal="center" vertical="center" wrapText="1"/>
      <protection locked="0"/>
    </xf>
    <xf numFmtId="2" fontId="65" fillId="0" borderId="42" xfId="267" quotePrefix="1" applyNumberFormat="1" applyFont="1" applyBorder="1" applyAlignment="1" applyProtection="1">
      <alignment horizontal="center" vertical="center"/>
      <protection locked="0"/>
    </xf>
    <xf numFmtId="44" fontId="65" fillId="0" borderId="59" xfId="267" applyFont="1" applyBorder="1" applyAlignment="1" applyProtection="1">
      <alignment horizontal="center" vertical="center" wrapText="1"/>
      <protection locked="0"/>
    </xf>
    <xf numFmtId="44" fontId="65" fillId="0" borderId="69" xfId="0" applyNumberFormat="1" applyFont="1" applyBorder="1" applyAlignment="1" applyProtection="1">
      <alignment horizontal="center" vertical="center"/>
      <protection locked="0"/>
    </xf>
    <xf numFmtId="167" fontId="65" fillId="0" borderId="63" xfId="0" applyNumberFormat="1" applyFont="1" applyBorder="1" applyAlignment="1" applyProtection="1">
      <alignment horizontal="right" vertical="center"/>
      <protection locked="0"/>
    </xf>
    <xf numFmtId="167" fontId="65" fillId="0" borderId="63" xfId="0" applyNumberFormat="1" applyFont="1" applyBorder="1" applyAlignment="1" applyProtection="1">
      <alignment horizontal="center" vertical="center"/>
      <protection locked="0"/>
    </xf>
    <xf numFmtId="167" fontId="65" fillId="0" borderId="65" xfId="0" applyNumberFormat="1" applyFont="1" applyBorder="1" applyAlignment="1" applyProtection="1">
      <alignment horizontal="center" vertical="center"/>
      <protection locked="0"/>
    </xf>
    <xf numFmtId="167" fontId="65" fillId="0" borderId="67" xfId="0" applyNumberFormat="1" applyFont="1" applyBorder="1" applyAlignment="1" applyProtection="1">
      <alignment horizontal="center" vertical="center"/>
      <protection locked="0"/>
    </xf>
    <xf numFmtId="167" fontId="65" fillId="0" borderId="69" xfId="0" applyNumberFormat="1" applyFont="1" applyBorder="1" applyAlignment="1" applyProtection="1">
      <alignment horizontal="center" vertical="center"/>
      <protection locked="0"/>
    </xf>
    <xf numFmtId="175" fontId="1" fillId="0" borderId="65" xfId="0" applyNumberFormat="1" applyFont="1" applyBorder="1" applyAlignment="1" applyProtection="1">
      <alignment horizontal="center" vertical="center"/>
      <protection locked="0"/>
    </xf>
    <xf numFmtId="44" fontId="1" fillId="0" borderId="67" xfId="267" applyFont="1" applyBorder="1" applyAlignment="1" applyProtection="1">
      <alignment horizontal="center" vertical="center"/>
      <protection locked="0"/>
    </xf>
    <xf numFmtId="175" fontId="1" fillId="0" borderId="61" xfId="0" applyNumberFormat="1" applyFont="1" applyBorder="1" applyAlignment="1" applyProtection="1">
      <alignment horizontal="center" vertical="center"/>
      <protection locked="0"/>
    </xf>
    <xf numFmtId="44" fontId="1" fillId="0" borderId="41" xfId="267" applyFont="1" applyBorder="1" applyAlignment="1" applyProtection="1">
      <alignment horizontal="center" vertical="center"/>
      <protection locked="0"/>
    </xf>
    <xf numFmtId="44" fontId="42" fillId="0" borderId="26" xfId="267" applyFont="1" applyFill="1" applyBorder="1" applyAlignment="1" applyProtection="1">
      <alignment horizontal="center" vertical="center"/>
      <protection locked="0"/>
    </xf>
    <xf numFmtId="44" fontId="42" fillId="0" borderId="25" xfId="267" applyFont="1" applyFill="1" applyBorder="1" applyAlignment="1" applyProtection="1">
      <alignment horizontal="center" vertical="center"/>
      <protection locked="0"/>
    </xf>
    <xf numFmtId="44" fontId="42" fillId="0" borderId="26" xfId="267" applyFont="1" applyFill="1" applyBorder="1" applyAlignment="1" applyProtection="1">
      <alignment horizontal="center" vertical="center" wrapText="1"/>
      <protection locked="0"/>
    </xf>
    <xf numFmtId="43" fontId="42" fillId="0" borderId="25" xfId="268" applyFont="1" applyFill="1" applyBorder="1" applyAlignment="1" applyProtection="1">
      <alignment horizontal="center" vertical="center"/>
      <protection locked="0"/>
    </xf>
    <xf numFmtId="44" fontId="42" fillId="0" borderId="25" xfId="267" applyFont="1" applyFill="1" applyBorder="1" applyAlignment="1" applyProtection="1">
      <alignment vertical="center"/>
      <protection locked="0"/>
    </xf>
    <xf numFmtId="44" fontId="42" fillId="0" borderId="25" xfId="267" applyFont="1" applyFill="1" applyBorder="1" applyAlignment="1" applyProtection="1">
      <alignment horizontal="center" vertical="center" wrapText="1"/>
      <protection locked="0"/>
    </xf>
    <xf numFmtId="44" fontId="42" fillId="0" borderId="25" xfId="0" applyNumberFormat="1" applyFont="1" applyBorder="1" applyAlignment="1" applyProtection="1">
      <alignment horizontal="center" vertical="center" wrapText="1"/>
      <protection locked="0"/>
    </xf>
    <xf numFmtId="44" fontId="42" fillId="0" borderId="25" xfId="0" applyNumberFormat="1" applyFont="1" applyBorder="1" applyAlignment="1" applyProtection="1">
      <alignment horizontal="center" vertical="center"/>
      <protection locked="0"/>
    </xf>
    <xf numFmtId="44" fontId="42" fillId="0" borderId="3" xfId="0" applyNumberFormat="1" applyFont="1" applyBorder="1" applyAlignment="1" applyProtection="1">
      <alignment horizontal="center" vertical="center"/>
      <protection locked="0"/>
    </xf>
    <xf numFmtId="188" fontId="4" fillId="0" borderId="25" xfId="0" applyNumberFormat="1" applyFont="1" applyBorder="1" applyProtection="1">
      <protection locked="0"/>
    </xf>
    <xf numFmtId="0" fontId="65" fillId="0" borderId="7" xfId="0" applyFont="1" applyBorder="1" applyAlignment="1">
      <alignment horizontal="center" vertical="center" wrapText="1"/>
    </xf>
    <xf numFmtId="0" fontId="64" fillId="2" borderId="25" xfId="0" applyFont="1" applyFill="1" applyBorder="1" applyAlignment="1">
      <alignment horizontal="center" vertical="center" wrapText="1"/>
    </xf>
    <xf numFmtId="0" fontId="64" fillId="2" borderId="25" xfId="0" applyFont="1" applyFill="1" applyBorder="1" applyAlignment="1">
      <alignment horizontal="center" vertical="center"/>
    </xf>
    <xf numFmtId="44" fontId="64" fillId="2" borderId="25" xfId="267" applyFont="1" applyFill="1" applyBorder="1" applyAlignment="1" applyProtection="1">
      <alignment horizontal="center" vertical="center"/>
    </xf>
    <xf numFmtId="0" fontId="64" fillId="0" borderId="48" xfId="0" applyFont="1" applyBorder="1" applyAlignment="1">
      <alignment horizontal="center" vertical="center" wrapText="1"/>
    </xf>
    <xf numFmtId="0" fontId="65" fillId="0" borderId="48" xfId="0" applyFont="1" applyBorder="1" applyAlignment="1">
      <alignment horizontal="center" vertical="center" wrapText="1"/>
    </xf>
    <xf numFmtId="0" fontId="65" fillId="0" borderId="42" xfId="0" applyFont="1" applyBorder="1" applyAlignment="1">
      <alignment horizontal="center" vertical="center" wrapText="1"/>
    </xf>
    <xf numFmtId="44" fontId="65" fillId="0" borderId="42" xfId="267" applyFont="1" applyFill="1" applyBorder="1" applyAlignment="1" applyProtection="1">
      <alignment horizontal="center" vertical="center"/>
    </xf>
    <xf numFmtId="44" fontId="65" fillId="0" borderId="42" xfId="267" applyFont="1" applyFill="1" applyBorder="1" applyAlignment="1" applyProtection="1">
      <alignment vertical="center"/>
    </xf>
    <xf numFmtId="0" fontId="65" fillId="0" borderId="47" xfId="0" applyFont="1" applyBorder="1" applyAlignment="1">
      <alignment horizontal="center" vertical="center"/>
    </xf>
    <xf numFmtId="0" fontId="65" fillId="0" borderId="47" xfId="0" applyFont="1" applyBorder="1" applyAlignment="1">
      <alignment horizontal="left" vertical="center" wrapText="1"/>
    </xf>
    <xf numFmtId="0" fontId="65" fillId="0" borderId="47" xfId="0" applyFont="1" applyBorder="1" applyAlignment="1">
      <alignment horizontal="center" vertical="center" wrapText="1"/>
    </xf>
    <xf numFmtId="0" fontId="64" fillId="0" borderId="47" xfId="0" applyFont="1" applyBorder="1" applyAlignment="1">
      <alignment vertical="center" wrapText="1"/>
    </xf>
    <xf numFmtId="0" fontId="65" fillId="0" borderId="47" xfId="0" applyFont="1" applyBorder="1" applyAlignment="1">
      <alignment vertical="center" wrapText="1"/>
    </xf>
    <xf numFmtId="39" fontId="65" fillId="0" borderId="47" xfId="0" applyNumberFormat="1" applyFont="1" applyBorder="1" applyAlignment="1">
      <alignment horizontal="center" vertical="center" wrapText="1"/>
    </xf>
    <xf numFmtId="0" fontId="64" fillId="0" borderId="47" xfId="0" applyFont="1" applyBorder="1" applyAlignment="1">
      <alignment horizontal="left" vertical="center" wrapText="1"/>
    </xf>
    <xf numFmtId="39" fontId="64" fillId="0" borderId="47" xfId="0" applyNumberFormat="1" applyFont="1" applyBorder="1" applyAlignment="1">
      <alignment horizontal="center" vertical="center" wrapText="1"/>
    </xf>
    <xf numFmtId="0" fontId="64" fillId="0" borderId="47" xfId="0" applyFont="1" applyBorder="1" applyAlignment="1">
      <alignment horizontal="center" vertical="center"/>
    </xf>
    <xf numFmtId="0" fontId="65" fillId="0" borderId="42" xfId="1" applyFont="1" applyBorder="1" applyAlignment="1">
      <alignment vertical="center" wrapText="1"/>
    </xf>
    <xf numFmtId="0" fontId="65" fillId="0" borderId="42" xfId="1" applyFont="1" applyBorder="1" applyAlignment="1">
      <alignment horizontal="center" vertical="center" wrapText="1"/>
    </xf>
    <xf numFmtId="0" fontId="65" fillId="0" borderId="0" xfId="2" applyFont="1" applyAlignment="1">
      <alignment horizontal="center" vertical="center"/>
    </xf>
    <xf numFmtId="0" fontId="65" fillId="0" borderId="59" xfId="1" applyFont="1" applyBorder="1" applyAlignment="1">
      <alignment vertical="center" wrapText="1"/>
    </xf>
    <xf numFmtId="39" fontId="65" fillId="0" borderId="42" xfId="1" applyNumberFormat="1" applyFont="1" applyBorder="1" applyAlignment="1">
      <alignment horizontal="center" vertical="center" wrapText="1"/>
    </xf>
    <xf numFmtId="0" fontId="65" fillId="0" borderId="76" xfId="1" applyFont="1" applyBorder="1" applyAlignment="1">
      <alignment vertical="center" wrapText="1"/>
    </xf>
    <xf numFmtId="0" fontId="65" fillId="0" borderId="47" xfId="1" applyFont="1" applyBorder="1" applyAlignment="1">
      <alignment horizontal="center" vertical="center"/>
    </xf>
    <xf numFmtId="0" fontId="65" fillId="0" borderId="0" xfId="1" applyFont="1" applyAlignment="1">
      <alignment vertical="center" wrapText="1"/>
    </xf>
    <xf numFmtId="0" fontId="65" fillId="0" borderId="0" xfId="1" applyFont="1" applyAlignment="1">
      <alignment horizontal="center" vertical="center"/>
    </xf>
    <xf numFmtId="0" fontId="65" fillId="0" borderId="59" xfId="1" applyFont="1" applyBorder="1" applyAlignment="1">
      <alignment horizontal="left" vertical="center" wrapText="1"/>
    </xf>
    <xf numFmtId="0" fontId="65" fillId="0" borderId="0" xfId="1" applyFont="1" applyAlignment="1">
      <alignment horizontal="left" vertical="center" wrapText="1"/>
    </xf>
    <xf numFmtId="0" fontId="64" fillId="0" borderId="0" xfId="0" applyFont="1" applyAlignment="1">
      <alignment vertical="center" wrapText="1"/>
    </xf>
    <xf numFmtId="0" fontId="65" fillId="0" borderId="47" xfId="0" applyFont="1" applyBorder="1" applyAlignment="1">
      <alignment horizontal="right" vertical="center" wrapText="1"/>
    </xf>
    <xf numFmtId="0" fontId="65" fillId="0" borderId="59" xfId="1" applyFont="1" applyBorder="1" applyAlignment="1">
      <alignment horizontal="center" vertical="center" wrapText="1"/>
    </xf>
    <xf numFmtId="0" fontId="65" fillId="0" borderId="59" xfId="1" applyFont="1" applyBorder="1" applyAlignment="1">
      <alignment horizontal="center" vertical="center"/>
    </xf>
    <xf numFmtId="0" fontId="65" fillId="0" borderId="58" xfId="1" applyFont="1" applyBorder="1" applyAlignment="1">
      <alignment vertical="center" wrapText="1"/>
    </xf>
    <xf numFmtId="0" fontId="65" fillId="0" borderId="58" xfId="1" applyFont="1" applyBorder="1" applyAlignment="1">
      <alignment horizontal="center" vertical="center" wrapText="1"/>
    </xf>
    <xf numFmtId="0" fontId="65" fillId="0" borderId="58" xfId="1" applyFont="1" applyBorder="1" applyAlignment="1">
      <alignment horizontal="center" vertical="center"/>
    </xf>
    <xf numFmtId="0" fontId="65" fillId="0" borderId="48" xfId="1" applyFont="1" applyBorder="1" applyAlignment="1">
      <alignment horizontal="center" vertical="center" wrapText="1"/>
    </xf>
    <xf numFmtId="0" fontId="65" fillId="0" borderId="0" xfId="1" applyFont="1" applyAlignment="1">
      <alignment horizontal="center" vertical="center" wrapText="1"/>
    </xf>
    <xf numFmtId="0" fontId="65" fillId="0" borderId="75" xfId="1" applyFont="1" applyBorder="1" applyAlignment="1">
      <alignment horizontal="center" vertical="center"/>
    </xf>
    <xf numFmtId="44" fontId="65" fillId="0" borderId="0" xfId="267" applyFont="1" applyFill="1" applyBorder="1" applyAlignment="1" applyProtection="1">
      <alignment vertical="center"/>
    </xf>
    <xf numFmtId="0" fontId="65" fillId="0" borderId="75" xfId="0" applyFont="1" applyBorder="1" applyAlignment="1">
      <alignment horizontal="center" vertical="center" wrapText="1"/>
    </xf>
    <xf numFmtId="0" fontId="65" fillId="0" borderId="75" xfId="1" applyFont="1" applyBorder="1" applyAlignment="1">
      <alignment horizontal="center" vertical="center" wrapText="1"/>
    </xf>
    <xf numFmtId="0" fontId="65" fillId="0" borderId="58" xfId="1" applyFont="1" applyBorder="1" applyAlignment="1">
      <alignment horizontal="left" vertical="center" wrapText="1"/>
    </xf>
    <xf numFmtId="0" fontId="65" fillId="0" borderId="75" xfId="1" applyFont="1" applyBorder="1" applyAlignment="1">
      <alignment vertical="center" wrapText="1"/>
    </xf>
    <xf numFmtId="0" fontId="65" fillId="0" borderId="75" xfId="1" applyFont="1" applyBorder="1" applyAlignment="1">
      <alignment horizontal="left" vertical="center" wrapText="1"/>
    </xf>
    <xf numFmtId="0" fontId="65" fillId="0" borderId="58" xfId="1" applyFont="1" applyBorder="1" applyAlignment="1">
      <alignment vertical="center"/>
    </xf>
    <xf numFmtId="0" fontId="64" fillId="0" borderId="75" xfId="0" applyFont="1" applyBorder="1" applyAlignment="1">
      <alignment vertical="center" wrapText="1"/>
    </xf>
    <xf numFmtId="0" fontId="65" fillId="0" borderId="48" xfId="1" applyFont="1" applyBorder="1" applyAlignment="1">
      <alignment vertical="center" wrapText="1"/>
    </xf>
    <xf numFmtId="44" fontId="65" fillId="0" borderId="42" xfId="267" applyFont="1" applyBorder="1" applyAlignment="1" applyProtection="1">
      <alignment vertical="center"/>
    </xf>
    <xf numFmtId="39" fontId="65" fillId="0" borderId="48" xfId="1" applyNumberFormat="1" applyFont="1" applyBorder="1" applyAlignment="1">
      <alignment horizontal="center" vertical="center" wrapText="1"/>
    </xf>
    <xf numFmtId="39" fontId="65" fillId="0" borderId="42" xfId="0" applyNumberFormat="1" applyFont="1" applyBorder="1" applyAlignment="1">
      <alignment horizontal="center" vertical="center" wrapText="1"/>
    </xf>
    <xf numFmtId="0" fontId="64" fillId="0" borderId="48" xfId="1" applyFont="1" applyBorder="1" applyAlignment="1">
      <alignment vertical="center" wrapText="1"/>
    </xf>
    <xf numFmtId="0" fontId="65" fillId="0" borderId="47" xfId="0" applyFont="1" applyBorder="1" applyAlignment="1">
      <alignment vertical="center"/>
    </xf>
    <xf numFmtId="44" fontId="65" fillId="0" borderId="0" xfId="267" applyFont="1" applyAlignment="1" applyProtection="1">
      <alignment vertical="center"/>
    </xf>
    <xf numFmtId="0" fontId="65" fillId="0" borderId="48" xfId="1" applyFont="1" applyBorder="1" applyAlignment="1">
      <alignment vertical="center"/>
    </xf>
    <xf numFmtId="0" fontId="65" fillId="0" borderId="48" xfId="0" applyFont="1" applyBorder="1" applyAlignment="1">
      <alignment vertical="center" wrapText="1"/>
    </xf>
    <xf numFmtId="0" fontId="65" fillId="0" borderId="48" xfId="2" applyFont="1" applyBorder="1" applyAlignment="1">
      <alignment horizontal="center" vertical="center"/>
    </xf>
    <xf numFmtId="0" fontId="65" fillId="0" borderId="0" xfId="1" applyFont="1" applyAlignment="1">
      <alignment vertical="center"/>
    </xf>
    <xf numFmtId="0" fontId="65" fillId="0" borderId="48" xfId="1" applyFont="1" applyBorder="1" applyAlignment="1">
      <alignment horizontal="left" wrapText="1"/>
    </xf>
    <xf numFmtId="0" fontId="64" fillId="0" borderId="0" xfId="1" applyFont="1" applyAlignment="1">
      <alignment horizontal="center" vertical="center"/>
    </xf>
    <xf numFmtId="0" fontId="64" fillId="0" borderId="59" xfId="1" applyFont="1" applyBorder="1" applyAlignment="1">
      <alignment vertical="center" wrapText="1"/>
    </xf>
    <xf numFmtId="0" fontId="64" fillId="0" borderId="59" xfId="1" applyFont="1" applyBorder="1" applyAlignment="1">
      <alignment horizontal="center" vertical="center" wrapText="1"/>
    </xf>
    <xf numFmtId="0" fontId="64" fillId="0" borderId="59" xfId="1" applyFont="1" applyBorder="1" applyAlignment="1">
      <alignment horizontal="center" vertical="center"/>
    </xf>
    <xf numFmtId="0" fontId="65" fillId="0" borderId="7" xfId="1" applyFont="1" applyBorder="1" applyAlignment="1">
      <alignment horizontal="center" vertical="center"/>
    </xf>
    <xf numFmtId="0" fontId="65" fillId="0" borderId="7" xfId="0" applyFont="1" applyBorder="1" applyAlignment="1">
      <alignment horizontal="center" vertical="center"/>
    </xf>
    <xf numFmtId="0" fontId="65" fillId="0" borderId="7" xfId="1" applyFont="1" applyBorder="1" applyAlignment="1">
      <alignment vertical="center" wrapText="1"/>
    </xf>
    <xf numFmtId="0" fontId="65" fillId="0" borderId="7" xfId="1" applyFont="1" applyBorder="1" applyAlignment="1">
      <alignment horizontal="center" vertical="center" wrapText="1"/>
    </xf>
    <xf numFmtId="197" fontId="65" fillId="0" borderId="48" xfId="267" applyNumberFormat="1" applyFont="1" applyFill="1" applyBorder="1" applyAlignment="1" applyProtection="1">
      <alignment horizontal="center" vertical="center"/>
    </xf>
    <xf numFmtId="0" fontId="64" fillId="0" borderId="48" xfId="0" applyFont="1" applyBorder="1" applyAlignment="1">
      <alignment horizontal="center" vertical="center"/>
    </xf>
    <xf numFmtId="44" fontId="65" fillId="0" borderId="0" xfId="267" quotePrefix="1" applyFont="1" applyAlignment="1" applyProtection="1">
      <alignment horizontal="center" vertical="center"/>
    </xf>
    <xf numFmtId="196" fontId="65" fillId="0" borderId="47" xfId="268" applyNumberFormat="1" applyFont="1" applyBorder="1" applyAlignment="1" applyProtection="1">
      <alignment horizontal="center" vertical="center"/>
    </xf>
    <xf numFmtId="3" fontId="65" fillId="0" borderId="47" xfId="0" applyNumberFormat="1" applyFont="1" applyBorder="1" applyAlignment="1">
      <alignment horizontal="center" vertical="center"/>
    </xf>
    <xf numFmtId="0" fontId="65" fillId="0" borderId="47" xfId="1" applyFont="1" applyBorder="1" applyAlignment="1">
      <alignment vertical="center" wrapText="1"/>
    </xf>
    <xf numFmtId="0" fontId="69" fillId="0" borderId="47" xfId="0" applyFont="1" applyBorder="1" applyAlignment="1">
      <alignment horizontal="left" vertical="center" wrapText="1"/>
    </xf>
    <xf numFmtId="0" fontId="64" fillId="0" borderId="59" xfId="0" applyFont="1" applyBorder="1" applyAlignment="1">
      <alignment horizontal="center" vertical="center"/>
    </xf>
    <xf numFmtId="0" fontId="65" fillId="0" borderId="7" xfId="0" applyFont="1" applyBorder="1" applyAlignment="1">
      <alignment horizontal="left" vertical="center" wrapText="1"/>
    </xf>
    <xf numFmtId="0" fontId="65" fillId="0" borderId="12" xfId="0" applyFont="1" applyBorder="1" applyAlignment="1">
      <alignment horizontal="center" vertical="center" wrapText="1"/>
    </xf>
    <xf numFmtId="0" fontId="65" fillId="0" borderId="75" xfId="0" applyFont="1" applyBorder="1" applyAlignment="1">
      <alignment horizontal="center" vertical="center"/>
    </xf>
    <xf numFmtId="44" fontId="65" fillId="0" borderId="48" xfId="267" applyFont="1" applyFill="1" applyBorder="1" applyAlignment="1" applyProtection="1">
      <alignment horizontal="center" vertical="center"/>
    </xf>
    <xf numFmtId="197" fontId="65" fillId="0" borderId="48" xfId="267" applyNumberFormat="1" applyFont="1" applyBorder="1" applyAlignment="1" applyProtection="1">
      <alignment horizontal="center" vertical="center"/>
    </xf>
    <xf numFmtId="0" fontId="65" fillId="0" borderId="0" xfId="0" applyFont="1" applyAlignment="1">
      <alignment horizontal="center" vertical="center" wrapText="1"/>
    </xf>
    <xf numFmtId="197" fontId="65" fillId="0" borderId="42" xfId="267" applyNumberFormat="1" applyFont="1" applyBorder="1" applyAlignment="1" applyProtection="1">
      <alignment vertical="center"/>
    </xf>
    <xf numFmtId="197" fontId="65" fillId="0" borderId="42" xfId="267" applyNumberFormat="1" applyFont="1" applyFill="1" applyBorder="1" applyAlignment="1" applyProtection="1">
      <alignment vertical="center"/>
    </xf>
    <xf numFmtId="2" fontId="64" fillId="0" borderId="42" xfId="3" applyNumberFormat="1" applyFont="1" applyBorder="1" applyAlignment="1">
      <alignment horizontal="center" vertical="center"/>
    </xf>
    <xf numFmtId="188" fontId="1" fillId="0" borderId="48" xfId="5" applyNumberFormat="1" applyFont="1" applyBorder="1" applyAlignment="1">
      <alignment horizontal="right" vertical="center"/>
    </xf>
    <xf numFmtId="197" fontId="65" fillId="0" borderId="75" xfId="267" applyNumberFormat="1" applyFont="1" applyFill="1" applyBorder="1" applyAlignment="1" applyProtection="1">
      <alignment horizontal="center" vertical="center"/>
      <protection locked="0"/>
    </xf>
    <xf numFmtId="44" fontId="1" fillId="0" borderId="65" xfId="267" applyFont="1" applyBorder="1" applyAlignment="1" applyProtection="1">
      <alignment horizontal="center" vertical="center"/>
      <protection locked="0"/>
    </xf>
    <xf numFmtId="0" fontId="42" fillId="0" borderId="26" xfId="0" applyFont="1" applyBorder="1" applyAlignment="1">
      <alignment horizontal="center"/>
    </xf>
    <xf numFmtId="0" fontId="42" fillId="0" borderId="27" xfId="0" applyFont="1" applyBorder="1" applyAlignment="1">
      <alignment horizontal="center"/>
    </xf>
    <xf numFmtId="0" fontId="54" fillId="0" borderId="26" xfId="7" applyFont="1" applyBorder="1" applyAlignment="1">
      <alignment horizontal="left" vertical="center"/>
    </xf>
    <xf numFmtId="0" fontId="54" fillId="0" borderId="18" xfId="7" applyFont="1" applyBorder="1" applyAlignment="1">
      <alignment horizontal="left" vertical="center"/>
    </xf>
    <xf numFmtId="0" fontId="55" fillId="0" borderId="25" xfId="7" applyFont="1" applyBorder="1" applyAlignment="1">
      <alignment horizontal="center" vertical="center"/>
    </xf>
    <xf numFmtId="0" fontId="56" fillId="0" borderId="3" xfId="7" applyFont="1" applyBorder="1" applyAlignment="1">
      <alignment horizontal="center" vertical="center"/>
    </xf>
    <xf numFmtId="0" fontId="56" fillId="0" borderId="6" xfId="7" applyFont="1" applyBorder="1" applyAlignment="1">
      <alignment horizontal="center" vertical="center"/>
    </xf>
    <xf numFmtId="0" fontId="56" fillId="0" borderId="1" xfId="7" applyFont="1" applyBorder="1" applyAlignment="1">
      <alignment horizontal="center" vertical="center"/>
    </xf>
    <xf numFmtId="0" fontId="54" fillId="0" borderId="26" xfId="7" applyFont="1" applyBorder="1" applyAlignment="1">
      <alignment horizontal="center" vertical="center"/>
    </xf>
    <xf numFmtId="0" fontId="54" fillId="0" borderId="18" xfId="7" applyFont="1" applyBorder="1" applyAlignment="1">
      <alignment horizontal="center" vertical="center"/>
    </xf>
    <xf numFmtId="0" fontId="54" fillId="0" borderId="27" xfId="7" applyFont="1" applyBorder="1" applyAlignment="1">
      <alignment horizontal="center" vertical="center"/>
    </xf>
    <xf numFmtId="0" fontId="56" fillId="0" borderId="26" xfId="7" applyFont="1" applyBorder="1" applyAlignment="1">
      <alignment horizontal="left" vertical="center"/>
    </xf>
    <xf numFmtId="0" fontId="56" fillId="0" borderId="18" xfId="7" applyFont="1" applyBorder="1" applyAlignment="1">
      <alignment horizontal="left" vertical="center"/>
    </xf>
    <xf numFmtId="0" fontId="3" fillId="3" borderId="25" xfId="3" applyFont="1" applyFill="1" applyBorder="1" applyAlignment="1">
      <alignment horizontal="center" vertical="center" wrapText="1"/>
    </xf>
    <xf numFmtId="39" fontId="3" fillId="3" borderId="3" xfId="3" applyNumberFormat="1" applyFont="1" applyFill="1" applyBorder="1" applyAlignment="1">
      <alignment horizontal="center" vertical="center"/>
    </xf>
    <xf numFmtId="39" fontId="3" fillId="3" borderId="7" xfId="3" applyNumberFormat="1" applyFont="1" applyFill="1" applyBorder="1" applyAlignment="1">
      <alignment horizontal="center" vertical="center"/>
    </xf>
    <xf numFmtId="0" fontId="48" fillId="0" borderId="0" xfId="0" applyFont="1" applyAlignment="1">
      <alignment horizontal="right"/>
    </xf>
    <xf numFmtId="0" fontId="3" fillId="3" borderId="2" xfId="7" applyFont="1" applyFill="1" applyBorder="1" applyAlignment="1">
      <alignment horizontal="center" vertical="center"/>
    </xf>
    <xf numFmtId="0" fontId="3" fillId="3" borderId="5" xfId="7" applyFont="1" applyFill="1" applyBorder="1" applyAlignment="1">
      <alignment horizontal="center" vertical="center"/>
    </xf>
    <xf numFmtId="0" fontId="3" fillId="3" borderId="14" xfId="7" applyFont="1" applyFill="1" applyBorder="1" applyAlignment="1">
      <alignment horizontal="center" vertical="center"/>
    </xf>
    <xf numFmtId="0" fontId="3" fillId="3" borderId="6" xfId="7" applyFont="1" applyFill="1" applyBorder="1" applyAlignment="1">
      <alignment horizontal="center" vertical="center"/>
    </xf>
    <xf numFmtId="0" fontId="3" fillId="3" borderId="1" xfId="7" applyFont="1" applyFill="1" applyBorder="1" applyAlignment="1">
      <alignment horizontal="center" vertical="center"/>
    </xf>
    <xf numFmtId="0" fontId="3" fillId="3" borderId="15" xfId="7" applyFont="1" applyFill="1" applyBorder="1" applyAlignment="1">
      <alignment horizontal="center" vertical="center"/>
    </xf>
    <xf numFmtId="188" fontId="3" fillId="3" borderId="3" xfId="7" applyNumberFormat="1" applyFont="1" applyFill="1" applyBorder="1" applyAlignment="1">
      <alignment horizontal="center" vertical="center"/>
    </xf>
    <xf numFmtId="188" fontId="3" fillId="3" borderId="7" xfId="7" applyNumberFormat="1" applyFont="1" applyFill="1" applyBorder="1" applyAlignment="1">
      <alignment horizontal="center" vertical="center"/>
    </xf>
    <xf numFmtId="0" fontId="4" fillId="0" borderId="18" xfId="7" applyBorder="1" applyAlignment="1">
      <alignment horizontal="right"/>
    </xf>
    <xf numFmtId="188" fontId="4" fillId="0" borderId="18" xfId="7" applyNumberFormat="1" applyBorder="1" applyAlignment="1">
      <alignment horizontal="center" vertical="center"/>
    </xf>
    <xf numFmtId="0" fontId="48" fillId="18" borderId="26" xfId="0" applyFont="1" applyFill="1" applyBorder="1" applyAlignment="1">
      <alignment horizontal="left" vertical="center"/>
    </xf>
    <xf numFmtId="0" fontId="48" fillId="18" borderId="18" xfId="0" applyFont="1" applyFill="1" applyBorder="1" applyAlignment="1">
      <alignment horizontal="left" vertical="center"/>
    </xf>
    <xf numFmtId="0" fontId="48" fillId="18" borderId="27" xfId="0" applyFont="1" applyFill="1" applyBorder="1" applyAlignment="1">
      <alignment horizontal="left" vertical="center"/>
    </xf>
    <xf numFmtId="0" fontId="48" fillId="18" borderId="26" xfId="0" applyFont="1" applyFill="1" applyBorder="1" applyAlignment="1">
      <alignment horizontal="left" vertical="center" wrapText="1"/>
    </xf>
    <xf numFmtId="0" fontId="48" fillId="18" borderId="18" xfId="0" applyFont="1" applyFill="1" applyBorder="1" applyAlignment="1">
      <alignment horizontal="left" vertical="center" wrapText="1"/>
    </xf>
    <xf numFmtId="0" fontId="48" fillId="18" borderId="27" xfId="0" applyFont="1" applyFill="1" applyBorder="1" applyAlignment="1">
      <alignment horizontal="left" vertical="center" wrapText="1"/>
    </xf>
    <xf numFmtId="0" fontId="48" fillId="0" borderId="26" xfId="0" applyFont="1" applyBorder="1" applyAlignment="1">
      <alignment horizontal="center" vertical="center" wrapText="1"/>
    </xf>
    <xf numFmtId="0" fontId="48" fillId="0" borderId="18" xfId="0" applyFont="1" applyBorder="1" applyAlignment="1">
      <alignment horizontal="center" vertical="center" wrapText="1"/>
    </xf>
    <xf numFmtId="0" fontId="48" fillId="0" borderId="27" xfId="0" applyFont="1" applyBorder="1" applyAlignment="1">
      <alignment horizontal="center" vertical="center" wrapText="1"/>
    </xf>
    <xf numFmtId="0" fontId="3" fillId="3" borderId="25" xfId="7" applyFont="1" applyFill="1" applyBorder="1" applyAlignment="1">
      <alignment horizontal="center" vertical="center"/>
    </xf>
    <xf numFmtId="188" fontId="3" fillId="3" borderId="25" xfId="7" applyNumberFormat="1" applyFont="1" applyFill="1" applyBorder="1" applyAlignment="1">
      <alignment horizontal="center" vertical="center"/>
    </xf>
    <xf numFmtId="0" fontId="4" fillId="0" borderId="1" xfId="7" applyBorder="1" applyAlignment="1">
      <alignment horizontal="right"/>
    </xf>
    <xf numFmtId="188" fontId="4" fillId="0" borderId="1" xfId="7" applyNumberFormat="1" applyBorder="1" applyAlignment="1">
      <alignment horizontal="center" vertical="center"/>
    </xf>
    <xf numFmtId="0" fontId="3" fillId="17" borderId="2" xfId="7" applyFont="1" applyFill="1" applyBorder="1" applyAlignment="1">
      <alignment horizontal="center" vertical="center"/>
    </xf>
    <xf numFmtId="0" fontId="3" fillId="17" borderId="5" xfId="7" applyFont="1" applyFill="1" applyBorder="1" applyAlignment="1">
      <alignment horizontal="center" vertical="center"/>
    </xf>
    <xf numFmtId="0" fontId="3" fillId="17" borderId="14" xfId="7" applyFont="1" applyFill="1" applyBorder="1" applyAlignment="1">
      <alignment horizontal="center" vertical="center"/>
    </xf>
    <xf numFmtId="0" fontId="3" fillId="17" borderId="6" xfId="7" applyFont="1" applyFill="1" applyBorder="1" applyAlignment="1">
      <alignment horizontal="center" vertical="center"/>
    </xf>
    <xf numFmtId="0" fontId="3" fillId="17" borderId="1" xfId="7" applyFont="1" applyFill="1" applyBorder="1" applyAlignment="1">
      <alignment horizontal="center" vertical="center"/>
    </xf>
    <xf numFmtId="0" fontId="3" fillId="17" borderId="15" xfId="7" applyFont="1" applyFill="1" applyBorder="1" applyAlignment="1">
      <alignment horizontal="center" vertical="center"/>
    </xf>
    <xf numFmtId="188" fontId="3" fillId="17" borderId="3" xfId="7" applyNumberFormat="1" applyFont="1" applyFill="1" applyBorder="1" applyAlignment="1" applyProtection="1">
      <alignment horizontal="center" vertical="center"/>
      <protection locked="0"/>
    </xf>
    <xf numFmtId="188" fontId="3" fillId="17" borderId="7" xfId="7" applyNumberFormat="1" applyFont="1" applyFill="1" applyBorder="1" applyAlignment="1" applyProtection="1">
      <alignment horizontal="center" vertical="center"/>
      <protection locked="0"/>
    </xf>
    <xf numFmtId="0" fontId="48" fillId="17" borderId="26" xfId="0" applyFont="1" applyFill="1" applyBorder="1" applyAlignment="1">
      <alignment horizontal="left" vertical="center" wrapText="1"/>
    </xf>
    <xf numFmtId="0" fontId="48" fillId="17" borderId="18" xfId="0" applyFont="1" applyFill="1" applyBorder="1" applyAlignment="1">
      <alignment horizontal="left" vertical="center" wrapText="1"/>
    </xf>
    <xf numFmtId="0" fontId="48" fillId="17" borderId="27" xfId="0" applyFont="1" applyFill="1" applyBorder="1" applyAlignment="1">
      <alignment horizontal="left" vertical="center" wrapText="1"/>
    </xf>
    <xf numFmtId="0" fontId="4" fillId="0" borderId="26" xfId="7" applyBorder="1" applyAlignment="1">
      <alignment horizontal="center"/>
    </xf>
    <xf numFmtId="0" fontId="4" fillId="0" borderId="18" xfId="7" applyBorder="1" applyAlignment="1">
      <alignment horizontal="center"/>
    </xf>
    <xf numFmtId="0" fontId="4" fillId="0" borderId="27" xfId="7" applyBorder="1" applyAlignment="1">
      <alignment horizontal="center"/>
    </xf>
    <xf numFmtId="0" fontId="48" fillId="17" borderId="26" xfId="0" applyFont="1" applyFill="1" applyBorder="1" applyAlignment="1">
      <alignment horizontal="left" vertical="center"/>
    </xf>
    <xf numFmtId="0" fontId="48" fillId="17" borderId="18" xfId="0" applyFont="1" applyFill="1" applyBorder="1" applyAlignment="1">
      <alignment horizontal="left" vertical="center"/>
    </xf>
    <xf numFmtId="0" fontId="48" fillId="17" borderId="27" xfId="0" applyFont="1" applyFill="1" applyBorder="1" applyAlignment="1">
      <alignment horizontal="left" vertical="center"/>
    </xf>
    <xf numFmtId="0" fontId="3" fillId="17" borderId="25" xfId="3" applyFont="1" applyFill="1" applyBorder="1" applyAlignment="1">
      <alignment horizontal="center" vertical="center" wrapText="1"/>
    </xf>
    <xf numFmtId="39" fontId="3" fillId="17" borderId="3" xfId="3" applyNumberFormat="1" applyFont="1" applyFill="1" applyBorder="1" applyAlignment="1" applyProtection="1">
      <alignment horizontal="center" vertical="center"/>
      <protection locked="0"/>
    </xf>
    <xf numFmtId="39" fontId="3" fillId="17" borderId="7" xfId="3" applyNumberFormat="1" applyFont="1" applyFill="1" applyBorder="1" applyAlignment="1" applyProtection="1">
      <alignment horizontal="center" vertical="center"/>
      <protection locked="0"/>
    </xf>
    <xf numFmtId="0" fontId="64" fillId="0" borderId="0" xfId="0" applyFont="1" applyAlignment="1">
      <alignment horizontal="right" vertical="center"/>
    </xf>
    <xf numFmtId="44" fontId="64" fillId="3" borderId="3" xfId="267" applyFont="1" applyFill="1" applyBorder="1" applyAlignment="1" applyProtection="1">
      <alignment horizontal="center" vertical="center"/>
      <protection locked="0"/>
    </xf>
    <xf numFmtId="44" fontId="64" fillId="3" borderId="7" xfId="267" applyFont="1" applyFill="1" applyBorder="1" applyAlignment="1" applyProtection="1">
      <alignment horizontal="center" vertical="center"/>
      <protection locked="0"/>
    </xf>
    <xf numFmtId="0" fontId="64" fillId="0" borderId="1" xfId="0" applyFont="1" applyBorder="1" applyAlignment="1">
      <alignment horizontal="right" vertical="center"/>
    </xf>
    <xf numFmtId="0" fontId="64" fillId="3" borderId="25" xfId="0" applyFont="1" applyFill="1" applyBorder="1" applyAlignment="1" applyProtection="1">
      <alignment horizontal="center" vertical="center" wrapText="1"/>
      <protection locked="0"/>
    </xf>
    <xf numFmtId="0" fontId="64" fillId="3" borderId="2" xfId="0" applyFont="1" applyFill="1" applyBorder="1" applyAlignment="1">
      <alignment horizontal="center" vertical="center" wrapText="1"/>
    </xf>
    <xf numFmtId="0" fontId="64" fillId="3" borderId="5" xfId="0" applyFont="1" applyFill="1" applyBorder="1" applyAlignment="1">
      <alignment horizontal="center" vertical="center" wrapText="1"/>
    </xf>
    <xf numFmtId="0" fontId="64" fillId="3" borderId="14" xfId="0" applyFont="1" applyFill="1" applyBorder="1" applyAlignment="1">
      <alignment horizontal="center" vertical="center" wrapText="1"/>
    </xf>
    <xf numFmtId="0" fontId="64" fillId="3" borderId="6" xfId="0" applyFont="1" applyFill="1" applyBorder="1" applyAlignment="1">
      <alignment horizontal="center" vertical="center" wrapText="1"/>
    </xf>
    <xf numFmtId="0" fontId="64" fillId="3" borderId="1" xfId="0" applyFont="1" applyFill="1" applyBorder="1" applyAlignment="1">
      <alignment horizontal="center" vertical="center" wrapText="1"/>
    </xf>
    <xf numFmtId="0" fontId="64" fillId="3" borderId="15" xfId="0" applyFont="1" applyFill="1" applyBorder="1" applyAlignment="1">
      <alignment horizontal="center" vertical="center" wrapText="1"/>
    </xf>
    <xf numFmtId="44" fontId="64" fillId="3" borderId="25" xfId="0" applyNumberFormat="1" applyFont="1" applyFill="1" applyBorder="1" applyAlignment="1" applyProtection="1">
      <alignment horizontal="center" vertical="center" wrapText="1"/>
      <protection locked="0"/>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3" fillId="11" borderId="25" xfId="0" applyFont="1" applyFill="1" applyBorder="1" applyAlignment="1">
      <alignment horizontal="center"/>
    </xf>
    <xf numFmtId="0" fontId="0" fillId="0" borderId="2" xfId="0" applyBorder="1" applyAlignment="1">
      <alignment horizontal="center"/>
    </xf>
    <xf numFmtId="0" fontId="0" fillId="0" borderId="14" xfId="0" applyBorder="1" applyAlignment="1">
      <alignment horizontal="center"/>
    </xf>
    <xf numFmtId="0" fontId="4" fillId="0" borderId="26" xfId="0" applyFont="1" applyBorder="1" applyAlignment="1">
      <alignment horizontal="center"/>
    </xf>
    <xf numFmtId="0" fontId="4" fillId="0" borderId="27" xfId="0" applyFont="1" applyBorder="1" applyAlignment="1">
      <alignment horizontal="center"/>
    </xf>
    <xf numFmtId="0" fontId="4" fillId="0" borderId="25" xfId="0" applyFont="1" applyBorder="1" applyAlignment="1">
      <alignment horizontal="center"/>
    </xf>
    <xf numFmtId="188" fontId="68" fillId="3" borderId="3" xfId="230" applyNumberFormat="1" applyFont="1" applyFill="1" applyBorder="1" applyAlignment="1" applyProtection="1">
      <alignment horizontal="center" vertical="center"/>
      <protection locked="0"/>
    </xf>
    <xf numFmtId="188" fontId="68" fillId="3" borderId="7" xfId="230" applyNumberFormat="1" applyFont="1" applyFill="1" applyBorder="1" applyAlignment="1" applyProtection="1">
      <alignment horizontal="center" vertical="center"/>
      <protection locked="0"/>
    </xf>
    <xf numFmtId="0" fontId="68" fillId="3" borderId="2" xfId="3" applyFont="1" applyFill="1" applyBorder="1" applyAlignment="1">
      <alignment horizontal="center" vertical="center" wrapText="1"/>
    </xf>
    <xf numFmtId="0" fontId="68" fillId="3" borderId="5" xfId="3" applyFont="1" applyFill="1" applyBorder="1" applyAlignment="1">
      <alignment horizontal="center" vertical="center" wrapText="1"/>
    </xf>
    <xf numFmtId="0" fontId="68" fillId="3" borderId="14" xfId="3" applyFont="1" applyFill="1" applyBorder="1" applyAlignment="1">
      <alignment horizontal="center" vertical="center" wrapText="1"/>
    </xf>
    <xf numFmtId="0" fontId="68" fillId="3" borderId="6" xfId="3" applyFont="1" applyFill="1" applyBorder="1" applyAlignment="1">
      <alignment horizontal="center" vertical="center" wrapText="1"/>
    </xf>
    <xf numFmtId="0" fontId="68" fillId="3" borderId="1" xfId="3" applyFont="1" applyFill="1" applyBorder="1" applyAlignment="1">
      <alignment horizontal="center" vertical="center" wrapText="1"/>
    </xf>
    <xf numFmtId="0" fontId="68" fillId="3" borderId="15" xfId="3" applyFont="1" applyFill="1" applyBorder="1" applyAlignment="1">
      <alignment horizontal="center" vertical="center" wrapText="1"/>
    </xf>
    <xf numFmtId="0" fontId="68" fillId="0" borderId="0" xfId="0" applyFont="1" applyAlignment="1">
      <alignment horizontal="right"/>
    </xf>
    <xf numFmtId="0" fontId="68" fillId="3" borderId="2" xfId="11" applyFont="1" applyFill="1" applyBorder="1" applyAlignment="1">
      <alignment horizontal="center" vertical="center" wrapText="1"/>
    </xf>
    <xf numFmtId="0" fontId="68" fillId="3" borderId="5" xfId="11" applyFont="1" applyFill="1" applyBorder="1" applyAlignment="1">
      <alignment horizontal="center" vertical="center" wrapText="1"/>
    </xf>
    <xf numFmtId="0" fontId="68" fillId="3" borderId="6" xfId="11" applyFont="1" applyFill="1" applyBorder="1" applyAlignment="1">
      <alignment horizontal="center" vertical="center" wrapText="1"/>
    </xf>
    <xf numFmtId="0" fontId="68" fillId="3" borderId="1" xfId="11" applyFont="1" applyFill="1" applyBorder="1" applyAlignment="1">
      <alignment horizontal="center" vertical="center" wrapText="1"/>
    </xf>
    <xf numFmtId="188" fontId="68" fillId="3" borderId="3" xfId="3" applyNumberFormat="1" applyFont="1" applyFill="1" applyBorder="1" applyAlignment="1" applyProtection="1">
      <alignment horizontal="center" vertical="distributed"/>
      <protection locked="0"/>
    </xf>
    <xf numFmtId="188" fontId="68" fillId="3" borderId="7" xfId="3" applyNumberFormat="1" applyFont="1" applyFill="1" applyBorder="1" applyAlignment="1" applyProtection="1">
      <alignment horizontal="center" vertical="distributed"/>
      <protection locked="0"/>
    </xf>
    <xf numFmtId="0" fontId="68" fillId="2" borderId="5" xfId="3" applyFont="1" applyFill="1" applyBorder="1" applyAlignment="1">
      <alignment horizontal="center" vertical="center" wrapText="1"/>
    </xf>
    <xf numFmtId="0" fontId="68" fillId="2" borderId="14" xfId="3" applyFont="1" applyFill="1" applyBorder="1" applyAlignment="1">
      <alignment horizontal="center" vertical="center" wrapText="1"/>
    </xf>
    <xf numFmtId="0" fontId="68" fillId="2" borderId="1" xfId="3" applyFont="1" applyFill="1" applyBorder="1" applyAlignment="1">
      <alignment horizontal="center" vertical="center" wrapText="1"/>
    </xf>
    <xf numFmtId="0" fontId="68" fillId="2" borderId="15" xfId="3" applyFont="1" applyFill="1" applyBorder="1" applyAlignment="1">
      <alignment horizontal="center" vertical="center" wrapText="1"/>
    </xf>
    <xf numFmtId="44" fontId="68" fillId="3" borderId="3" xfId="267" applyFont="1" applyFill="1" applyBorder="1" applyAlignment="1" applyProtection="1">
      <alignment horizontal="center" vertical="center"/>
      <protection locked="0"/>
    </xf>
    <xf numFmtId="44" fontId="68" fillId="3" borderId="7" xfId="267" applyFont="1" applyFill="1" applyBorder="1" applyAlignment="1" applyProtection="1">
      <alignment horizontal="center" vertical="center"/>
      <protection locked="0"/>
    </xf>
    <xf numFmtId="0" fontId="68" fillId="3" borderId="2" xfId="7" applyFont="1" applyFill="1" applyBorder="1" applyAlignment="1">
      <alignment horizontal="center" vertical="center"/>
    </xf>
    <xf numFmtId="0" fontId="68" fillId="3" borderId="5" xfId="7" applyFont="1" applyFill="1" applyBorder="1" applyAlignment="1">
      <alignment horizontal="center" vertical="center"/>
    </xf>
    <xf numFmtId="0" fontId="68" fillId="3" borderId="6" xfId="7" applyFont="1" applyFill="1" applyBorder="1" applyAlignment="1">
      <alignment horizontal="center" vertical="center"/>
    </xf>
    <xf numFmtId="0" fontId="68" fillId="3" borderId="1" xfId="7" applyFont="1" applyFill="1" applyBorder="1" applyAlignment="1">
      <alignment horizontal="center" vertical="center"/>
    </xf>
    <xf numFmtId="0" fontId="68" fillId="17" borderId="3" xfId="3" applyFont="1" applyFill="1" applyBorder="1" applyAlignment="1">
      <alignment horizontal="center" vertical="center" wrapText="1"/>
    </xf>
    <xf numFmtId="0" fontId="68" fillId="17" borderId="7" xfId="3" applyFont="1" applyFill="1" applyBorder="1" applyAlignment="1">
      <alignment horizontal="center" vertical="center" wrapText="1"/>
    </xf>
    <xf numFmtId="0" fontId="64" fillId="2" borderId="3" xfId="3" applyFont="1" applyFill="1" applyBorder="1" applyAlignment="1">
      <alignment horizontal="center" vertical="center" wrapText="1"/>
    </xf>
    <xf numFmtId="0" fontId="64" fillId="2" borderId="7" xfId="3" applyFont="1" applyFill="1" applyBorder="1" applyAlignment="1">
      <alignment horizontal="center" vertical="center" wrapText="1"/>
    </xf>
    <xf numFmtId="0" fontId="68" fillId="2" borderId="43" xfId="3" applyFont="1" applyFill="1" applyBorder="1" applyAlignment="1">
      <alignment horizontal="center" vertical="center"/>
    </xf>
    <xf numFmtId="0" fontId="68" fillId="2" borderId="44" xfId="3" applyFont="1" applyFill="1" applyBorder="1" applyAlignment="1">
      <alignment horizontal="center" vertical="center"/>
    </xf>
    <xf numFmtId="44" fontId="68" fillId="2" borderId="12" xfId="267" applyFont="1" applyFill="1" applyBorder="1" applyAlignment="1">
      <alignment horizontal="center" vertical="center"/>
    </xf>
    <xf numFmtId="44" fontId="68" fillId="2" borderId="13" xfId="267" applyFont="1" applyFill="1" applyBorder="1" applyAlignment="1">
      <alignment horizontal="center" vertical="center"/>
    </xf>
    <xf numFmtId="44" fontId="68" fillId="2" borderId="3" xfId="267" applyFont="1" applyFill="1" applyBorder="1" applyAlignment="1">
      <alignment horizontal="center" vertical="center"/>
    </xf>
    <xf numFmtId="44" fontId="68" fillId="2" borderId="7" xfId="267" applyFont="1" applyFill="1" applyBorder="1" applyAlignment="1">
      <alignment horizontal="center" vertical="center"/>
    </xf>
    <xf numFmtId="0" fontId="68" fillId="2" borderId="55" xfId="3" applyFont="1" applyFill="1" applyBorder="1" applyAlignment="1">
      <alignment horizontal="center" vertical="center" wrapText="1"/>
    </xf>
    <xf numFmtId="0" fontId="68" fillId="2" borderId="56" xfId="3" applyFont="1" applyFill="1" applyBorder="1" applyAlignment="1">
      <alignment horizontal="center" vertical="center" wrapText="1"/>
    </xf>
    <xf numFmtId="0" fontId="53" fillId="0" borderId="0" xfId="0" applyFont="1" applyAlignment="1">
      <alignment horizontal="right"/>
    </xf>
    <xf numFmtId="0" fontId="3" fillId="3" borderId="6" xfId="3" applyFont="1" applyFill="1" applyBorder="1" applyAlignment="1">
      <alignment horizontal="left" vertical="top" wrapText="1"/>
    </xf>
    <xf numFmtId="0" fontId="3" fillId="3" borderId="1" xfId="3" applyFont="1" applyFill="1" applyBorder="1" applyAlignment="1">
      <alignment horizontal="left" vertical="top" wrapText="1"/>
    </xf>
    <xf numFmtId="0" fontId="64" fillId="3" borderId="2" xfId="7" applyFont="1" applyFill="1" applyBorder="1" applyAlignment="1">
      <alignment horizontal="center" vertical="center"/>
    </xf>
    <xf numFmtId="0" fontId="64" fillId="3" borderId="5" xfId="7" applyFont="1" applyFill="1" applyBorder="1" applyAlignment="1">
      <alignment horizontal="center" vertical="center"/>
    </xf>
    <xf numFmtId="0" fontId="64" fillId="3" borderId="6" xfId="7" applyFont="1" applyFill="1" applyBorder="1" applyAlignment="1">
      <alignment horizontal="center" vertical="center"/>
    </xf>
    <xf numFmtId="0" fontId="64" fillId="3" borderId="1" xfId="7" applyFont="1" applyFill="1" applyBorder="1" applyAlignment="1">
      <alignment horizontal="center" vertical="center"/>
    </xf>
    <xf numFmtId="190" fontId="64" fillId="2" borderId="43" xfId="7" applyNumberFormat="1" applyFont="1" applyFill="1" applyBorder="1" applyAlignment="1">
      <alignment horizontal="center" vertical="center"/>
    </xf>
    <xf numFmtId="190" fontId="64" fillId="2" borderId="44" xfId="7" applyNumberFormat="1" applyFont="1" applyFill="1" applyBorder="1" applyAlignment="1">
      <alignment horizontal="center" vertical="center"/>
    </xf>
    <xf numFmtId="176" fontId="64" fillId="2" borderId="43" xfId="7" applyNumberFormat="1" applyFont="1" applyFill="1" applyBorder="1" applyAlignment="1">
      <alignment horizontal="center" vertical="center"/>
    </xf>
    <xf numFmtId="176" fontId="64" fillId="2" borderId="44" xfId="7" applyNumberFormat="1" applyFont="1" applyFill="1" applyBorder="1" applyAlignment="1">
      <alignment horizontal="center" vertical="center"/>
    </xf>
    <xf numFmtId="0" fontId="64" fillId="2" borderId="3" xfId="7" applyFont="1" applyFill="1" applyBorder="1" applyAlignment="1">
      <alignment horizontal="center" vertical="center" wrapText="1"/>
    </xf>
    <xf numFmtId="0" fontId="64" fillId="2" borderId="7" xfId="7" applyFont="1" applyFill="1" applyBorder="1" applyAlignment="1">
      <alignment horizontal="center" vertical="center" wrapText="1"/>
    </xf>
    <xf numFmtId="0" fontId="64" fillId="2" borderId="55" xfId="7" applyFont="1" applyFill="1" applyBorder="1" applyAlignment="1">
      <alignment horizontal="center" vertical="center" wrapText="1"/>
    </xf>
    <xf numFmtId="0" fontId="64" fillId="2" borderId="56" xfId="7" applyFont="1" applyFill="1" applyBorder="1" applyAlignment="1">
      <alignment horizontal="center" vertical="center" wrapText="1"/>
    </xf>
    <xf numFmtId="0" fontId="64" fillId="2" borderId="43" xfId="7" applyFont="1" applyFill="1" applyBorder="1" applyAlignment="1">
      <alignment horizontal="center" vertical="center"/>
    </xf>
    <xf numFmtId="0" fontId="64" fillId="2" borderId="44" xfId="7" applyFont="1" applyFill="1" applyBorder="1" applyAlignment="1">
      <alignment horizontal="center" vertical="center"/>
    </xf>
    <xf numFmtId="175" fontId="64" fillId="2" borderId="43" xfId="7" applyNumberFormat="1" applyFont="1" applyFill="1" applyBorder="1" applyAlignment="1">
      <alignment horizontal="center" vertical="center"/>
    </xf>
    <xf numFmtId="175" fontId="64" fillId="2" borderId="44" xfId="7" applyNumberFormat="1" applyFont="1" applyFill="1" applyBorder="1" applyAlignment="1">
      <alignment horizontal="center" vertical="center"/>
    </xf>
    <xf numFmtId="0" fontId="64" fillId="3" borderId="5" xfId="3" applyFont="1" applyFill="1" applyBorder="1" applyAlignment="1">
      <alignment horizontal="center" vertical="center"/>
    </xf>
    <xf numFmtId="0" fontId="64" fillId="3" borderId="1" xfId="3" applyFont="1" applyFill="1" applyBorder="1" applyAlignment="1">
      <alignment horizontal="center" vertical="center"/>
    </xf>
    <xf numFmtId="44" fontId="64" fillId="3" borderId="25" xfId="267" applyFont="1" applyFill="1" applyBorder="1" applyAlignment="1" applyProtection="1">
      <alignment horizontal="center" vertical="center"/>
      <protection locked="0"/>
    </xf>
    <xf numFmtId="0" fontId="68" fillId="0" borderId="0" xfId="0" applyFont="1" applyAlignment="1">
      <alignment horizontal="right" vertical="center"/>
    </xf>
    <xf numFmtId="0" fontId="68" fillId="3" borderId="14" xfId="11" applyFont="1" applyFill="1" applyBorder="1" applyAlignment="1">
      <alignment horizontal="center" vertical="center" wrapText="1"/>
    </xf>
    <xf numFmtId="0" fontId="68" fillId="3" borderId="15" xfId="11" applyFont="1" applyFill="1" applyBorder="1" applyAlignment="1">
      <alignment horizontal="center" vertical="center" wrapText="1"/>
    </xf>
    <xf numFmtId="188" fontId="64" fillId="3" borderId="3" xfId="11" applyNumberFormat="1" applyFont="1" applyFill="1" applyBorder="1" applyAlignment="1" applyProtection="1">
      <alignment horizontal="center" vertical="center"/>
      <protection locked="0"/>
    </xf>
    <xf numFmtId="188" fontId="64" fillId="3" borderId="7" xfId="11" applyNumberFormat="1" applyFont="1" applyFill="1" applyBorder="1" applyAlignment="1" applyProtection="1">
      <alignment horizontal="center" vertical="center"/>
      <protection locked="0"/>
    </xf>
    <xf numFmtId="0" fontId="64" fillId="3" borderId="2" xfId="11" applyFont="1" applyFill="1" applyBorder="1" applyAlignment="1">
      <alignment horizontal="center" vertical="center" wrapText="1"/>
    </xf>
    <xf numFmtId="0" fontId="64" fillId="3" borderId="5" xfId="11" applyFont="1" applyFill="1" applyBorder="1" applyAlignment="1">
      <alignment horizontal="center" vertical="center" wrapText="1"/>
    </xf>
    <xf numFmtId="0" fontId="64" fillId="3" borderId="14" xfId="11" applyFont="1" applyFill="1" applyBorder="1" applyAlignment="1">
      <alignment horizontal="center" vertical="center" wrapText="1"/>
    </xf>
    <xf numFmtId="0" fontId="64" fillId="3" borderId="6" xfId="11" applyFont="1" applyFill="1" applyBorder="1" applyAlignment="1">
      <alignment horizontal="center" vertical="center" wrapText="1"/>
    </xf>
    <xf numFmtId="0" fontId="64" fillId="3" borderId="1" xfId="11" applyFont="1" applyFill="1" applyBorder="1" applyAlignment="1">
      <alignment horizontal="center" vertical="center" wrapText="1"/>
    </xf>
    <xf numFmtId="0" fontId="64" fillId="3" borderId="15" xfId="11" applyFont="1" applyFill="1" applyBorder="1" applyAlignment="1">
      <alignment horizontal="center" vertical="center" wrapText="1"/>
    </xf>
    <xf numFmtId="0" fontId="64" fillId="3" borderId="2" xfId="11" applyFont="1" applyFill="1" applyBorder="1" applyAlignment="1">
      <alignment horizontal="center" vertical="center"/>
    </xf>
    <xf numFmtId="0" fontId="64" fillId="3" borderId="5" xfId="11" applyFont="1" applyFill="1" applyBorder="1" applyAlignment="1">
      <alignment horizontal="center" vertical="center"/>
    </xf>
    <xf numFmtId="0" fontId="64" fillId="3" borderId="14" xfId="11" applyFont="1" applyFill="1" applyBorder="1" applyAlignment="1">
      <alignment horizontal="center" vertical="center"/>
    </xf>
    <xf numFmtId="0" fontId="64" fillId="3" borderId="6" xfId="11" applyFont="1" applyFill="1" applyBorder="1" applyAlignment="1">
      <alignment horizontal="center" vertical="center"/>
    </xf>
    <xf numFmtId="0" fontId="64" fillId="3" borderId="1" xfId="11" applyFont="1" applyFill="1" applyBorder="1" applyAlignment="1">
      <alignment horizontal="center" vertical="center"/>
    </xf>
    <xf numFmtId="0" fontId="64" fillId="3" borderId="15" xfId="11" applyFont="1" applyFill="1" applyBorder="1" applyAlignment="1">
      <alignment horizontal="center" vertical="center"/>
    </xf>
    <xf numFmtId="0" fontId="64" fillId="2" borderId="4" xfId="7" applyFont="1" applyFill="1" applyBorder="1" applyAlignment="1">
      <alignment horizontal="center" vertical="center" wrapText="1"/>
    </xf>
    <xf numFmtId="0" fontId="64" fillId="2" borderId="8" xfId="7" applyFont="1" applyFill="1" applyBorder="1" applyAlignment="1">
      <alignment horizontal="center" vertical="center" wrapText="1"/>
    </xf>
    <xf numFmtId="44" fontId="64" fillId="2" borderId="43" xfId="267" applyFont="1" applyFill="1" applyBorder="1" applyAlignment="1">
      <alignment horizontal="center" vertical="center"/>
    </xf>
    <xf numFmtId="44" fontId="64" fillId="2" borderId="44" xfId="267" applyFont="1" applyFill="1" applyBorder="1" applyAlignment="1">
      <alignment horizontal="center" vertical="center"/>
    </xf>
    <xf numFmtId="44" fontId="64" fillId="2" borderId="12" xfId="267" applyFont="1" applyFill="1" applyBorder="1" applyAlignment="1">
      <alignment horizontal="center" vertical="center"/>
    </xf>
    <xf numFmtId="44" fontId="64" fillId="2" borderId="13" xfId="267" applyFont="1" applyFill="1" applyBorder="1" applyAlignment="1">
      <alignment horizontal="center" vertical="center"/>
    </xf>
    <xf numFmtId="0" fontId="65" fillId="0" borderId="42" xfId="0" applyFont="1" applyBorder="1" applyAlignment="1">
      <alignment horizontal="left" vertical="center" wrapText="1"/>
    </xf>
    <xf numFmtId="0" fontId="65" fillId="0" borderId="3" xfId="0" applyFont="1" applyBorder="1" applyAlignment="1">
      <alignment horizontal="left" vertical="center" wrapText="1"/>
    </xf>
    <xf numFmtId="49" fontId="64" fillId="0" borderId="49" xfId="0" applyNumberFormat="1" applyFont="1" applyBorder="1" applyAlignment="1">
      <alignment horizontal="center" vertical="top"/>
    </xf>
    <xf numFmtId="49" fontId="64" fillId="0" borderId="50" xfId="0" applyNumberFormat="1" applyFont="1" applyBorder="1" applyAlignment="1">
      <alignment horizontal="center" vertical="top"/>
    </xf>
    <xf numFmtId="49" fontId="64" fillId="0" borderId="54" xfId="0" applyNumberFormat="1" applyFont="1" applyBorder="1" applyAlignment="1">
      <alignment horizontal="center" vertical="top"/>
    </xf>
    <xf numFmtId="0" fontId="64" fillId="0" borderId="62" xfId="0" applyFont="1" applyBorder="1" applyAlignment="1">
      <alignment horizontal="center" vertical="center" wrapText="1"/>
    </xf>
    <xf numFmtId="0" fontId="64" fillId="0" borderId="64" xfId="0" applyFont="1" applyBorder="1" applyAlignment="1">
      <alignment horizontal="center" vertical="center" wrapText="1"/>
    </xf>
    <xf numFmtId="4" fontId="64" fillId="0" borderId="71" xfId="0" applyNumberFormat="1" applyFont="1" applyBorder="1" applyAlignment="1">
      <alignment horizontal="center" vertical="center" wrapText="1"/>
    </xf>
    <xf numFmtId="4" fontId="64" fillId="0" borderId="65" xfId="0" applyNumberFormat="1" applyFont="1" applyBorder="1" applyAlignment="1">
      <alignment horizontal="center" vertical="center" wrapText="1"/>
    </xf>
    <xf numFmtId="0" fontId="64" fillId="0" borderId="45" xfId="0" applyFont="1" applyBorder="1" applyAlignment="1">
      <alignment horizontal="center" vertical="center" wrapText="1"/>
    </xf>
    <xf numFmtId="0" fontId="64" fillId="0" borderId="7" xfId="0" applyFont="1" applyBorder="1" applyAlignment="1">
      <alignment horizontal="center" vertical="center" wrapText="1"/>
    </xf>
    <xf numFmtId="0" fontId="1" fillId="0" borderId="73" xfId="0" applyFont="1" applyBorder="1" applyAlignment="1">
      <alignment horizontal="center" vertical="center"/>
    </xf>
    <xf numFmtId="0" fontId="1" fillId="0" borderId="74" xfId="0" applyFont="1" applyBorder="1" applyAlignment="1">
      <alignment horizontal="center" vertical="center"/>
    </xf>
    <xf numFmtId="0" fontId="65" fillId="0" borderId="42" xfId="0" applyFont="1" applyBorder="1" applyAlignment="1" applyProtection="1">
      <alignment horizontal="left" vertical="justify" wrapText="1"/>
      <protection locked="0"/>
    </xf>
    <xf numFmtId="0" fontId="68" fillId="0" borderId="26" xfId="0" applyFont="1" applyBorder="1" applyAlignment="1">
      <alignment horizontal="left" vertical="center"/>
    </xf>
    <xf numFmtId="0" fontId="68" fillId="0" borderId="27" xfId="0" applyFont="1" applyBorder="1" applyAlignment="1">
      <alignment horizontal="left" vertical="center"/>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64" fillId="0" borderId="26" xfId="0" applyFont="1" applyBorder="1" applyAlignment="1">
      <alignment horizontal="left" vertical="center" wrapText="1"/>
    </xf>
    <xf numFmtId="0" fontId="64" fillId="0" borderId="27" xfId="0" applyFont="1" applyBorder="1" applyAlignment="1">
      <alignment horizontal="left" vertical="center" wrapText="1"/>
    </xf>
    <xf numFmtId="0" fontId="65" fillId="0" borderId="7" xfId="0" applyFont="1" applyBorder="1" applyAlignment="1">
      <alignment horizontal="center" vertical="center" wrapText="1"/>
    </xf>
    <xf numFmtId="0" fontId="65" fillId="0" borderId="42" xfId="0" applyFont="1" applyBorder="1" applyAlignment="1" applyProtection="1">
      <alignment horizontal="left" wrapText="1"/>
      <protection locked="0"/>
    </xf>
  </cellXfs>
  <cellStyles count="272">
    <cellStyle name="args.style" xfId="90" xr:uid="{88A76619-0EC8-4B16-84A6-44B0BC9AF55B}"/>
    <cellStyle name="Comma" xfId="268" builtinId="3"/>
    <cellStyle name="Comma  - Style1" xfId="91" xr:uid="{25AE926C-D691-44C5-81A5-E6961510F285}"/>
    <cellStyle name="Comma  - Style2" xfId="92" xr:uid="{A052F3A6-BE59-41E6-A419-0A056F1A11C9}"/>
    <cellStyle name="Comma  - Style3" xfId="93" xr:uid="{424CD605-EE7B-4126-A5F0-BC60B24F3A08}"/>
    <cellStyle name="Comma  - Style4" xfId="94" xr:uid="{29CAFDA2-A856-4C9C-A019-11EBC1A66734}"/>
    <cellStyle name="Comma  - Style5" xfId="95" xr:uid="{1215EFED-D1FA-4F26-9250-497798CAA1DB}"/>
    <cellStyle name="Comma  - Style6" xfId="96" xr:uid="{CB896A80-68A2-46E2-8FC1-F9E6B6BFFFF0}"/>
    <cellStyle name="Comma  - Style7" xfId="97" xr:uid="{E5B21FFE-5454-408C-A4DA-D7628654B945}"/>
    <cellStyle name="Comma  - Style8" xfId="98" xr:uid="{7B9C74FF-D44D-4DBF-8902-330E59F42F98}"/>
    <cellStyle name="Comma 10" xfId="72" xr:uid="{FA153F2A-F67D-4B76-8D08-8486BFE2CC20}"/>
    <cellStyle name="Comma 11" xfId="78" xr:uid="{B8E092FA-9872-4BF4-965D-7CB84161A9AA}"/>
    <cellStyle name="Comma 12" xfId="174" xr:uid="{027746FB-5B21-4046-872B-BEF045B36592}"/>
    <cellStyle name="Comma 13" xfId="179" xr:uid="{D79115A7-79DB-44B0-82D4-83F4F34040B2}"/>
    <cellStyle name="Comma 14" xfId="176" xr:uid="{6770D951-045A-4D22-968B-4D8190EDD90C}"/>
    <cellStyle name="Comma 15" xfId="181" xr:uid="{5F1B9098-1257-477A-A817-B9F20DAEE1D1}"/>
    <cellStyle name="Comma 16" xfId="183" xr:uid="{F3E5748F-D874-4EF3-91F9-F9BD76FC654F}"/>
    <cellStyle name="Comma 17" xfId="178" xr:uid="{10111237-A61B-46AF-A26D-9D4DDF3876AF}"/>
    <cellStyle name="Comma 18" xfId="185" xr:uid="{24374D57-2EAE-450B-B3A0-D5C41ADA45A9}"/>
    <cellStyle name="Comma 19" xfId="187" xr:uid="{2A9AF9CB-CF48-4AC5-8D74-0D10F4FAABA7}"/>
    <cellStyle name="Comma 2" xfId="9" xr:uid="{88D4E559-A839-445C-832A-59D040A5BEA8}"/>
    <cellStyle name="Comma 2 2" xfId="51" xr:uid="{A938D68D-314D-4265-BACE-9015AFC7F460}"/>
    <cellStyle name="Comma 2 2 2" xfId="99" xr:uid="{1F5FB7DD-0CD4-441F-8D79-3D840C7BED9C}"/>
    <cellStyle name="Comma 2 2 3" xfId="86" xr:uid="{591F9EAF-28DB-41FB-B9C3-4D280172C572}"/>
    <cellStyle name="Comma 2 3" xfId="57" xr:uid="{47349B60-AB35-4644-923D-23C698D3C5A5}"/>
    <cellStyle name="Comma 2 3 2" xfId="100" xr:uid="{37CACDDC-B9A5-47FA-A922-CB451091A358}"/>
    <cellStyle name="Comma 2 4" xfId="62" xr:uid="{CFD776B4-1C32-4E54-A602-E08F3AE13101}"/>
    <cellStyle name="Comma 2 4 2" xfId="101" xr:uid="{3E654184-D225-408E-9F68-A14F0ECDB3F8}"/>
    <cellStyle name="Comma 2 5" xfId="67" xr:uid="{7A03E077-9700-4CAC-95DB-2F455F54E390}"/>
    <cellStyle name="Comma 2 5 2" xfId="102" xr:uid="{C6B760AF-9925-4AAC-BB0D-1D4395E5E6A1}"/>
    <cellStyle name="Comma 2 6" xfId="73" xr:uid="{F21CCDEC-00F5-42B2-9E5C-1976B6217F4F}"/>
    <cellStyle name="Comma 2 6 2" xfId="103" xr:uid="{16E48BC0-2BDC-4E47-B74A-3433D9B82F6F}"/>
    <cellStyle name="Comma 2 7" xfId="104" xr:uid="{30655F66-70E5-45CF-B536-0789CB5D4D22}"/>
    <cellStyle name="Comma 2 8" xfId="105" xr:uid="{1B456838-7468-450F-A6AB-8AEACB765992}"/>
    <cellStyle name="Comma 2 9" xfId="83" xr:uid="{3225BF41-D26D-45BF-9354-1B779690ED99}"/>
    <cellStyle name="Comma 20" xfId="189" xr:uid="{2754331D-20A6-43F1-8DD6-0FA7C55E4728}"/>
    <cellStyle name="Comma 21" xfId="191" xr:uid="{36D1004F-69CB-4F9C-8F76-F83149EF3F1E}"/>
    <cellStyle name="Comma 22" xfId="193" xr:uid="{557F5CFA-310E-4167-915F-DAC81DB30EC2}"/>
    <cellStyle name="Comma 23" xfId="217" xr:uid="{24058659-E81A-45B3-83AF-60E5BA240A79}"/>
    <cellStyle name="Comma 24" xfId="216" xr:uid="{5A19E079-55AA-47B2-B236-1F9AFF33AC2E}"/>
    <cellStyle name="Comma 25" xfId="228" xr:uid="{B5957898-352C-46BD-9940-F45F4970DCE3}"/>
    <cellStyle name="Comma 26" xfId="225" xr:uid="{3890A6B2-0186-4925-AF35-5E9CD8967D02}"/>
    <cellStyle name="Comma 27" xfId="229" xr:uid="{3394C816-8CD9-4B5D-B94A-65A671CEA15F}"/>
    <cellStyle name="Comma 28" xfId="226" xr:uid="{59C61D48-47EC-4005-BB7D-87744BAD4450}"/>
    <cellStyle name="Comma 29" xfId="227" xr:uid="{E8655F7C-7972-4362-B5F8-F9315D3691DC}"/>
    <cellStyle name="Comma 3" xfId="15" xr:uid="{DA9BC0D4-107B-4E3A-AFA0-357B4BDC3E1B}"/>
    <cellStyle name="Comma 3 2" xfId="16" xr:uid="{74B7EA7B-229E-45CE-9738-D566437CE72A}"/>
    <cellStyle name="Comma 3 3" xfId="106" xr:uid="{B5556407-1CB9-470D-8255-E19EFC3541A0}"/>
    <cellStyle name="Comma 30" xfId="239" xr:uid="{FCB7F7D2-1D9F-4A1B-9E32-9F0E40A231B0}"/>
    <cellStyle name="Comma 31" xfId="251" xr:uid="{E68C421D-C5BF-4D5C-8E0D-74DE75569795}"/>
    <cellStyle name="Comma 32" xfId="240" xr:uid="{748BFB13-AF5B-43BA-A096-8E3755AAF9DB}"/>
    <cellStyle name="Comma 33" xfId="249" xr:uid="{036727F6-DF19-49B2-A8DB-7A1FB73DDA89}"/>
    <cellStyle name="Comma 34" xfId="242" xr:uid="{6BDE9392-DA66-4F22-93D2-D53BE106E7EA}"/>
    <cellStyle name="Comma 35" xfId="248" xr:uid="{21B9036F-4DF2-471D-9F8C-2604D6E2AF75}"/>
    <cellStyle name="Comma 36" xfId="241" xr:uid="{F8BBCD7F-72F1-4B9D-8069-504D14ABBDF6}"/>
    <cellStyle name="Comma 37" xfId="246" xr:uid="{A18BD8D3-A76A-4CB2-AAE4-BB35EECC34C7}"/>
    <cellStyle name="Comma 38" xfId="255" xr:uid="{75C9773C-C493-4936-A1D4-C8714CF4ECB4}"/>
    <cellStyle name="Comma 39" xfId="247" xr:uid="{F18905EF-FE68-498F-A1A2-211FB05AFD68}"/>
    <cellStyle name="Comma 4" xfId="12" xr:uid="{C422BBF6-C02C-4A57-B88A-2513FE90AC91}"/>
    <cellStyle name="Comma 4 2" xfId="17" xr:uid="{B5322122-D204-4408-B7A8-1AA71DE4A597}"/>
    <cellStyle name="Comma 4 3" xfId="107" xr:uid="{F6B71BC7-D2A2-450F-A92E-AA002FD63C4B}"/>
    <cellStyle name="Comma 40" xfId="254" xr:uid="{DC0DA4B3-55DF-47C3-952F-56A303F11998}"/>
    <cellStyle name="Comma 41" xfId="250" xr:uid="{C4961F73-69E3-40B9-9E7A-84071A53368E}"/>
    <cellStyle name="Comma 42" xfId="253" xr:uid="{B3553E99-4EE8-470C-AB34-F98494C2D76A}"/>
    <cellStyle name="Comma 43" xfId="243" xr:uid="{205EB539-793B-4D09-911D-B844A235FC68}"/>
    <cellStyle name="Comma 44" xfId="244" xr:uid="{5B4027DB-EC11-47F7-AE4A-2514C1D8A63F}"/>
    <cellStyle name="Comma 45" xfId="252" xr:uid="{AC0D3358-EDC3-4E2E-B3D9-A6E708936FAB}"/>
    <cellStyle name="Comma 46" xfId="245" xr:uid="{4DFB8607-6952-4454-92E6-5888AB18AE47}"/>
    <cellStyle name="Comma 47" xfId="256" xr:uid="{23D2DBF5-A2C6-4D03-B68B-858669B9E4C2}"/>
    <cellStyle name="Comma 48" xfId="257" xr:uid="{4958CB14-7DF5-4FC6-83A0-5DE6E679D1F6}"/>
    <cellStyle name="Comma 49" xfId="266" xr:uid="{559950D7-9EB7-48B3-8F55-A73F4F6DF814}"/>
    <cellStyle name="Comma 5" xfId="4" xr:uid="{D98B4A50-BBF8-4A51-B38D-801AD0AF662F}"/>
    <cellStyle name="Comma 5 2" xfId="18" xr:uid="{D1DA1503-0328-4759-B12F-729FAED85175}"/>
    <cellStyle name="Comma 50" xfId="265" xr:uid="{F8E7DFF5-B7B3-4DAD-9E52-68827AFC6BD3}"/>
    <cellStyle name="Comma 51" xfId="271" xr:uid="{9CAE4F49-E1A1-46CE-98D1-3C59DFDB32B5}"/>
    <cellStyle name="Comma 6" xfId="50" xr:uid="{35B0F113-8F21-4FC4-8B08-87363D5141E5}"/>
    <cellStyle name="Comma 7" xfId="56" xr:uid="{2E24121E-085F-4F06-B01D-48CAE0BB7F9D}"/>
    <cellStyle name="Comma 8" xfId="61" xr:uid="{23263483-0695-4055-8B38-0C2B71E8DB9C}"/>
    <cellStyle name="Comma 9" xfId="66" xr:uid="{37897CAD-CE41-4308-AB32-4B967CD60588}"/>
    <cellStyle name="Comma0" xfId="13" xr:uid="{632C7624-4DB6-4EA2-B6AA-DC32C0EFCB1E}"/>
    <cellStyle name="Comma0 2" xfId="19" xr:uid="{8024B639-6D76-4860-9D2C-0CCAD8F93177}"/>
    <cellStyle name="Comma0 2 2" xfId="87" xr:uid="{C55E4E9D-AF82-4B9F-80FC-E5E5041EEA81}"/>
    <cellStyle name="Comma0 3" xfId="220" xr:uid="{B6FBD2B8-98A3-40B6-BB39-F15D69EE3EEC}"/>
    <cellStyle name="Comma0 4" xfId="232" xr:uid="{24D8E016-025C-415B-B83A-0120E0DECEC2}"/>
    <cellStyle name="Comma1" xfId="20" xr:uid="{CCA920A1-142A-43D5-AB84-B7FC4047B8CC}"/>
    <cellStyle name="Comma1 2" xfId="21" xr:uid="{0C26AED9-2438-4C19-B03B-9685F6C71FB9}"/>
    <cellStyle name="Comma2" xfId="22" xr:uid="{313184DD-908B-478F-BFE8-4C87AA18FCBD}"/>
    <cellStyle name="Comma3" xfId="23" xr:uid="{CEC52336-CF90-4FC6-9186-AE0A5CC99E79}"/>
    <cellStyle name="Comma3 2" xfId="24" xr:uid="{07850936-544A-452F-BCD7-BEBD6EB0ACAB}"/>
    <cellStyle name="Currency" xfId="267" builtinId="4"/>
    <cellStyle name="Currency 10" xfId="195" xr:uid="{106147E8-C685-4AC4-84A2-96CD251B04CB}"/>
    <cellStyle name="Currency 11" xfId="230" xr:uid="{01F6E360-F26E-4856-8A5F-19C5110722AC}"/>
    <cellStyle name="Currency 12" xfId="233" xr:uid="{6FF56259-06A9-4688-B9C6-278E6BC2F370}"/>
    <cellStyle name="Currency 13" xfId="259" xr:uid="{16C9B326-CE16-46A8-BAB2-0D449DFA9F7B}"/>
    <cellStyle name="Currency 2" xfId="25" xr:uid="{2FA76F76-10A6-42A4-840E-497A6049AE08}"/>
    <cellStyle name="Currency 2 2" xfId="88" xr:uid="{FAE8815B-E6A1-4F4F-8F4A-B0CA58907ADF}"/>
    <cellStyle name="Currency 2 3" xfId="108" xr:uid="{4575994C-E4D9-4776-82B0-453C43C0D69F}"/>
    <cellStyle name="Currency 2 4" xfId="211" xr:uid="{A6B55F89-3CD0-4BFD-95B7-20E9B09622BE}"/>
    <cellStyle name="Currency 3" xfId="54" xr:uid="{4A53AE30-0A39-4D03-91B0-982DD5E7076A}"/>
    <cellStyle name="Currency 3 2" xfId="109" xr:uid="{69C9E66D-0B31-4839-ACFD-DC4EBDF0A2E9}"/>
    <cellStyle name="Currency 3 2 2" xfId="212" xr:uid="{19662570-3AA1-40AC-BA9B-E6EE84F2802F}"/>
    <cellStyle name="Currency 3 3" xfId="213" xr:uid="{7F530C2D-CCAC-40F2-8894-63D1F719EA9B}"/>
    <cellStyle name="Currency 4" xfId="59" xr:uid="{FAC7AE7A-8BFB-494F-8E72-BD749AA677EC}"/>
    <cellStyle name="Currency 5" xfId="64" xr:uid="{230F2712-57AA-4428-AC6E-55CB0B4D1CFB}"/>
    <cellStyle name="Currency 6" xfId="69" xr:uid="{0D1CC9F3-9CD9-4DC2-AFF7-934E66583741}"/>
    <cellStyle name="Currency 7" xfId="75" xr:uid="{469534C5-300D-4886-A715-9DC72FC64156}"/>
    <cellStyle name="Currency 8" xfId="79" xr:uid="{D7964249-4638-4359-8F4E-B459ECB422E4}"/>
    <cellStyle name="Currency 9" xfId="210" xr:uid="{F5FDB432-8813-4595-96F7-7EF7521E7785}"/>
    <cellStyle name="CURRENCY IN RANDS" xfId="110" xr:uid="{11020CCF-62EC-49F2-987C-630C5D8C809D}"/>
    <cellStyle name="CURRENCY IN US$" xfId="111" xr:uid="{1BE07522-F6D7-41FB-8CB0-BF8025C4F137}"/>
    <cellStyle name="Currency0" xfId="26" xr:uid="{0FF03A68-BD95-4C5E-94A5-F18B3BECCF2E}"/>
    <cellStyle name="Currency0 2" xfId="27" xr:uid="{AF7BCEC2-9C91-4848-AF6C-52C1D45EE3FE}"/>
    <cellStyle name="Date" xfId="28" xr:uid="{E39CD447-860A-4270-8C69-3178712C69CF}"/>
    <cellStyle name="DATE 2" xfId="112" xr:uid="{A74FD827-B136-4899-9012-38B7B132B41F}"/>
    <cellStyle name="Date 3" xfId="113" xr:uid="{B7ABD4BA-81B7-406B-B7BF-715C42224182}"/>
    <cellStyle name="Date 4" xfId="221" xr:uid="{2799A884-C57D-4300-8CCC-F7485C62D0F8}"/>
    <cellStyle name="Date 5" xfId="235" xr:uid="{72AA4A0E-1774-45F8-ADD5-C00BA266ED65}"/>
    <cellStyle name="Date 6" xfId="234" xr:uid="{1C1383C8-A3AC-4FD2-ADC0-9463CB685F7B}"/>
    <cellStyle name="Date 7" xfId="237" xr:uid="{236713A3-63D6-4438-BE64-563D1A4196E7}"/>
    <cellStyle name="Date 8" xfId="238" xr:uid="{3DE9D3E8-FA1B-44CA-A37B-30DF839C466A}"/>
    <cellStyle name="Date 9" xfId="236" xr:uid="{CC439125-1100-4A59-82E4-3057B7A07610}"/>
    <cellStyle name="F2" xfId="114" xr:uid="{66ABB8DE-8579-4DCD-8593-806AC2A04E48}"/>
    <cellStyle name="F3" xfId="29" xr:uid="{BFDAC791-30CE-4556-9FF9-1A8657DDDEE5}"/>
    <cellStyle name="F3 2" xfId="115" xr:uid="{863F4C1C-7950-4A36-A83A-EC7D627B49F7}"/>
    <cellStyle name="F4" xfId="30" xr:uid="{7A8F9CFA-F451-4E55-B4B6-2FC0995929E6}"/>
    <cellStyle name="F4 2" xfId="116" xr:uid="{4B03075A-084D-441C-B399-E0E7C7707FFE}"/>
    <cellStyle name="F5" xfId="117" xr:uid="{40D3ADCB-34F2-4B14-90C3-EDEAA950A13F}"/>
    <cellStyle name="F6" xfId="118" xr:uid="{82AC1AC5-2C53-49A9-8C5B-47B461F04F40}"/>
    <cellStyle name="F7" xfId="31" xr:uid="{E30C9A47-DA00-4E2F-A0EA-417EC1BD7485}"/>
    <cellStyle name="F7 2" xfId="119" xr:uid="{6F8E95BB-6B93-4B57-AAF6-022D47DEBC80}"/>
    <cellStyle name="F8" xfId="120" xr:uid="{D0673D8F-3409-4CBB-B697-360B1BA5C3A5}"/>
    <cellStyle name="Fixed" xfId="32" xr:uid="{526307BA-E889-4774-9C7F-D24088381C6B}"/>
    <cellStyle name="Fixed 2" xfId="121" xr:uid="{205141FB-94E0-40A1-802D-0E475D1C2087}"/>
    <cellStyle name="Header1" xfId="122" xr:uid="{981ED6EA-7631-450D-B764-DF8173389D70}"/>
    <cellStyle name="Header2" xfId="123" xr:uid="{35D7CD43-0140-4C3A-8869-6A2C9FD7998D}"/>
    <cellStyle name="Heading 1 2" xfId="80" xr:uid="{9731B23D-DD90-4754-A61E-A6B0A3976D05}"/>
    <cellStyle name="Heading 2 2" xfId="81" xr:uid="{1BF60389-ED8A-45A0-B65C-6D00596FCD98}"/>
    <cellStyle name="HEADING1" xfId="33" xr:uid="{C6F84DBE-AC34-4A7E-98A2-C0F02F245873}"/>
    <cellStyle name="HEADING1 2" xfId="124" xr:uid="{D89E8726-23D0-4A31-B12E-263B821D53DA}"/>
    <cellStyle name="HEADING2" xfId="34" xr:uid="{5BE9B8BE-9825-47CB-AA1B-8FB5ED5D1FE2}"/>
    <cellStyle name="HEADING2 2" xfId="125" xr:uid="{B62A1084-E8A7-429E-9C9D-32A96901ED17}"/>
    <cellStyle name="HIDE" xfId="126" xr:uid="{685C79D9-911D-4B9A-862A-CF1F6655292D}"/>
    <cellStyle name="Ian" xfId="127" xr:uid="{6FC201AD-C569-435A-BAC7-946688F7DE8C}"/>
    <cellStyle name="Input Cells" xfId="128" xr:uid="{1A5C5F1F-ED92-47B7-B018-921BD7BB7931}"/>
    <cellStyle name="Normal" xfId="0" builtinId="0"/>
    <cellStyle name="Normal - Style1" xfId="129" xr:uid="{46CB874A-7FCB-4BC9-AD25-CDD2C81B7C09}"/>
    <cellStyle name="Normal 10" xfId="55" xr:uid="{26E8C480-AD90-456B-A1BE-73DF5071B66D}"/>
    <cellStyle name="Normal 10 2" xfId="130" xr:uid="{606D31EA-FE8A-465B-89B3-BFD47E0C9BC0}"/>
    <cellStyle name="Normal 11" xfId="60" xr:uid="{A73B7188-51D8-47A3-AD06-C128E4CD0DE9}"/>
    <cellStyle name="Normal 11 2" xfId="131" xr:uid="{D1010473-E812-4E87-9AA7-7533ED28727A}"/>
    <cellStyle name="Normal 12" xfId="65" xr:uid="{E8725142-7968-4A8A-A673-7A5A5E1CB33C}"/>
    <cellStyle name="Normal 12 2" xfId="84" xr:uid="{28D67905-D60A-465D-91E6-A86416F3F0F8}"/>
    <cellStyle name="Normal 13" xfId="71" xr:uid="{EB889057-26F9-48AA-8BCB-4FDD72A70BA4}"/>
    <cellStyle name="Normal 14" xfId="77" xr:uid="{FD1CABBA-CDD9-4BCE-91EE-5DA677DFFFA1}"/>
    <cellStyle name="Normal 14 2" xfId="207" xr:uid="{EC7B7EAA-457C-42AF-8289-5C6F1587E443}"/>
    <cellStyle name="Normal 15" xfId="173" xr:uid="{921BDBAD-3D46-4AB4-8B71-168C7E8C2866}"/>
    <cellStyle name="Normal 15 2" xfId="206" xr:uid="{EFD7E8D1-CF7D-4472-ACDD-36EE5315B68E}"/>
    <cellStyle name="Normal 16" xfId="180" xr:uid="{B4D12A1B-EB34-4690-A170-0FB7147AC594}"/>
    <cellStyle name="Normal 16 2" xfId="205" xr:uid="{FBD31903-5309-44C4-9679-18F1003E2AEF}"/>
    <cellStyle name="Normal 17" xfId="175" xr:uid="{51566476-CC1F-48CE-9995-87ABAAECD964}"/>
    <cellStyle name="Normal 17 2" xfId="204" xr:uid="{EEDBA54B-4BB7-42A6-A0C4-6C6EFC8D2F77}"/>
    <cellStyle name="Normal 18" xfId="182" xr:uid="{0F1951B6-B76A-4767-91B5-A51B83527EA8}"/>
    <cellStyle name="Normal 19" xfId="184" xr:uid="{F8DDE6B5-6067-46C1-9D4B-011F71E263C0}"/>
    <cellStyle name="Normal 19 2" xfId="203" xr:uid="{202BEE68-3B66-4866-A781-1EBAD09D40D9}"/>
    <cellStyle name="Normal 2" xfId="2" xr:uid="{98422ABA-E105-4F66-9084-B45DD0FFD972}"/>
    <cellStyle name="Normal 2 2" xfId="7" xr:uid="{5F01787A-1021-429A-9A34-F27EDA3FD938}"/>
    <cellStyle name="Normal 2 2 2" xfId="133" xr:uid="{AA16A18B-3768-4009-AB7B-1D3B83FA172C}"/>
    <cellStyle name="Normal 2 2 3" xfId="85" xr:uid="{0E86B1FA-04C0-4437-BFBB-F382EF44BC2F}"/>
    <cellStyle name="Normal 2 3" xfId="134" xr:uid="{5E766255-BA8E-4484-ABD7-5E5EEEA58C68}"/>
    <cellStyle name="Normal 2 4" xfId="135" xr:uid="{0E8FEB3C-2E68-4AD0-A61B-38A30B37CA8C}"/>
    <cellStyle name="Normal 2 5" xfId="132" xr:uid="{9EB26317-9E99-4F7B-86AD-638A04FFDF31}"/>
    <cellStyle name="Normal 2 6" xfId="219" xr:uid="{21E6F1FD-6BA4-45F3-ADBB-CB2A3CF7EDD3}"/>
    <cellStyle name="Normal 20" xfId="177" xr:uid="{1B594D41-351F-4E36-BFB3-45CD385734CE}"/>
    <cellStyle name="Normal 20 2" xfId="202" xr:uid="{77C359E3-FBA3-4381-B987-80DB456F24C1}"/>
    <cellStyle name="Normal 21" xfId="186" xr:uid="{8105AE16-7BFB-414D-B84F-9CDE6B966EB9}"/>
    <cellStyle name="Normal 21 2" xfId="201" xr:uid="{57A93CC4-1D1B-48C5-A847-FCCD81CB401B}"/>
    <cellStyle name="Normal 22" xfId="188" xr:uid="{C89F17CC-0DC6-4BA3-BC76-C2060295006F}"/>
    <cellStyle name="Normal 22 2" xfId="200" xr:uid="{407EF26D-8595-4363-80E3-64A654CF07CA}"/>
    <cellStyle name="Normal 23" xfId="190" xr:uid="{197C9DC9-9C4E-412D-900D-0877B0ED7D4B}"/>
    <cellStyle name="Normal 24" xfId="192" xr:uid="{3B1D6921-147A-4C47-8926-AB1296713ACA}"/>
    <cellStyle name="Normal 24 2" xfId="199" xr:uid="{6E11AF92-88B2-4434-9514-A3FD5DE953EB}"/>
    <cellStyle name="Normal 25" xfId="194" xr:uid="{39B324DF-2A33-42BF-A509-E3DC12D38351}"/>
    <cellStyle name="Normal 25 2" xfId="198" xr:uid="{C6143FA7-3E29-478E-B3DD-14715094EB2E}"/>
    <cellStyle name="Normal 26" xfId="197" xr:uid="{93E896F6-27B7-4864-9537-821D334F93A7}"/>
    <cellStyle name="Normal 27" xfId="214" xr:uid="{BF43D090-CFB2-4117-8CF5-FA05219B51F2}"/>
    <cellStyle name="Normal 28" xfId="215" xr:uid="{AA722882-A597-4FBE-B76E-01F1A5EC5288}"/>
    <cellStyle name="Normal 29" xfId="231" xr:uid="{00CE564E-D51C-4134-AA91-B53C87E666B0}"/>
    <cellStyle name="Normal 3" xfId="14" xr:uid="{843F8DA0-CFD2-4072-BB8E-B7FC7C98746E}"/>
    <cellStyle name="Normal 3 2" xfId="8" xr:uid="{4AEE114D-CA70-4289-A009-A0C1C50A23FC}"/>
    <cellStyle name="Normal 3 2 2" xfId="35" xr:uid="{D963F45B-37CF-4573-87E5-FDFE0652521A}"/>
    <cellStyle name="Normal 3 2 2 2" xfId="36" xr:uid="{F3E578FE-401D-45FB-B340-1CCB1EE0FD78}"/>
    <cellStyle name="Normal 3 2 2 3" xfId="137" xr:uid="{B03E402E-0A57-48BB-BAD5-BA9E8F15C2A0}"/>
    <cellStyle name="Normal 3 2 3" xfId="37" xr:uid="{C9ADC70B-9C8F-455E-82C6-1332EF4ADB10}"/>
    <cellStyle name="Normal 3 2 4" xfId="224" xr:uid="{27A04130-30BB-47F9-84E1-01798A172E5D}"/>
    <cellStyle name="Normal 3 3" xfId="38" xr:uid="{93899996-7EFE-49F5-B02B-49B5C121216F}"/>
    <cellStyle name="Normal 3 3 2" xfId="138" xr:uid="{2945BBAF-B26F-4BC1-B9FC-9A3D3FA6C975}"/>
    <cellStyle name="Normal 3 3 3" xfId="223" xr:uid="{B3DA5777-92BD-40A2-BD63-4C58E027010E}"/>
    <cellStyle name="Normal 3 4" xfId="139" xr:uid="{AD9CEB44-D90C-4802-A5CD-BBDF98EC3E1A}"/>
    <cellStyle name="Normal 3 5" xfId="136" xr:uid="{B89C59F7-0531-4945-87AE-B686DC7B4A11}"/>
    <cellStyle name="Normal 3 6" xfId="222" xr:uid="{0EB255F2-D871-480C-AE73-3469BD736882}"/>
    <cellStyle name="Normal 30" xfId="258" xr:uid="{FD3BFD91-496A-414F-94EA-3D1A28043D8D}"/>
    <cellStyle name="Normal 31" xfId="262" xr:uid="{CDFFDDC9-B6F8-4423-80D1-2AC1509B461E}"/>
    <cellStyle name="Normal 32" xfId="261" xr:uid="{AB497FC1-00A3-4873-852D-2B8B0BC0AD99}"/>
    <cellStyle name="Normal 33" xfId="263" xr:uid="{E26615D1-1285-4735-9BB1-A76BA9D8E701}"/>
    <cellStyle name="Normal 34" xfId="260" xr:uid="{80F71152-7E17-41F6-9460-02AFB5C6C3E9}"/>
    <cellStyle name="Normal 35" xfId="264" xr:uid="{0D7BF442-F184-41C2-B0C3-0F4F26129B8C}"/>
    <cellStyle name="Normal 36" xfId="269" xr:uid="{63DB9DA2-CEEF-40BF-B5D6-F625F56E2AC3}"/>
    <cellStyle name="Normal 4" xfId="10" xr:uid="{6783B683-42D7-4917-A9AA-CB273AEEE5A1}"/>
    <cellStyle name="Normal 4 2" xfId="140" xr:uid="{2BF92DA6-19CA-441D-AB1C-974B6280C109}"/>
    <cellStyle name="Normal 4 3" xfId="209" xr:uid="{A0D976A6-47F5-429D-B66A-F6A895A5E033}"/>
    <cellStyle name="Normal 5" xfId="11" xr:uid="{96228276-1440-4FFC-9D39-10CE6558FC14}"/>
    <cellStyle name="Normal 5 2" xfId="39" xr:uid="{1ED7A2E7-71CE-48AB-B664-97D7DC38E06B}"/>
    <cellStyle name="Normal 5 2 2" xfId="1" xr:uid="{6A9E3618-18F0-4834-89AD-25E8584DD7CB}"/>
    <cellStyle name="Normal 5 2 2 2" xfId="141" xr:uid="{6273F577-C6D6-48B6-B9E4-4B26BCE1B77A}"/>
    <cellStyle name="Normal 6" xfId="5" xr:uid="{9EAC5965-7B7C-46F7-83E2-6FB7CA3537A0}"/>
    <cellStyle name="Normal 6 2" xfId="142" xr:uid="{64492667-7A9C-4EA5-AE54-25F96DAD852A}"/>
    <cellStyle name="Normal 7" xfId="40" xr:uid="{86C8AB05-1F87-4537-8D32-453393408DAE}"/>
    <cellStyle name="Normal 7 2" xfId="53" xr:uid="{4AB5012C-BF88-49EC-BC1D-6D7E94094C3E}"/>
    <cellStyle name="Normal 7 3" xfId="143" xr:uid="{EA2B324A-CC61-48E1-9649-93B10582EEEA}"/>
    <cellStyle name="Normal 8" xfId="41" xr:uid="{7F6149EC-942B-4868-88A0-FD079C5D486C}"/>
    <cellStyle name="Normal 8 2" xfId="52" xr:uid="{DC6141D0-5F71-401B-A88D-023ABC0044E0}"/>
    <cellStyle name="Normal 8 3" xfId="58" xr:uid="{8863F4D0-A276-4F43-A7A0-1239835837CD}"/>
    <cellStyle name="Normal 8 4" xfId="63" xr:uid="{4FA36898-1094-469B-85D8-AA811E9BDCB8}"/>
    <cellStyle name="Normal 8 5" xfId="68" xr:uid="{B0C0EE5D-F0FA-4A1A-8A9A-F7D25C0B8829}"/>
    <cellStyle name="Normal 8 6" xfId="74" xr:uid="{5F40619D-1443-4195-A2EF-F1920CAE0220}"/>
    <cellStyle name="Normal 8 7" xfId="144" xr:uid="{E540780D-4DBB-4513-A022-6C910E137773}"/>
    <cellStyle name="Normal 9" xfId="3" xr:uid="{ED17DB3D-76EC-4116-9CB6-8285297054C6}"/>
    <cellStyle name="Normal 9 2" xfId="145" xr:uid="{18C3A3EB-E4E5-4E71-8DFD-44C91F8B7A94}"/>
    <cellStyle name="Normal 9 3" xfId="49" xr:uid="{193B6C99-222A-4745-84FC-926C60942BEC}"/>
    <cellStyle name="NORMAL NUMBER" xfId="146" xr:uid="{4F02DB1D-455E-493A-A39A-0DE4EC116C56}"/>
    <cellStyle name="NORMAL TEXT" xfId="147" xr:uid="{E1FBF65A-99A6-414D-8B42-814594B8B74C}"/>
    <cellStyle name="Normal_4620-Sec3" xfId="47" xr:uid="{172425B9-B3FD-4A28-8B99-1B5E7A305950}"/>
    <cellStyle name="Normal_Ras Pump Station" xfId="48" xr:uid="{4AF0FEC0-A0C9-41DB-8F94-292C37E64FEE}"/>
    <cellStyle name="Normal_WAS Thickener" xfId="6" xr:uid="{8BFF104B-23CC-4266-A462-038CEA11CB5E}"/>
    <cellStyle name="NUMBER" xfId="148" xr:uid="{7522FF26-77DD-464F-89DF-29677DE9B5EF}"/>
    <cellStyle name="NUMBER DECIMAL" xfId="149" xr:uid="{85500524-0B82-47D1-9624-112397E80FCC}"/>
    <cellStyle name="OPSKRIF" xfId="42" xr:uid="{CE7DD42E-3078-4451-8CB0-A094228DF381}"/>
    <cellStyle name="OPSKRIF 2" xfId="150" xr:uid="{1BA128AB-A9A5-43C8-91C9-D2FEBECD215A}"/>
    <cellStyle name="OPSKRIF 2 2" xfId="89" xr:uid="{B61E48ED-E386-411F-8BA8-EC163B9F0EDB}"/>
    <cellStyle name="OPSKRIFTE" xfId="43" xr:uid="{73AE598B-552E-4115-AC5B-72CBFC8271ED}"/>
    <cellStyle name="or" xfId="44" xr:uid="{319C7FAA-9AEF-4148-8971-A8299F2B9CF8}"/>
    <cellStyle name="Part numbers" xfId="151" xr:uid="{83F3107F-2A66-47BB-A51B-EE79A8E2C750}"/>
    <cellStyle name="per.style" xfId="152" xr:uid="{1D1E61F7-7B01-4BD2-A615-5DF3EFDF49D6}"/>
    <cellStyle name="Percent" xfId="218" builtinId="5"/>
    <cellStyle name="Percent 2" xfId="45" xr:uid="{D59272B3-1183-4E7D-81F2-937D878FFFBD}"/>
    <cellStyle name="Percent 2 2" xfId="46" xr:uid="{C1300CA4-3089-45FA-8550-7C82E1C5720C}"/>
    <cellStyle name="Percent 2 3" xfId="154" xr:uid="{8CA376C3-742A-4EB9-95C8-BE324CA27FC6}"/>
    <cellStyle name="Percent 2 4" xfId="155" xr:uid="{2D913E1E-EBB3-4AFC-B908-1C63C4EE6EEE}"/>
    <cellStyle name="Percent 2 5" xfId="156" xr:uid="{958AEFFA-BCEA-4CEB-B942-D08FA8F0C2AE}"/>
    <cellStyle name="Percent 2 6" xfId="157" xr:uid="{5EDCC274-7A0D-4C83-A944-94D758411C17}"/>
    <cellStyle name="Percent 2 7" xfId="158" xr:uid="{E94FA9AF-0E93-45E5-9654-9C9E91EA56D3}"/>
    <cellStyle name="Percent 2 8" xfId="153" xr:uid="{9DCAA85B-C991-44E1-90E1-C18DCDDC7BE1}"/>
    <cellStyle name="Percent 3" xfId="70" xr:uid="{71C5089D-4907-48B7-8EAA-4A99826D917F}"/>
    <cellStyle name="Percent 3 2" xfId="159" xr:uid="{7A50A0F7-93BA-4E6C-9AD4-02B9351941C8}"/>
    <cellStyle name="Percent 4" xfId="76" xr:uid="{5A9A3B9B-C696-4587-95E5-FD15CF0E6E93}"/>
    <cellStyle name="Percent 4 2" xfId="160" xr:uid="{18AC5DEB-5AF6-4A98-A2B9-F01009ED42D6}"/>
    <cellStyle name="Percent 5" xfId="208" xr:uid="{A6855B85-13C2-4044-849C-E892D14F10CF}"/>
    <cellStyle name="Percent 6" xfId="196" xr:uid="{0749DE55-1D61-4236-B61F-B7588BE6025A}"/>
    <cellStyle name="Quantity" xfId="161" xr:uid="{19D51C6B-F60D-4A26-BE4D-647EA7B9F0D4}"/>
    <cellStyle name="SA R CURRENCY" xfId="162" xr:uid="{19408D90-5DCB-44BD-BE48-38BB90D0A82B}"/>
    <cellStyle name="T.b.a." xfId="163" xr:uid="{9363AD83-24A4-406F-8935-98D19F989B73}"/>
    <cellStyle name="T.b.a. 2" xfId="270" xr:uid="{DA85C551-2FD7-4AC1-A01A-C98C4D90AC11}"/>
    <cellStyle name="TEST" xfId="164" xr:uid="{BBDC9357-CFA0-4C62-BBE4-0410B370DFF9}"/>
    <cellStyle name="TEXT" xfId="165" xr:uid="{DCDFC79A-603E-405A-8C86-2A0359B69BED}"/>
    <cellStyle name="TEXT BOLD _ UND" xfId="166" xr:uid="{A453CA3F-3C5A-4DE2-BF0E-532C2FA03412}"/>
    <cellStyle name="TEXT CENTERED" xfId="167" xr:uid="{E845E294-C41D-4363-A194-2DF61D94252F}"/>
    <cellStyle name="TEXT HEADER" xfId="168" xr:uid="{8DB00B3A-E55B-4F2C-9D94-5B0C99B80E9D}"/>
    <cellStyle name="TEXT RED" xfId="169" xr:uid="{24D57180-7733-44CD-8A15-5D0D7E1BCCF9}"/>
    <cellStyle name="TEXT_Modicon97" xfId="170" xr:uid="{7A342E04-D8EA-4D39-B0C3-017875DC9681}"/>
    <cellStyle name="Total 2" xfId="82" xr:uid="{170D1C7B-0025-4FBC-87AB-45ADDB8882C4}"/>
    <cellStyle name="Update" xfId="171" xr:uid="{DA8984A6-89C3-4FA7-84AC-E7C4D0D79FA7}"/>
    <cellStyle name="US$ CURRENCY" xfId="172" xr:uid="{6D3B21CF-E4CA-4122-B5C7-368461C967A8}"/>
  </cellStyles>
  <dxfs count="0"/>
  <tableStyles count="1" defaultTableStyle="TableStyleMedium2" defaultPivotStyle="PivotStyleLight16">
    <tableStyle name="Invisible" pivot="0" table="0" count="0" xr9:uid="{75FA3709-8EFA-44D9-9651-66679D608ADF}"/>
  </tableStyles>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05.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4" Type="http://schemas.openxmlformats.org/officeDocument/2006/relationships/image" Target="../media/image4.jpeg"/></Relationships>
</file>

<file path=xl/drawings/_rels/drawing4.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image" Target="../media/image4.jpeg"/><Relationship Id="rId5" Type="http://schemas.openxmlformats.org/officeDocument/2006/relationships/image" Target="../media/image12.PNG"/><Relationship Id="rId4" Type="http://schemas.openxmlformats.org/officeDocument/2006/relationships/image" Target="../media/image11.PNG"/></Relationships>
</file>

<file path=xl/drawings/_rels/drawing5.xml.rels><?xml version="1.0" encoding="UTF-8" standalone="yes"?>
<Relationships xmlns="http://schemas.openxmlformats.org/package/2006/relationships"><Relationship Id="rId8" Type="http://schemas.openxmlformats.org/officeDocument/2006/relationships/image" Target="../media/image20.PNG"/><Relationship Id="rId13" Type="http://schemas.openxmlformats.org/officeDocument/2006/relationships/image" Target="../media/image25.PNG"/><Relationship Id="rId18" Type="http://schemas.openxmlformats.org/officeDocument/2006/relationships/image" Target="../media/image29.PNG"/><Relationship Id="rId3" Type="http://schemas.openxmlformats.org/officeDocument/2006/relationships/image" Target="../media/image15.PNG"/><Relationship Id="rId21" Type="http://schemas.openxmlformats.org/officeDocument/2006/relationships/image" Target="../media/image32.PNG"/><Relationship Id="rId7" Type="http://schemas.openxmlformats.org/officeDocument/2006/relationships/image" Target="../media/image19.PNG"/><Relationship Id="rId12" Type="http://schemas.openxmlformats.org/officeDocument/2006/relationships/image" Target="../media/image24.PNG"/><Relationship Id="rId17" Type="http://schemas.openxmlformats.org/officeDocument/2006/relationships/image" Target="../media/image28.PNG"/><Relationship Id="rId2" Type="http://schemas.openxmlformats.org/officeDocument/2006/relationships/image" Target="../media/image14.PNG"/><Relationship Id="rId16" Type="http://schemas.openxmlformats.org/officeDocument/2006/relationships/image" Target="../media/image27.png"/><Relationship Id="rId20" Type="http://schemas.openxmlformats.org/officeDocument/2006/relationships/image" Target="../media/image31.PNG"/><Relationship Id="rId1" Type="http://schemas.openxmlformats.org/officeDocument/2006/relationships/image" Target="../media/image13.PNG"/><Relationship Id="rId6" Type="http://schemas.openxmlformats.org/officeDocument/2006/relationships/image" Target="../media/image18.PNG"/><Relationship Id="rId11" Type="http://schemas.openxmlformats.org/officeDocument/2006/relationships/image" Target="../media/image23.PNG"/><Relationship Id="rId5" Type="http://schemas.openxmlformats.org/officeDocument/2006/relationships/image" Target="../media/image17.PNG"/><Relationship Id="rId15" Type="http://schemas.openxmlformats.org/officeDocument/2006/relationships/image" Target="../media/image26.png"/><Relationship Id="rId10" Type="http://schemas.openxmlformats.org/officeDocument/2006/relationships/image" Target="../media/image22.PNG"/><Relationship Id="rId19" Type="http://schemas.openxmlformats.org/officeDocument/2006/relationships/image" Target="../media/image30.PNG"/><Relationship Id="rId4" Type="http://schemas.openxmlformats.org/officeDocument/2006/relationships/image" Target="../media/image16.PNG"/><Relationship Id="rId9" Type="http://schemas.openxmlformats.org/officeDocument/2006/relationships/image" Target="../media/image21.PNG"/><Relationship Id="rId14" Type="http://schemas.openxmlformats.org/officeDocument/2006/relationships/image" Target="../media/image4.jpeg"/><Relationship Id="rId22" Type="http://schemas.openxmlformats.org/officeDocument/2006/relationships/image" Target="../media/image33.PNG"/></Relationships>
</file>

<file path=xl/drawings/_rels/drawing6.xml.rels><?xml version="1.0" encoding="UTF-8" standalone="yes"?>
<Relationships xmlns="http://schemas.openxmlformats.org/package/2006/relationships"><Relationship Id="rId8" Type="http://schemas.openxmlformats.org/officeDocument/2006/relationships/image" Target="../media/image40.PNG"/><Relationship Id="rId3" Type="http://schemas.openxmlformats.org/officeDocument/2006/relationships/image" Target="../media/image36.PNG"/><Relationship Id="rId7" Type="http://schemas.openxmlformats.org/officeDocument/2006/relationships/image" Target="../media/image39.png"/><Relationship Id="rId2" Type="http://schemas.openxmlformats.org/officeDocument/2006/relationships/image" Target="../media/image35.PNG"/><Relationship Id="rId1" Type="http://schemas.openxmlformats.org/officeDocument/2006/relationships/image" Target="../media/image34.PNG"/><Relationship Id="rId6" Type="http://schemas.openxmlformats.org/officeDocument/2006/relationships/image" Target="../media/image4.jpeg"/><Relationship Id="rId5" Type="http://schemas.openxmlformats.org/officeDocument/2006/relationships/image" Target="../media/image38.PNG"/><Relationship Id="rId4" Type="http://schemas.openxmlformats.org/officeDocument/2006/relationships/image" Target="../media/image37.PNG"/></Relationships>
</file>

<file path=xl/drawings/_rels/drawing7.xml.rels><?xml version="1.0" encoding="UTF-8" standalone="yes"?>
<Relationships xmlns="http://schemas.openxmlformats.org/package/2006/relationships"><Relationship Id="rId8" Type="http://schemas.openxmlformats.org/officeDocument/2006/relationships/image" Target="../media/image48.PNG"/><Relationship Id="rId13" Type="http://schemas.openxmlformats.org/officeDocument/2006/relationships/image" Target="../media/image53.PNG"/><Relationship Id="rId18" Type="http://schemas.openxmlformats.org/officeDocument/2006/relationships/image" Target="../media/image58.PNG"/><Relationship Id="rId26" Type="http://schemas.openxmlformats.org/officeDocument/2006/relationships/image" Target="../media/image65.PNG"/><Relationship Id="rId3" Type="http://schemas.openxmlformats.org/officeDocument/2006/relationships/image" Target="../media/image43.PNG"/><Relationship Id="rId21" Type="http://schemas.openxmlformats.org/officeDocument/2006/relationships/image" Target="../media/image61.PNG"/><Relationship Id="rId7" Type="http://schemas.openxmlformats.org/officeDocument/2006/relationships/image" Target="../media/image47.PNG"/><Relationship Id="rId12" Type="http://schemas.openxmlformats.org/officeDocument/2006/relationships/image" Target="../media/image52.PNG"/><Relationship Id="rId17" Type="http://schemas.openxmlformats.org/officeDocument/2006/relationships/image" Target="../media/image57.PNG"/><Relationship Id="rId25" Type="http://schemas.openxmlformats.org/officeDocument/2006/relationships/image" Target="../media/image4.jpeg"/><Relationship Id="rId2" Type="http://schemas.openxmlformats.org/officeDocument/2006/relationships/image" Target="../media/image42.PNG"/><Relationship Id="rId16" Type="http://schemas.openxmlformats.org/officeDocument/2006/relationships/image" Target="../media/image56.PNG"/><Relationship Id="rId20" Type="http://schemas.openxmlformats.org/officeDocument/2006/relationships/image" Target="../media/image60.PNG"/><Relationship Id="rId1" Type="http://schemas.openxmlformats.org/officeDocument/2006/relationships/image" Target="../media/image41.PNG"/><Relationship Id="rId6" Type="http://schemas.openxmlformats.org/officeDocument/2006/relationships/image" Target="../media/image46.PNG"/><Relationship Id="rId11" Type="http://schemas.openxmlformats.org/officeDocument/2006/relationships/image" Target="../media/image51.PNG"/><Relationship Id="rId24" Type="http://schemas.openxmlformats.org/officeDocument/2006/relationships/image" Target="../media/image64.PNG"/><Relationship Id="rId5" Type="http://schemas.openxmlformats.org/officeDocument/2006/relationships/image" Target="../media/image45.PNG"/><Relationship Id="rId15" Type="http://schemas.openxmlformats.org/officeDocument/2006/relationships/image" Target="../media/image55.PNG"/><Relationship Id="rId23" Type="http://schemas.openxmlformats.org/officeDocument/2006/relationships/image" Target="../media/image63.PNG"/><Relationship Id="rId10" Type="http://schemas.openxmlformats.org/officeDocument/2006/relationships/image" Target="../media/image50.PNG"/><Relationship Id="rId19" Type="http://schemas.openxmlformats.org/officeDocument/2006/relationships/image" Target="../media/image59.PNG"/><Relationship Id="rId4" Type="http://schemas.openxmlformats.org/officeDocument/2006/relationships/image" Target="../media/image44.PNG"/><Relationship Id="rId9" Type="http://schemas.openxmlformats.org/officeDocument/2006/relationships/image" Target="../media/image49.PNG"/><Relationship Id="rId14" Type="http://schemas.openxmlformats.org/officeDocument/2006/relationships/image" Target="../media/image54.PNG"/><Relationship Id="rId22" Type="http://schemas.openxmlformats.org/officeDocument/2006/relationships/image" Target="../media/image62.PNG"/></Relationships>
</file>

<file path=xl/drawings/_rels/drawing8.xml.rels><?xml version="1.0" encoding="UTF-8" standalone="yes"?>
<Relationships xmlns="http://schemas.openxmlformats.org/package/2006/relationships"><Relationship Id="rId13" Type="http://schemas.openxmlformats.org/officeDocument/2006/relationships/image" Target="../media/image36.PNG"/><Relationship Id="rId18" Type="http://schemas.openxmlformats.org/officeDocument/2006/relationships/image" Target="../media/image16.PNG"/><Relationship Id="rId26" Type="http://schemas.openxmlformats.org/officeDocument/2006/relationships/image" Target="../media/image44.PNG"/><Relationship Id="rId39" Type="http://schemas.openxmlformats.org/officeDocument/2006/relationships/image" Target="../media/image55.PNG"/><Relationship Id="rId21" Type="http://schemas.openxmlformats.org/officeDocument/2006/relationships/image" Target="../media/image19.PNG"/><Relationship Id="rId34" Type="http://schemas.openxmlformats.org/officeDocument/2006/relationships/image" Target="../media/image50.PNG"/><Relationship Id="rId42" Type="http://schemas.openxmlformats.org/officeDocument/2006/relationships/image" Target="../media/image58.PNG"/><Relationship Id="rId47" Type="http://schemas.openxmlformats.org/officeDocument/2006/relationships/image" Target="../media/image23.PNG"/><Relationship Id="rId50" Type="http://schemas.openxmlformats.org/officeDocument/2006/relationships/image" Target="../media/image62.PNG"/><Relationship Id="rId55" Type="http://schemas.openxmlformats.org/officeDocument/2006/relationships/image" Target="../media/image39.png"/><Relationship Id="rId63" Type="http://schemas.openxmlformats.org/officeDocument/2006/relationships/image" Target="../media/image32.PNG"/><Relationship Id="rId7" Type="http://schemas.openxmlformats.org/officeDocument/2006/relationships/image" Target="../media/image9.PNG"/><Relationship Id="rId2" Type="http://schemas.openxmlformats.org/officeDocument/2006/relationships/image" Target="../media/image6.PNG"/><Relationship Id="rId16" Type="http://schemas.openxmlformats.org/officeDocument/2006/relationships/image" Target="../media/image14.PNG"/><Relationship Id="rId29" Type="http://schemas.openxmlformats.org/officeDocument/2006/relationships/image" Target="../media/image21.PNG"/><Relationship Id="rId11" Type="http://schemas.openxmlformats.org/officeDocument/2006/relationships/image" Target="../media/image34.PNG"/><Relationship Id="rId24" Type="http://schemas.openxmlformats.org/officeDocument/2006/relationships/image" Target="../media/image43.PNG"/><Relationship Id="rId32" Type="http://schemas.openxmlformats.org/officeDocument/2006/relationships/image" Target="../media/image48.PNG"/><Relationship Id="rId37" Type="http://schemas.openxmlformats.org/officeDocument/2006/relationships/image" Target="../media/image53.PNG"/><Relationship Id="rId40" Type="http://schemas.openxmlformats.org/officeDocument/2006/relationships/image" Target="../media/image56.PNG"/><Relationship Id="rId45" Type="http://schemas.openxmlformats.org/officeDocument/2006/relationships/image" Target="../media/image61.PNG"/><Relationship Id="rId53" Type="http://schemas.openxmlformats.org/officeDocument/2006/relationships/image" Target="../media/image38.PNG"/><Relationship Id="rId58" Type="http://schemas.openxmlformats.org/officeDocument/2006/relationships/image" Target="../media/image27.png"/><Relationship Id="rId5" Type="http://schemas.openxmlformats.org/officeDocument/2006/relationships/image" Target="../media/image3.PNG"/><Relationship Id="rId61" Type="http://schemas.openxmlformats.org/officeDocument/2006/relationships/image" Target="../media/image30.PNG"/><Relationship Id="rId19" Type="http://schemas.openxmlformats.org/officeDocument/2006/relationships/image" Target="../media/image17.PNG"/><Relationship Id="rId14" Type="http://schemas.openxmlformats.org/officeDocument/2006/relationships/image" Target="../media/image37.PNG"/><Relationship Id="rId22" Type="http://schemas.openxmlformats.org/officeDocument/2006/relationships/image" Target="../media/image41.PNG"/><Relationship Id="rId27" Type="http://schemas.openxmlformats.org/officeDocument/2006/relationships/image" Target="../media/image45.PNG"/><Relationship Id="rId30" Type="http://schemas.openxmlformats.org/officeDocument/2006/relationships/image" Target="../media/image46.PNG"/><Relationship Id="rId35" Type="http://schemas.openxmlformats.org/officeDocument/2006/relationships/image" Target="../media/image51.PNG"/><Relationship Id="rId43" Type="http://schemas.openxmlformats.org/officeDocument/2006/relationships/image" Target="../media/image59.PNG"/><Relationship Id="rId48" Type="http://schemas.openxmlformats.org/officeDocument/2006/relationships/image" Target="../media/image24.PNG"/><Relationship Id="rId56" Type="http://schemas.openxmlformats.org/officeDocument/2006/relationships/image" Target="../media/image40.PNG"/><Relationship Id="rId64" Type="http://schemas.openxmlformats.org/officeDocument/2006/relationships/image" Target="../media/image33.PNG"/><Relationship Id="rId8" Type="http://schemas.openxmlformats.org/officeDocument/2006/relationships/image" Target="../media/image10.PNG"/><Relationship Id="rId51" Type="http://schemas.openxmlformats.org/officeDocument/2006/relationships/image" Target="../media/image63.PNG"/><Relationship Id="rId3" Type="http://schemas.openxmlformats.org/officeDocument/2006/relationships/image" Target="../media/image7.PNG"/><Relationship Id="rId12" Type="http://schemas.openxmlformats.org/officeDocument/2006/relationships/image" Target="../media/image35.PNG"/><Relationship Id="rId17" Type="http://schemas.openxmlformats.org/officeDocument/2006/relationships/image" Target="../media/image15.PNG"/><Relationship Id="rId25" Type="http://schemas.openxmlformats.org/officeDocument/2006/relationships/image" Target="../media/image65.PNG"/><Relationship Id="rId33" Type="http://schemas.openxmlformats.org/officeDocument/2006/relationships/image" Target="../media/image49.PNG"/><Relationship Id="rId38" Type="http://schemas.openxmlformats.org/officeDocument/2006/relationships/image" Target="../media/image54.PNG"/><Relationship Id="rId46" Type="http://schemas.openxmlformats.org/officeDocument/2006/relationships/image" Target="../media/image22.PNG"/><Relationship Id="rId59" Type="http://schemas.openxmlformats.org/officeDocument/2006/relationships/image" Target="../media/image28.PNG"/><Relationship Id="rId20" Type="http://schemas.openxmlformats.org/officeDocument/2006/relationships/image" Target="../media/image18.PNG"/><Relationship Id="rId41" Type="http://schemas.openxmlformats.org/officeDocument/2006/relationships/image" Target="../media/image57.PNG"/><Relationship Id="rId54" Type="http://schemas.openxmlformats.org/officeDocument/2006/relationships/image" Target="../media/image4.jpeg"/><Relationship Id="rId62" Type="http://schemas.openxmlformats.org/officeDocument/2006/relationships/image" Target="../media/image31.PNG"/><Relationship Id="rId1" Type="http://schemas.openxmlformats.org/officeDocument/2006/relationships/image" Target="../media/image5.PNG"/><Relationship Id="rId6" Type="http://schemas.openxmlformats.org/officeDocument/2006/relationships/image" Target="../media/image8.PNG"/><Relationship Id="rId15" Type="http://schemas.openxmlformats.org/officeDocument/2006/relationships/image" Target="../media/image13.PNG"/><Relationship Id="rId23" Type="http://schemas.openxmlformats.org/officeDocument/2006/relationships/image" Target="../media/image42.PNG"/><Relationship Id="rId28" Type="http://schemas.openxmlformats.org/officeDocument/2006/relationships/image" Target="../media/image20.PNG"/><Relationship Id="rId36" Type="http://schemas.openxmlformats.org/officeDocument/2006/relationships/image" Target="../media/image52.PNG"/><Relationship Id="rId49" Type="http://schemas.openxmlformats.org/officeDocument/2006/relationships/image" Target="../media/image25.PNG"/><Relationship Id="rId57" Type="http://schemas.openxmlformats.org/officeDocument/2006/relationships/image" Target="../media/image26.png"/><Relationship Id="rId10" Type="http://schemas.openxmlformats.org/officeDocument/2006/relationships/image" Target="../media/image12.PNG"/><Relationship Id="rId31" Type="http://schemas.openxmlformats.org/officeDocument/2006/relationships/image" Target="../media/image47.PNG"/><Relationship Id="rId44" Type="http://schemas.openxmlformats.org/officeDocument/2006/relationships/image" Target="../media/image60.PNG"/><Relationship Id="rId52" Type="http://schemas.openxmlformats.org/officeDocument/2006/relationships/image" Target="../media/image64.PNG"/><Relationship Id="rId60" Type="http://schemas.openxmlformats.org/officeDocument/2006/relationships/image" Target="../media/image29.PNG"/><Relationship Id="rId4" Type="http://schemas.openxmlformats.org/officeDocument/2006/relationships/image" Target="../media/image2.PNG"/><Relationship Id="rId9" Type="http://schemas.openxmlformats.org/officeDocument/2006/relationships/image" Target="../media/image11.PNG"/></Relationships>
</file>

<file path=xl/drawings/_rels/drawing9.xml.rels><?xml version="1.0" encoding="UTF-8" standalone="yes"?>
<Relationships xmlns="http://schemas.openxmlformats.org/package/2006/relationships"><Relationship Id="rId13" Type="http://schemas.openxmlformats.org/officeDocument/2006/relationships/image" Target="../media/image25.PNG"/><Relationship Id="rId18" Type="http://schemas.openxmlformats.org/officeDocument/2006/relationships/image" Target="../media/image30.PNG"/><Relationship Id="rId26" Type="http://schemas.openxmlformats.org/officeDocument/2006/relationships/image" Target="../media/image45.PNG"/><Relationship Id="rId39" Type="http://schemas.openxmlformats.org/officeDocument/2006/relationships/image" Target="../media/image76.png"/><Relationship Id="rId21" Type="http://schemas.openxmlformats.org/officeDocument/2006/relationships/image" Target="../media/image33.PNG"/><Relationship Id="rId34" Type="http://schemas.openxmlformats.org/officeDocument/2006/relationships/image" Target="../media/image71.png"/><Relationship Id="rId42" Type="http://schemas.openxmlformats.org/officeDocument/2006/relationships/image" Target="../media/image79.png"/><Relationship Id="rId47" Type="http://schemas.openxmlformats.org/officeDocument/2006/relationships/image" Target="../media/image84.png"/><Relationship Id="rId50" Type="http://schemas.openxmlformats.org/officeDocument/2006/relationships/image" Target="../media/image87.png"/><Relationship Id="rId55" Type="http://schemas.openxmlformats.org/officeDocument/2006/relationships/image" Target="../media/image92.png"/><Relationship Id="rId63" Type="http://schemas.openxmlformats.org/officeDocument/2006/relationships/image" Target="../media/image100.PNG"/><Relationship Id="rId7" Type="http://schemas.openxmlformats.org/officeDocument/2006/relationships/image" Target="../media/image18.PNG"/><Relationship Id="rId2" Type="http://schemas.openxmlformats.org/officeDocument/2006/relationships/image" Target="../media/image36.PNG"/><Relationship Id="rId16" Type="http://schemas.openxmlformats.org/officeDocument/2006/relationships/image" Target="../media/image27.png"/><Relationship Id="rId29" Type="http://schemas.openxmlformats.org/officeDocument/2006/relationships/image" Target="../media/image66.png"/><Relationship Id="rId11" Type="http://schemas.openxmlformats.org/officeDocument/2006/relationships/image" Target="../media/image23.PNG"/><Relationship Id="rId24" Type="http://schemas.openxmlformats.org/officeDocument/2006/relationships/image" Target="../media/image43.PNG"/><Relationship Id="rId32" Type="http://schemas.openxmlformats.org/officeDocument/2006/relationships/image" Target="../media/image69.png"/><Relationship Id="rId37" Type="http://schemas.openxmlformats.org/officeDocument/2006/relationships/image" Target="../media/image74.png"/><Relationship Id="rId40" Type="http://schemas.openxmlformats.org/officeDocument/2006/relationships/image" Target="../media/image77.PNG"/><Relationship Id="rId45" Type="http://schemas.openxmlformats.org/officeDocument/2006/relationships/image" Target="../media/image82.png"/><Relationship Id="rId53" Type="http://schemas.openxmlformats.org/officeDocument/2006/relationships/image" Target="../media/image90.png"/><Relationship Id="rId58" Type="http://schemas.openxmlformats.org/officeDocument/2006/relationships/image" Target="../media/image95.png"/><Relationship Id="rId5" Type="http://schemas.openxmlformats.org/officeDocument/2006/relationships/image" Target="../media/image15.PNG"/><Relationship Id="rId61" Type="http://schemas.openxmlformats.org/officeDocument/2006/relationships/image" Target="../media/image98.png"/><Relationship Id="rId19" Type="http://schemas.openxmlformats.org/officeDocument/2006/relationships/image" Target="../media/image31.PNG"/><Relationship Id="rId14" Type="http://schemas.openxmlformats.org/officeDocument/2006/relationships/image" Target="../media/image40.PNG"/><Relationship Id="rId22" Type="http://schemas.openxmlformats.org/officeDocument/2006/relationships/image" Target="../media/image12.PNG"/><Relationship Id="rId27" Type="http://schemas.openxmlformats.org/officeDocument/2006/relationships/image" Target="../media/image55.PNG"/><Relationship Id="rId30" Type="http://schemas.openxmlformats.org/officeDocument/2006/relationships/image" Target="../media/image67.png"/><Relationship Id="rId35" Type="http://schemas.openxmlformats.org/officeDocument/2006/relationships/image" Target="../media/image72.png"/><Relationship Id="rId43" Type="http://schemas.openxmlformats.org/officeDocument/2006/relationships/image" Target="../media/image80.png"/><Relationship Id="rId48" Type="http://schemas.openxmlformats.org/officeDocument/2006/relationships/image" Target="../media/image85.png"/><Relationship Id="rId56" Type="http://schemas.openxmlformats.org/officeDocument/2006/relationships/image" Target="../media/image93.png"/><Relationship Id="rId8" Type="http://schemas.openxmlformats.org/officeDocument/2006/relationships/image" Target="../media/image20.PNG"/><Relationship Id="rId51" Type="http://schemas.openxmlformats.org/officeDocument/2006/relationships/image" Target="../media/image88.png"/><Relationship Id="rId3" Type="http://schemas.openxmlformats.org/officeDocument/2006/relationships/image" Target="../media/image37.PNG"/><Relationship Id="rId12" Type="http://schemas.openxmlformats.org/officeDocument/2006/relationships/image" Target="../media/image24.PNG"/><Relationship Id="rId17" Type="http://schemas.openxmlformats.org/officeDocument/2006/relationships/image" Target="../media/image29.PNG"/><Relationship Id="rId25" Type="http://schemas.openxmlformats.org/officeDocument/2006/relationships/image" Target="../media/image44.PNG"/><Relationship Id="rId33" Type="http://schemas.openxmlformats.org/officeDocument/2006/relationships/image" Target="../media/image70.png"/><Relationship Id="rId38" Type="http://schemas.openxmlformats.org/officeDocument/2006/relationships/image" Target="../media/image75.png"/><Relationship Id="rId46" Type="http://schemas.openxmlformats.org/officeDocument/2006/relationships/image" Target="../media/image83.png"/><Relationship Id="rId59" Type="http://schemas.openxmlformats.org/officeDocument/2006/relationships/image" Target="../media/image96.png"/><Relationship Id="rId20" Type="http://schemas.openxmlformats.org/officeDocument/2006/relationships/image" Target="../media/image32.PNG"/><Relationship Id="rId41" Type="http://schemas.openxmlformats.org/officeDocument/2006/relationships/image" Target="../media/image78.png"/><Relationship Id="rId54" Type="http://schemas.openxmlformats.org/officeDocument/2006/relationships/image" Target="../media/image91.png"/><Relationship Id="rId62" Type="http://schemas.openxmlformats.org/officeDocument/2006/relationships/image" Target="../media/image99.png"/><Relationship Id="rId1" Type="http://schemas.openxmlformats.org/officeDocument/2006/relationships/image" Target="../media/image5.PNG"/><Relationship Id="rId6" Type="http://schemas.openxmlformats.org/officeDocument/2006/relationships/image" Target="../media/image17.PNG"/><Relationship Id="rId15" Type="http://schemas.openxmlformats.org/officeDocument/2006/relationships/image" Target="../media/image26.png"/><Relationship Id="rId23" Type="http://schemas.openxmlformats.org/officeDocument/2006/relationships/image" Target="../media/image42.PNG"/><Relationship Id="rId28" Type="http://schemas.openxmlformats.org/officeDocument/2006/relationships/image" Target="../media/image62.PNG"/><Relationship Id="rId36" Type="http://schemas.openxmlformats.org/officeDocument/2006/relationships/image" Target="../media/image73.png"/><Relationship Id="rId49" Type="http://schemas.openxmlformats.org/officeDocument/2006/relationships/image" Target="../media/image86.png"/><Relationship Id="rId57" Type="http://schemas.openxmlformats.org/officeDocument/2006/relationships/image" Target="../media/image94.png"/><Relationship Id="rId10" Type="http://schemas.openxmlformats.org/officeDocument/2006/relationships/image" Target="../media/image22.PNG"/><Relationship Id="rId31" Type="http://schemas.openxmlformats.org/officeDocument/2006/relationships/image" Target="../media/image68.png"/><Relationship Id="rId44" Type="http://schemas.openxmlformats.org/officeDocument/2006/relationships/image" Target="../media/image81.png"/><Relationship Id="rId52" Type="http://schemas.openxmlformats.org/officeDocument/2006/relationships/image" Target="../media/image89.png"/><Relationship Id="rId60" Type="http://schemas.openxmlformats.org/officeDocument/2006/relationships/image" Target="../media/image97.png"/><Relationship Id="rId4" Type="http://schemas.openxmlformats.org/officeDocument/2006/relationships/image" Target="../media/image14.PNG"/><Relationship Id="rId9" Type="http://schemas.openxmlformats.org/officeDocument/2006/relationships/image" Target="../media/image21.PNG"/></Relationships>
</file>

<file path=xl/drawings/_rels/vmlDrawing10.vml.rels><?xml version="1.0" encoding="UTF-8" standalone="yes"?>
<Relationships xmlns="http://schemas.openxmlformats.org/package/2006/relationships"><Relationship Id="rId3" Type="http://schemas.openxmlformats.org/officeDocument/2006/relationships/image" Target="../media/image103.png"/><Relationship Id="rId2" Type="http://schemas.openxmlformats.org/officeDocument/2006/relationships/image" Target="../media/image102.jpeg"/><Relationship Id="rId1" Type="http://schemas.openxmlformats.org/officeDocument/2006/relationships/image" Target="../media/image101.png"/></Relationships>
</file>

<file path=xl/drawings/_rels/vmlDrawing11.vml.rels><?xml version="1.0" encoding="UTF-8" standalone="yes"?>
<Relationships xmlns="http://schemas.openxmlformats.org/package/2006/relationships"><Relationship Id="rId3" Type="http://schemas.openxmlformats.org/officeDocument/2006/relationships/image" Target="../media/image103.png"/><Relationship Id="rId2" Type="http://schemas.openxmlformats.org/officeDocument/2006/relationships/image" Target="../media/image102.jpeg"/><Relationship Id="rId1" Type="http://schemas.openxmlformats.org/officeDocument/2006/relationships/image" Target="../media/image104.png"/></Relationships>
</file>

<file path=xl/drawings/_rels/vmlDrawing14.vml.rels><?xml version="1.0" encoding="UTF-8" standalone="yes"?>
<Relationships xmlns="http://schemas.openxmlformats.org/package/2006/relationships"><Relationship Id="rId3" Type="http://schemas.openxmlformats.org/officeDocument/2006/relationships/image" Target="../media/image103.png"/><Relationship Id="rId2" Type="http://schemas.openxmlformats.org/officeDocument/2006/relationships/image" Target="../media/image102.jpeg"/><Relationship Id="rId1" Type="http://schemas.openxmlformats.org/officeDocument/2006/relationships/image" Target="../media/image104.png"/></Relationships>
</file>

<file path=xl/drawings/_rels/vmlDrawing16.vml.rels><?xml version="1.0" encoding="UTF-8" standalone="yes"?>
<Relationships xmlns="http://schemas.openxmlformats.org/package/2006/relationships"><Relationship Id="rId3" Type="http://schemas.openxmlformats.org/officeDocument/2006/relationships/image" Target="../media/image103.png"/><Relationship Id="rId2" Type="http://schemas.openxmlformats.org/officeDocument/2006/relationships/image" Target="../media/image102.jpeg"/><Relationship Id="rId1" Type="http://schemas.openxmlformats.org/officeDocument/2006/relationships/image" Target="../media/image104.png"/></Relationships>
</file>

<file path=xl/drawings/_rels/vmlDrawing18.vml.rels><?xml version="1.0" encoding="UTF-8" standalone="yes"?>
<Relationships xmlns="http://schemas.openxmlformats.org/package/2006/relationships"><Relationship Id="rId3" Type="http://schemas.openxmlformats.org/officeDocument/2006/relationships/image" Target="../media/image103.png"/><Relationship Id="rId2" Type="http://schemas.openxmlformats.org/officeDocument/2006/relationships/image" Target="../media/image102.jpeg"/><Relationship Id="rId1" Type="http://schemas.openxmlformats.org/officeDocument/2006/relationships/image" Target="../media/image104.png"/></Relationships>
</file>

<file path=xl/drawings/_rels/vmlDrawing20.vml.rels><?xml version="1.0" encoding="UTF-8" standalone="yes"?>
<Relationships xmlns="http://schemas.openxmlformats.org/package/2006/relationships"><Relationship Id="rId3" Type="http://schemas.openxmlformats.org/officeDocument/2006/relationships/image" Target="../media/image103.png"/><Relationship Id="rId2" Type="http://schemas.openxmlformats.org/officeDocument/2006/relationships/image" Target="../media/image102.jpeg"/><Relationship Id="rId1" Type="http://schemas.openxmlformats.org/officeDocument/2006/relationships/image" Target="../media/image104.png"/></Relationships>
</file>

<file path=xl/drawings/_rels/vmlDrawing21.vml.rels><?xml version="1.0" encoding="UTF-8" standalone="yes"?>
<Relationships xmlns="http://schemas.openxmlformats.org/package/2006/relationships"><Relationship Id="rId3" Type="http://schemas.openxmlformats.org/officeDocument/2006/relationships/image" Target="../media/image103.png"/><Relationship Id="rId2" Type="http://schemas.openxmlformats.org/officeDocument/2006/relationships/image" Target="../media/image102.jpeg"/><Relationship Id="rId1" Type="http://schemas.openxmlformats.org/officeDocument/2006/relationships/image" Target="../media/image104.png"/></Relationships>
</file>

<file path=xl/drawings/_rels/vmlDrawing22.vml.rels><?xml version="1.0" encoding="UTF-8" standalone="yes"?>
<Relationships xmlns="http://schemas.openxmlformats.org/package/2006/relationships"><Relationship Id="rId3" Type="http://schemas.openxmlformats.org/officeDocument/2006/relationships/image" Target="../media/image103.png"/><Relationship Id="rId2" Type="http://schemas.openxmlformats.org/officeDocument/2006/relationships/image" Target="../media/image102.jpeg"/><Relationship Id="rId1" Type="http://schemas.openxmlformats.org/officeDocument/2006/relationships/image" Target="../media/image104.png"/></Relationships>
</file>

<file path=xl/drawings/_rels/vmlDrawing4.vml.rels><?xml version="1.0" encoding="UTF-8" standalone="yes"?>
<Relationships xmlns="http://schemas.openxmlformats.org/package/2006/relationships"><Relationship Id="rId3" Type="http://schemas.openxmlformats.org/officeDocument/2006/relationships/image" Target="../media/image103.png"/><Relationship Id="rId2" Type="http://schemas.openxmlformats.org/officeDocument/2006/relationships/image" Target="../media/image102.jpeg"/><Relationship Id="rId1" Type="http://schemas.openxmlformats.org/officeDocument/2006/relationships/image" Target="../media/image101.png"/></Relationships>
</file>

<file path=xl/drawings/_rels/vmlDrawing5.vml.rels><?xml version="1.0" encoding="UTF-8" standalone="yes"?>
<Relationships xmlns="http://schemas.openxmlformats.org/package/2006/relationships"><Relationship Id="rId3" Type="http://schemas.openxmlformats.org/officeDocument/2006/relationships/image" Target="../media/image103.png"/><Relationship Id="rId2" Type="http://schemas.openxmlformats.org/officeDocument/2006/relationships/image" Target="../media/image102.jpeg"/><Relationship Id="rId1" Type="http://schemas.openxmlformats.org/officeDocument/2006/relationships/image" Target="../media/image101.png"/></Relationships>
</file>

<file path=xl/drawings/_rels/vmlDrawing8.vml.rels><?xml version="1.0" encoding="UTF-8" standalone="yes"?>
<Relationships xmlns="http://schemas.openxmlformats.org/package/2006/relationships"><Relationship Id="rId3" Type="http://schemas.openxmlformats.org/officeDocument/2006/relationships/image" Target="../media/image103.png"/><Relationship Id="rId2" Type="http://schemas.openxmlformats.org/officeDocument/2006/relationships/image" Target="../media/image102.jpeg"/><Relationship Id="rId1" Type="http://schemas.openxmlformats.org/officeDocument/2006/relationships/image" Target="../media/image101.png"/></Relationships>
</file>

<file path=xl/drawings/drawing1.xml><?xml version="1.0" encoding="utf-8"?>
<xdr:wsDr xmlns:xdr="http://schemas.openxmlformats.org/drawingml/2006/spreadsheetDrawing" xmlns:a="http://schemas.openxmlformats.org/drawingml/2006/main">
  <xdr:twoCellAnchor editAs="oneCell">
    <xdr:from>
      <xdr:col>5</xdr:col>
      <xdr:colOff>305583</xdr:colOff>
      <xdr:row>0</xdr:row>
      <xdr:rowOff>24848</xdr:rowOff>
    </xdr:from>
    <xdr:to>
      <xdr:col>5</xdr:col>
      <xdr:colOff>968734</xdr:colOff>
      <xdr:row>2</xdr:row>
      <xdr:rowOff>171621</xdr:rowOff>
    </xdr:to>
    <xdr:pic>
      <xdr:nvPicPr>
        <xdr:cNvPr id="2" name="Picture 1">
          <a:extLst>
            <a:ext uri="{FF2B5EF4-FFF2-40B4-BE49-F238E27FC236}">
              <a16:creationId xmlns:a16="http://schemas.microsoft.com/office/drawing/2014/main" id="{A3123CEE-28E6-4A69-99C0-D6052A77F8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91983" y="21038"/>
          <a:ext cx="663151" cy="47062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87086</xdr:colOff>
      <xdr:row>0</xdr:row>
      <xdr:rowOff>152400</xdr:rowOff>
    </xdr:from>
    <xdr:to>
      <xdr:col>2</xdr:col>
      <xdr:colOff>499897</xdr:colOff>
      <xdr:row>5</xdr:row>
      <xdr:rowOff>127093</xdr:rowOff>
    </xdr:to>
    <xdr:pic>
      <xdr:nvPicPr>
        <xdr:cNvPr id="2" name="Picture 1">
          <a:extLst>
            <a:ext uri="{FF2B5EF4-FFF2-40B4-BE49-F238E27FC236}">
              <a16:creationId xmlns:a16="http://schemas.microsoft.com/office/drawing/2014/main" id="{2397D7ED-8DDC-4AD4-86F9-8CBD31BDE0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086" y="152400"/>
          <a:ext cx="1479611" cy="9271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598716</xdr:colOff>
      <xdr:row>10</xdr:row>
      <xdr:rowOff>21024</xdr:rowOff>
    </xdr:from>
    <xdr:to>
      <xdr:col>4</xdr:col>
      <xdr:colOff>1319894</xdr:colOff>
      <xdr:row>10</xdr:row>
      <xdr:rowOff>1377867</xdr:rowOff>
    </xdr:to>
    <xdr:pic>
      <xdr:nvPicPr>
        <xdr:cNvPr id="5" name="Picture 4">
          <a:extLst>
            <a:ext uri="{FF2B5EF4-FFF2-40B4-BE49-F238E27FC236}">
              <a16:creationId xmlns:a16="http://schemas.microsoft.com/office/drawing/2014/main" id="{F5DFCCC6-9674-48BA-98A0-DDB44304710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824" r="23529"/>
        <a:stretch/>
      </xdr:blipFill>
      <xdr:spPr>
        <a:xfrm>
          <a:off x="3903891" y="14422824"/>
          <a:ext cx="721178" cy="1356843"/>
        </a:xfrm>
        <a:prstGeom prst="rect">
          <a:avLst/>
        </a:prstGeom>
      </xdr:spPr>
    </xdr:pic>
    <xdr:clientData/>
  </xdr:twoCellAnchor>
  <xdr:twoCellAnchor editAs="oneCell">
    <xdr:from>
      <xdr:col>4</xdr:col>
      <xdr:colOff>340179</xdr:colOff>
      <xdr:row>11</xdr:row>
      <xdr:rowOff>176894</xdr:rowOff>
    </xdr:from>
    <xdr:to>
      <xdr:col>4</xdr:col>
      <xdr:colOff>1551215</xdr:colOff>
      <xdr:row>11</xdr:row>
      <xdr:rowOff>757031</xdr:rowOff>
    </xdr:to>
    <xdr:pic>
      <xdr:nvPicPr>
        <xdr:cNvPr id="6" name="Picture 5">
          <a:extLst>
            <a:ext uri="{FF2B5EF4-FFF2-40B4-BE49-F238E27FC236}">
              <a16:creationId xmlns:a16="http://schemas.microsoft.com/office/drawing/2014/main" id="{071D4DA3-FAE3-44D9-9AC4-7923131D0F2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645354" y="15969344"/>
          <a:ext cx="1211036" cy="580137"/>
        </a:xfrm>
        <a:prstGeom prst="rect">
          <a:avLst/>
        </a:prstGeom>
      </xdr:spPr>
    </xdr:pic>
    <xdr:clientData/>
  </xdr:twoCellAnchor>
  <xdr:twoCellAnchor editAs="oneCell">
    <xdr:from>
      <xdr:col>0</xdr:col>
      <xdr:colOff>59871</xdr:colOff>
      <xdr:row>0</xdr:row>
      <xdr:rowOff>111579</xdr:rowOff>
    </xdr:from>
    <xdr:to>
      <xdr:col>2</xdr:col>
      <xdr:colOff>579906</xdr:colOff>
      <xdr:row>5</xdr:row>
      <xdr:rowOff>78107</xdr:rowOff>
    </xdr:to>
    <xdr:pic>
      <xdr:nvPicPr>
        <xdr:cNvPr id="56" name="Picture 55">
          <a:extLst>
            <a:ext uri="{FF2B5EF4-FFF2-40B4-BE49-F238E27FC236}">
              <a16:creationId xmlns:a16="http://schemas.microsoft.com/office/drawing/2014/main" id="{50DB21E1-9015-421A-88B0-01ABD09B13E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9871" y="111579"/>
          <a:ext cx="1482060" cy="7761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416487</xdr:colOff>
      <xdr:row>10</xdr:row>
      <xdr:rowOff>134655</xdr:rowOff>
    </xdr:from>
    <xdr:to>
      <xdr:col>4</xdr:col>
      <xdr:colOff>1624855</xdr:colOff>
      <xdr:row>10</xdr:row>
      <xdr:rowOff>702188</xdr:rowOff>
    </xdr:to>
    <xdr:pic>
      <xdr:nvPicPr>
        <xdr:cNvPr id="2" name="Picture 1">
          <a:extLst>
            <a:ext uri="{FF2B5EF4-FFF2-40B4-BE49-F238E27FC236}">
              <a16:creationId xmlns:a16="http://schemas.microsoft.com/office/drawing/2014/main" id="{D29181B8-B48A-414A-BF32-FC684DE58FB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21662" y="1915830"/>
          <a:ext cx="1208368" cy="567533"/>
        </a:xfrm>
        <a:prstGeom prst="rect">
          <a:avLst/>
        </a:prstGeom>
      </xdr:spPr>
    </xdr:pic>
    <xdr:clientData/>
  </xdr:twoCellAnchor>
  <xdr:twoCellAnchor editAs="oneCell">
    <xdr:from>
      <xdr:col>4</xdr:col>
      <xdr:colOff>479985</xdr:colOff>
      <xdr:row>11</xdr:row>
      <xdr:rowOff>84977</xdr:rowOff>
    </xdr:from>
    <xdr:to>
      <xdr:col>4</xdr:col>
      <xdr:colOff>1673679</xdr:colOff>
      <xdr:row>11</xdr:row>
      <xdr:rowOff>828692</xdr:rowOff>
    </xdr:to>
    <xdr:pic>
      <xdr:nvPicPr>
        <xdr:cNvPr id="3" name="Picture 2">
          <a:extLst>
            <a:ext uri="{FF2B5EF4-FFF2-40B4-BE49-F238E27FC236}">
              <a16:creationId xmlns:a16="http://schemas.microsoft.com/office/drawing/2014/main" id="{0EFDCD03-4CBB-4E2C-B71E-514197D28CD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785160" y="2751977"/>
          <a:ext cx="1193694" cy="743715"/>
        </a:xfrm>
        <a:prstGeom prst="rect">
          <a:avLst/>
        </a:prstGeom>
      </xdr:spPr>
    </xdr:pic>
    <xdr:clientData/>
  </xdr:twoCellAnchor>
  <xdr:twoCellAnchor editAs="oneCell">
    <xdr:from>
      <xdr:col>4</xdr:col>
      <xdr:colOff>436789</xdr:colOff>
      <xdr:row>12</xdr:row>
      <xdr:rowOff>174541</xdr:rowOff>
    </xdr:from>
    <xdr:to>
      <xdr:col>4</xdr:col>
      <xdr:colOff>1538969</xdr:colOff>
      <xdr:row>12</xdr:row>
      <xdr:rowOff>765710</xdr:rowOff>
    </xdr:to>
    <xdr:pic>
      <xdr:nvPicPr>
        <xdr:cNvPr id="4" name="Picture 3">
          <a:extLst>
            <a:ext uri="{FF2B5EF4-FFF2-40B4-BE49-F238E27FC236}">
              <a16:creationId xmlns:a16="http://schemas.microsoft.com/office/drawing/2014/main" id="{686CA715-D434-4159-80B1-27E6B9B09972}"/>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5555" r="7156" b="14875"/>
        <a:stretch/>
      </xdr:blipFill>
      <xdr:spPr>
        <a:xfrm>
          <a:off x="3741964" y="3727366"/>
          <a:ext cx="1102180" cy="591169"/>
        </a:xfrm>
        <a:prstGeom prst="rect">
          <a:avLst/>
        </a:prstGeom>
      </xdr:spPr>
    </xdr:pic>
    <xdr:clientData/>
  </xdr:twoCellAnchor>
  <xdr:twoCellAnchor editAs="oneCell">
    <xdr:from>
      <xdr:col>0</xdr:col>
      <xdr:colOff>59871</xdr:colOff>
      <xdr:row>0</xdr:row>
      <xdr:rowOff>111579</xdr:rowOff>
    </xdr:from>
    <xdr:to>
      <xdr:col>2</xdr:col>
      <xdr:colOff>579906</xdr:colOff>
      <xdr:row>5</xdr:row>
      <xdr:rowOff>78107</xdr:rowOff>
    </xdr:to>
    <xdr:pic>
      <xdr:nvPicPr>
        <xdr:cNvPr id="56" name="Picture 55">
          <a:extLst>
            <a:ext uri="{FF2B5EF4-FFF2-40B4-BE49-F238E27FC236}">
              <a16:creationId xmlns:a16="http://schemas.microsoft.com/office/drawing/2014/main" id="{6C2389BA-70C8-4BBA-888E-B4AA01EE3348}"/>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9871" y="111579"/>
          <a:ext cx="1482060" cy="7761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557894</xdr:colOff>
      <xdr:row>11</xdr:row>
      <xdr:rowOff>40823</xdr:rowOff>
    </xdr:from>
    <xdr:to>
      <xdr:col>4</xdr:col>
      <xdr:colOff>1428752</xdr:colOff>
      <xdr:row>11</xdr:row>
      <xdr:rowOff>1279073</xdr:rowOff>
    </xdr:to>
    <xdr:pic>
      <xdr:nvPicPr>
        <xdr:cNvPr id="2" name="Picture 1">
          <a:extLst>
            <a:ext uri="{FF2B5EF4-FFF2-40B4-BE49-F238E27FC236}">
              <a16:creationId xmlns:a16="http://schemas.microsoft.com/office/drawing/2014/main" id="{73173AD4-9AF7-4176-BB85-6402A11E3E0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634" b="3929"/>
        <a:stretch/>
      </xdr:blipFill>
      <xdr:spPr>
        <a:xfrm>
          <a:off x="3863069" y="40226798"/>
          <a:ext cx="870858" cy="1238250"/>
        </a:xfrm>
        <a:prstGeom prst="rect">
          <a:avLst/>
        </a:prstGeom>
      </xdr:spPr>
    </xdr:pic>
    <xdr:clientData/>
  </xdr:twoCellAnchor>
  <xdr:twoCellAnchor editAs="oneCell">
    <xdr:from>
      <xdr:col>4</xdr:col>
      <xdr:colOff>420462</xdr:colOff>
      <xdr:row>10</xdr:row>
      <xdr:rowOff>224518</xdr:rowOff>
    </xdr:from>
    <xdr:to>
      <xdr:col>4</xdr:col>
      <xdr:colOff>1509031</xdr:colOff>
      <xdr:row>10</xdr:row>
      <xdr:rowOff>832836</xdr:rowOff>
    </xdr:to>
    <xdr:pic>
      <xdr:nvPicPr>
        <xdr:cNvPr id="3" name="Picture 2">
          <a:extLst>
            <a:ext uri="{FF2B5EF4-FFF2-40B4-BE49-F238E27FC236}">
              <a16:creationId xmlns:a16="http://schemas.microsoft.com/office/drawing/2014/main" id="{A8D2C75A-E202-4019-A935-FD1753C6D98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725637" y="2386693"/>
          <a:ext cx="1088569" cy="608318"/>
        </a:xfrm>
        <a:prstGeom prst="rect">
          <a:avLst/>
        </a:prstGeom>
      </xdr:spPr>
    </xdr:pic>
    <xdr:clientData/>
  </xdr:twoCellAnchor>
  <xdr:twoCellAnchor editAs="oneCell">
    <xdr:from>
      <xdr:col>4</xdr:col>
      <xdr:colOff>476251</xdr:colOff>
      <xdr:row>12</xdr:row>
      <xdr:rowOff>95250</xdr:rowOff>
    </xdr:from>
    <xdr:to>
      <xdr:col>4</xdr:col>
      <xdr:colOff>1401537</xdr:colOff>
      <xdr:row>12</xdr:row>
      <xdr:rowOff>880668</xdr:rowOff>
    </xdr:to>
    <xdr:pic>
      <xdr:nvPicPr>
        <xdr:cNvPr id="4" name="Picture 3">
          <a:extLst>
            <a:ext uri="{FF2B5EF4-FFF2-40B4-BE49-F238E27FC236}">
              <a16:creationId xmlns:a16="http://schemas.microsoft.com/office/drawing/2014/main" id="{3713DB24-D572-4CF7-869A-717A2292683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781426" y="41671875"/>
          <a:ext cx="925286" cy="785418"/>
        </a:xfrm>
        <a:prstGeom prst="rect">
          <a:avLst/>
        </a:prstGeom>
      </xdr:spPr>
    </xdr:pic>
    <xdr:clientData/>
  </xdr:twoCellAnchor>
  <xdr:twoCellAnchor editAs="oneCell">
    <xdr:from>
      <xdr:col>4</xdr:col>
      <xdr:colOff>367394</xdr:colOff>
      <xdr:row>13</xdr:row>
      <xdr:rowOff>176894</xdr:rowOff>
    </xdr:from>
    <xdr:to>
      <xdr:col>4</xdr:col>
      <xdr:colOff>1497020</xdr:colOff>
      <xdr:row>13</xdr:row>
      <xdr:rowOff>789215</xdr:rowOff>
    </xdr:to>
    <xdr:pic>
      <xdr:nvPicPr>
        <xdr:cNvPr id="5" name="Picture 4">
          <a:extLst>
            <a:ext uri="{FF2B5EF4-FFF2-40B4-BE49-F238E27FC236}">
              <a16:creationId xmlns:a16="http://schemas.microsoft.com/office/drawing/2014/main" id="{665D9E69-9311-4A77-8D94-98BC30AE521F}"/>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3672569" y="42639344"/>
          <a:ext cx="1129626" cy="612321"/>
        </a:xfrm>
        <a:prstGeom prst="rect">
          <a:avLst/>
        </a:prstGeom>
      </xdr:spPr>
    </xdr:pic>
    <xdr:clientData/>
  </xdr:twoCellAnchor>
  <xdr:twoCellAnchor editAs="oneCell">
    <xdr:from>
      <xdr:col>4</xdr:col>
      <xdr:colOff>394609</xdr:colOff>
      <xdr:row>14</xdr:row>
      <xdr:rowOff>231321</xdr:rowOff>
    </xdr:from>
    <xdr:to>
      <xdr:col>4</xdr:col>
      <xdr:colOff>1455965</xdr:colOff>
      <xdr:row>14</xdr:row>
      <xdr:rowOff>792037</xdr:rowOff>
    </xdr:to>
    <xdr:pic>
      <xdr:nvPicPr>
        <xdr:cNvPr id="6" name="Picture 5">
          <a:extLst>
            <a:ext uri="{FF2B5EF4-FFF2-40B4-BE49-F238E27FC236}">
              <a16:creationId xmlns:a16="http://schemas.microsoft.com/office/drawing/2014/main" id="{22ABB0DD-9B71-458A-B848-EAE14CB5D178}"/>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699784" y="43579596"/>
          <a:ext cx="1061356" cy="560716"/>
        </a:xfrm>
        <a:prstGeom prst="rect">
          <a:avLst/>
        </a:prstGeom>
      </xdr:spPr>
    </xdr:pic>
    <xdr:clientData/>
  </xdr:twoCellAnchor>
  <xdr:twoCellAnchor editAs="oneCell">
    <xdr:from>
      <xdr:col>0</xdr:col>
      <xdr:colOff>59871</xdr:colOff>
      <xdr:row>0</xdr:row>
      <xdr:rowOff>111579</xdr:rowOff>
    </xdr:from>
    <xdr:to>
      <xdr:col>2</xdr:col>
      <xdr:colOff>579906</xdr:colOff>
      <xdr:row>5</xdr:row>
      <xdr:rowOff>78107</xdr:rowOff>
    </xdr:to>
    <xdr:pic>
      <xdr:nvPicPr>
        <xdr:cNvPr id="46" name="Picture 45">
          <a:extLst>
            <a:ext uri="{FF2B5EF4-FFF2-40B4-BE49-F238E27FC236}">
              <a16:creationId xmlns:a16="http://schemas.microsoft.com/office/drawing/2014/main" id="{E88A3C13-AF17-4729-90D4-966F221FC12B}"/>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9871" y="111579"/>
          <a:ext cx="1482060" cy="7761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421822</xdr:colOff>
      <xdr:row>10</xdr:row>
      <xdr:rowOff>54430</xdr:rowOff>
    </xdr:from>
    <xdr:to>
      <xdr:col>4</xdr:col>
      <xdr:colOff>1605642</xdr:colOff>
      <xdr:row>10</xdr:row>
      <xdr:rowOff>802822</xdr:rowOff>
    </xdr:to>
    <xdr:pic>
      <xdr:nvPicPr>
        <xdr:cNvPr id="11" name="Picture 10">
          <a:extLst>
            <a:ext uri="{FF2B5EF4-FFF2-40B4-BE49-F238E27FC236}">
              <a16:creationId xmlns:a16="http://schemas.microsoft.com/office/drawing/2014/main" id="{F517657C-1233-4321-8E3F-AEBCCDFFEA9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9928"/>
        <a:stretch/>
      </xdr:blipFill>
      <xdr:spPr>
        <a:xfrm>
          <a:off x="3726997" y="8931730"/>
          <a:ext cx="1183820" cy="748392"/>
        </a:xfrm>
        <a:prstGeom prst="rect">
          <a:avLst/>
        </a:prstGeom>
      </xdr:spPr>
    </xdr:pic>
    <xdr:clientData/>
  </xdr:twoCellAnchor>
  <xdr:twoCellAnchor editAs="oneCell">
    <xdr:from>
      <xdr:col>4</xdr:col>
      <xdr:colOff>476251</xdr:colOff>
      <xdr:row>11</xdr:row>
      <xdr:rowOff>173054</xdr:rowOff>
    </xdr:from>
    <xdr:to>
      <xdr:col>4</xdr:col>
      <xdr:colOff>1551214</xdr:colOff>
      <xdr:row>11</xdr:row>
      <xdr:rowOff>1296386</xdr:rowOff>
    </xdr:to>
    <xdr:pic>
      <xdr:nvPicPr>
        <xdr:cNvPr id="12" name="Picture 11">
          <a:extLst>
            <a:ext uri="{FF2B5EF4-FFF2-40B4-BE49-F238E27FC236}">
              <a16:creationId xmlns:a16="http://schemas.microsoft.com/office/drawing/2014/main" id="{D1FC1EDE-1055-4D15-AFD1-268503115F3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781426" y="9936179"/>
          <a:ext cx="1074963" cy="1123332"/>
        </a:xfrm>
        <a:prstGeom prst="rect">
          <a:avLst/>
        </a:prstGeom>
      </xdr:spPr>
    </xdr:pic>
    <xdr:clientData/>
  </xdr:twoCellAnchor>
  <xdr:twoCellAnchor editAs="oneCell">
    <xdr:from>
      <xdr:col>4</xdr:col>
      <xdr:colOff>449036</xdr:colOff>
      <xdr:row>12</xdr:row>
      <xdr:rowOff>27214</xdr:rowOff>
    </xdr:from>
    <xdr:to>
      <xdr:col>4</xdr:col>
      <xdr:colOff>1401535</xdr:colOff>
      <xdr:row>12</xdr:row>
      <xdr:rowOff>870412</xdr:rowOff>
    </xdr:to>
    <xdr:pic>
      <xdr:nvPicPr>
        <xdr:cNvPr id="13" name="Picture 12">
          <a:extLst>
            <a:ext uri="{FF2B5EF4-FFF2-40B4-BE49-F238E27FC236}">
              <a16:creationId xmlns:a16="http://schemas.microsoft.com/office/drawing/2014/main" id="{08C47AE6-3636-4371-B9F1-8883E9969094}"/>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5729" t="4646" r="6924" b="11742"/>
        <a:stretch/>
      </xdr:blipFill>
      <xdr:spPr>
        <a:xfrm>
          <a:off x="3754211" y="11180989"/>
          <a:ext cx="952499" cy="843198"/>
        </a:xfrm>
        <a:prstGeom prst="rect">
          <a:avLst/>
        </a:prstGeom>
      </xdr:spPr>
    </xdr:pic>
    <xdr:clientData/>
  </xdr:twoCellAnchor>
  <xdr:twoCellAnchor editAs="oneCell">
    <xdr:from>
      <xdr:col>4</xdr:col>
      <xdr:colOff>394607</xdr:colOff>
      <xdr:row>13</xdr:row>
      <xdr:rowOff>176893</xdr:rowOff>
    </xdr:from>
    <xdr:to>
      <xdr:col>4</xdr:col>
      <xdr:colOff>1592035</xdr:colOff>
      <xdr:row>13</xdr:row>
      <xdr:rowOff>805173</xdr:rowOff>
    </xdr:to>
    <xdr:pic>
      <xdr:nvPicPr>
        <xdr:cNvPr id="14" name="Picture 13">
          <a:extLst>
            <a:ext uri="{FF2B5EF4-FFF2-40B4-BE49-F238E27FC236}">
              <a16:creationId xmlns:a16="http://schemas.microsoft.com/office/drawing/2014/main" id="{D050EBC5-52F7-49E8-9512-EAC8C0CF27CE}"/>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3699782" y="12216493"/>
          <a:ext cx="1197428" cy="628280"/>
        </a:xfrm>
        <a:prstGeom prst="rect">
          <a:avLst/>
        </a:prstGeom>
      </xdr:spPr>
    </xdr:pic>
    <xdr:clientData/>
  </xdr:twoCellAnchor>
  <xdr:twoCellAnchor editAs="oneCell">
    <xdr:from>
      <xdr:col>4</xdr:col>
      <xdr:colOff>598715</xdr:colOff>
      <xdr:row>14</xdr:row>
      <xdr:rowOff>108859</xdr:rowOff>
    </xdr:from>
    <xdr:to>
      <xdr:col>4</xdr:col>
      <xdr:colOff>1330685</xdr:colOff>
      <xdr:row>14</xdr:row>
      <xdr:rowOff>816429</xdr:rowOff>
    </xdr:to>
    <xdr:pic>
      <xdr:nvPicPr>
        <xdr:cNvPr id="15" name="Picture 14">
          <a:extLst>
            <a:ext uri="{FF2B5EF4-FFF2-40B4-BE49-F238E27FC236}">
              <a16:creationId xmlns:a16="http://schemas.microsoft.com/office/drawing/2014/main" id="{E5C897AE-932C-4A6D-BB41-AEADEB08BA9D}"/>
            </a:ext>
          </a:extLst>
        </xdr:cNvPr>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17844" r="22677" b="1205"/>
        <a:stretch/>
      </xdr:blipFill>
      <xdr:spPr>
        <a:xfrm>
          <a:off x="3903890" y="13034284"/>
          <a:ext cx="731970" cy="707570"/>
        </a:xfrm>
        <a:prstGeom prst="rect">
          <a:avLst/>
        </a:prstGeom>
      </xdr:spPr>
    </xdr:pic>
    <xdr:clientData/>
  </xdr:twoCellAnchor>
  <xdr:twoCellAnchor editAs="oneCell">
    <xdr:from>
      <xdr:col>4</xdr:col>
      <xdr:colOff>340180</xdr:colOff>
      <xdr:row>16</xdr:row>
      <xdr:rowOff>54429</xdr:rowOff>
    </xdr:from>
    <xdr:to>
      <xdr:col>4</xdr:col>
      <xdr:colOff>1605330</xdr:colOff>
      <xdr:row>16</xdr:row>
      <xdr:rowOff>1129393</xdr:rowOff>
    </xdr:to>
    <xdr:pic>
      <xdr:nvPicPr>
        <xdr:cNvPr id="16" name="Picture 15">
          <a:extLst>
            <a:ext uri="{FF2B5EF4-FFF2-40B4-BE49-F238E27FC236}">
              <a16:creationId xmlns:a16="http://schemas.microsoft.com/office/drawing/2014/main" id="{980FF534-03AF-4F29-A18B-8928EB6F1EB6}"/>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3645355" y="15008679"/>
          <a:ext cx="1265150" cy="1074964"/>
        </a:xfrm>
        <a:prstGeom prst="rect">
          <a:avLst/>
        </a:prstGeom>
      </xdr:spPr>
    </xdr:pic>
    <xdr:clientData/>
  </xdr:twoCellAnchor>
  <xdr:twoCellAnchor editAs="oneCell">
    <xdr:from>
      <xdr:col>4</xdr:col>
      <xdr:colOff>312965</xdr:colOff>
      <xdr:row>15</xdr:row>
      <xdr:rowOff>81643</xdr:rowOff>
    </xdr:from>
    <xdr:to>
      <xdr:col>4</xdr:col>
      <xdr:colOff>1663165</xdr:colOff>
      <xdr:row>15</xdr:row>
      <xdr:rowOff>1088572</xdr:rowOff>
    </xdr:to>
    <xdr:pic>
      <xdr:nvPicPr>
        <xdr:cNvPr id="17" name="Picture 16">
          <a:extLst>
            <a:ext uri="{FF2B5EF4-FFF2-40B4-BE49-F238E27FC236}">
              <a16:creationId xmlns:a16="http://schemas.microsoft.com/office/drawing/2014/main" id="{1EF8E83E-7257-4582-AED4-3203451F94B9}"/>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3618140" y="13892893"/>
          <a:ext cx="1350200" cy="1006929"/>
        </a:xfrm>
        <a:prstGeom prst="rect">
          <a:avLst/>
        </a:prstGeom>
      </xdr:spPr>
    </xdr:pic>
    <xdr:clientData/>
  </xdr:twoCellAnchor>
  <xdr:twoCellAnchor editAs="oneCell">
    <xdr:from>
      <xdr:col>4</xdr:col>
      <xdr:colOff>326573</xdr:colOff>
      <xdr:row>29</xdr:row>
      <xdr:rowOff>190501</xdr:rowOff>
    </xdr:from>
    <xdr:to>
      <xdr:col>4</xdr:col>
      <xdr:colOff>1537607</xdr:colOff>
      <xdr:row>29</xdr:row>
      <xdr:rowOff>765742</xdr:rowOff>
    </xdr:to>
    <xdr:pic>
      <xdr:nvPicPr>
        <xdr:cNvPr id="24" name="Picture 23">
          <a:extLst>
            <a:ext uri="{FF2B5EF4-FFF2-40B4-BE49-F238E27FC236}">
              <a16:creationId xmlns:a16="http://schemas.microsoft.com/office/drawing/2014/main" id="{92347A2F-A2FE-4AF4-BC78-42DAE0E18EE7}"/>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3631748" y="24203026"/>
          <a:ext cx="1211034" cy="575241"/>
        </a:xfrm>
        <a:prstGeom prst="rect">
          <a:avLst/>
        </a:prstGeom>
      </xdr:spPr>
    </xdr:pic>
    <xdr:clientData/>
  </xdr:twoCellAnchor>
  <xdr:twoCellAnchor editAs="oneCell">
    <xdr:from>
      <xdr:col>4</xdr:col>
      <xdr:colOff>285752</xdr:colOff>
      <xdr:row>30</xdr:row>
      <xdr:rowOff>163285</xdr:rowOff>
    </xdr:from>
    <xdr:to>
      <xdr:col>4</xdr:col>
      <xdr:colOff>1510394</xdr:colOff>
      <xdr:row>30</xdr:row>
      <xdr:rowOff>813876</xdr:rowOff>
    </xdr:to>
    <xdr:pic>
      <xdr:nvPicPr>
        <xdr:cNvPr id="25" name="Picture 24">
          <a:extLst>
            <a:ext uri="{FF2B5EF4-FFF2-40B4-BE49-F238E27FC236}">
              <a16:creationId xmlns:a16="http://schemas.microsoft.com/office/drawing/2014/main" id="{3CE1EB68-0A5D-41C1-846D-458A06BBB5CD}"/>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3590927" y="25061635"/>
          <a:ext cx="1224642" cy="650591"/>
        </a:xfrm>
        <a:prstGeom prst="rect">
          <a:avLst/>
        </a:prstGeom>
      </xdr:spPr>
    </xdr:pic>
    <xdr:clientData/>
  </xdr:twoCellAnchor>
  <xdr:twoCellAnchor editAs="oneCell">
    <xdr:from>
      <xdr:col>4</xdr:col>
      <xdr:colOff>748394</xdr:colOff>
      <xdr:row>36</xdr:row>
      <xdr:rowOff>169225</xdr:rowOff>
    </xdr:from>
    <xdr:to>
      <xdr:col>4</xdr:col>
      <xdr:colOff>1279072</xdr:colOff>
      <xdr:row>36</xdr:row>
      <xdr:rowOff>518470</xdr:rowOff>
    </xdr:to>
    <xdr:pic>
      <xdr:nvPicPr>
        <xdr:cNvPr id="43" name="Picture 42">
          <a:extLst>
            <a:ext uri="{FF2B5EF4-FFF2-40B4-BE49-F238E27FC236}">
              <a16:creationId xmlns:a16="http://schemas.microsoft.com/office/drawing/2014/main" id="{13487C1A-0A41-4AC0-AB1E-81EE45803B8E}"/>
            </a:ext>
          </a:extLst>
        </xdr:cNvPr>
        <xdr:cNvPicPr>
          <a:picLocks noChangeAspect="1"/>
        </xdr:cNvPicPr>
      </xdr:nvPicPr>
      <xdr:blipFill rotWithShape="1">
        <a:blip xmlns:r="http://schemas.openxmlformats.org/officeDocument/2006/relationships" r:embed="rId10">
          <a:extLst>
            <a:ext uri="{28A0092B-C50C-407E-A947-70E740481C1C}">
              <a14:useLocalDpi xmlns:a14="http://schemas.microsoft.com/office/drawing/2010/main" val="0"/>
            </a:ext>
          </a:extLst>
        </a:blip>
        <a:srcRect l="13559" b="16023"/>
        <a:stretch/>
      </xdr:blipFill>
      <xdr:spPr>
        <a:xfrm>
          <a:off x="4053569" y="30630175"/>
          <a:ext cx="530678" cy="349245"/>
        </a:xfrm>
        <a:prstGeom prst="rect">
          <a:avLst/>
        </a:prstGeom>
      </xdr:spPr>
    </xdr:pic>
    <xdr:clientData/>
  </xdr:twoCellAnchor>
  <xdr:twoCellAnchor editAs="oneCell">
    <xdr:from>
      <xdr:col>4</xdr:col>
      <xdr:colOff>707574</xdr:colOff>
      <xdr:row>35</xdr:row>
      <xdr:rowOff>136074</xdr:rowOff>
    </xdr:from>
    <xdr:to>
      <xdr:col>4</xdr:col>
      <xdr:colOff>1279071</xdr:colOff>
      <xdr:row>35</xdr:row>
      <xdr:rowOff>517072</xdr:rowOff>
    </xdr:to>
    <xdr:pic>
      <xdr:nvPicPr>
        <xdr:cNvPr id="44" name="Picture 43">
          <a:extLst>
            <a:ext uri="{FF2B5EF4-FFF2-40B4-BE49-F238E27FC236}">
              <a16:creationId xmlns:a16="http://schemas.microsoft.com/office/drawing/2014/main" id="{8CBB7D6D-FBFF-4BBC-B86F-81C2678D8B40}"/>
            </a:ext>
          </a:extLst>
        </xdr:cNvPr>
        <xdr:cNvPicPr>
          <a:picLocks noChangeAspect="1"/>
        </xdr:cNvPicPr>
      </xdr:nvPicPr>
      <xdr:blipFill rotWithShape="1">
        <a:blip xmlns:r="http://schemas.openxmlformats.org/officeDocument/2006/relationships" r:embed="rId11">
          <a:extLst>
            <a:ext uri="{28A0092B-C50C-407E-A947-70E740481C1C}">
              <a14:useLocalDpi xmlns:a14="http://schemas.microsoft.com/office/drawing/2010/main" val="0"/>
            </a:ext>
          </a:extLst>
        </a:blip>
        <a:srcRect l="16818" t="-1" r="15908" b="8755"/>
        <a:stretch/>
      </xdr:blipFill>
      <xdr:spPr>
        <a:xfrm>
          <a:off x="4012749" y="29968374"/>
          <a:ext cx="571497" cy="380998"/>
        </a:xfrm>
        <a:prstGeom prst="rect">
          <a:avLst/>
        </a:prstGeom>
      </xdr:spPr>
    </xdr:pic>
    <xdr:clientData/>
  </xdr:twoCellAnchor>
  <xdr:twoCellAnchor editAs="oneCell">
    <xdr:from>
      <xdr:col>4</xdr:col>
      <xdr:colOff>462645</xdr:colOff>
      <xdr:row>17</xdr:row>
      <xdr:rowOff>136071</xdr:rowOff>
    </xdr:from>
    <xdr:to>
      <xdr:col>4</xdr:col>
      <xdr:colOff>1605645</xdr:colOff>
      <xdr:row>17</xdr:row>
      <xdr:rowOff>1356163</xdr:rowOff>
    </xdr:to>
    <xdr:pic>
      <xdr:nvPicPr>
        <xdr:cNvPr id="45" name="Picture 44">
          <a:extLst>
            <a:ext uri="{FF2B5EF4-FFF2-40B4-BE49-F238E27FC236}">
              <a16:creationId xmlns:a16="http://schemas.microsoft.com/office/drawing/2014/main" id="{8DF507AB-E8BF-412A-87E1-F611B3431C4B}"/>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3767820" y="16233321"/>
          <a:ext cx="1143000" cy="1220092"/>
        </a:xfrm>
        <a:prstGeom prst="rect">
          <a:avLst/>
        </a:prstGeom>
      </xdr:spPr>
    </xdr:pic>
    <xdr:clientData/>
  </xdr:twoCellAnchor>
  <xdr:twoCellAnchor editAs="oneCell">
    <xdr:from>
      <xdr:col>4</xdr:col>
      <xdr:colOff>394606</xdr:colOff>
      <xdr:row>18</xdr:row>
      <xdr:rowOff>190501</xdr:rowOff>
    </xdr:from>
    <xdr:to>
      <xdr:col>4</xdr:col>
      <xdr:colOff>1496785</xdr:colOff>
      <xdr:row>18</xdr:row>
      <xdr:rowOff>752188</xdr:rowOff>
    </xdr:to>
    <xdr:pic>
      <xdr:nvPicPr>
        <xdr:cNvPr id="46" name="Picture 45">
          <a:extLst>
            <a:ext uri="{FF2B5EF4-FFF2-40B4-BE49-F238E27FC236}">
              <a16:creationId xmlns:a16="http://schemas.microsoft.com/office/drawing/2014/main" id="{FB7AFF0D-53E9-4FF7-8551-E80BC7E24609}"/>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3699781" y="17678401"/>
          <a:ext cx="1102179" cy="561687"/>
        </a:xfrm>
        <a:prstGeom prst="rect">
          <a:avLst/>
        </a:prstGeom>
      </xdr:spPr>
    </xdr:pic>
    <xdr:clientData/>
  </xdr:twoCellAnchor>
  <xdr:twoCellAnchor editAs="oneCell">
    <xdr:from>
      <xdr:col>0</xdr:col>
      <xdr:colOff>59871</xdr:colOff>
      <xdr:row>0</xdr:row>
      <xdr:rowOff>111579</xdr:rowOff>
    </xdr:from>
    <xdr:to>
      <xdr:col>2</xdr:col>
      <xdr:colOff>579906</xdr:colOff>
      <xdr:row>5</xdr:row>
      <xdr:rowOff>78107</xdr:rowOff>
    </xdr:to>
    <xdr:pic>
      <xdr:nvPicPr>
        <xdr:cNvPr id="51" name="Picture 50">
          <a:extLst>
            <a:ext uri="{FF2B5EF4-FFF2-40B4-BE49-F238E27FC236}">
              <a16:creationId xmlns:a16="http://schemas.microsoft.com/office/drawing/2014/main" id="{54EF3057-DEAF-4CD6-B8F3-187492B43871}"/>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59871" y="111579"/>
          <a:ext cx="1482060" cy="7761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449035</xdr:colOff>
      <xdr:row>26</xdr:row>
      <xdr:rowOff>13608</xdr:rowOff>
    </xdr:from>
    <xdr:to>
      <xdr:col>4</xdr:col>
      <xdr:colOff>1374320</xdr:colOff>
      <xdr:row>26</xdr:row>
      <xdr:rowOff>802822</xdr:rowOff>
    </xdr:to>
    <xdr:pic>
      <xdr:nvPicPr>
        <xdr:cNvPr id="54" name="Picture 53">
          <a:extLst>
            <a:ext uri="{FF2B5EF4-FFF2-40B4-BE49-F238E27FC236}">
              <a16:creationId xmlns:a16="http://schemas.microsoft.com/office/drawing/2014/main" id="{47074F5D-B6F3-4863-928F-42FDA6EFA91A}"/>
            </a:ext>
          </a:extLst>
        </xdr:cNvPr>
        <xdr:cNvPicPr>
          <a:picLocks noChangeAspect="1"/>
        </xdr:cNvPicPr>
      </xdr:nvPicPr>
      <xdr:blipFill rotWithShape="1">
        <a:blip xmlns:r="http://schemas.openxmlformats.org/officeDocument/2006/relationships" r:embed="rId15"/>
        <a:srcRect b="9804"/>
        <a:stretch/>
      </xdr:blipFill>
      <xdr:spPr>
        <a:xfrm>
          <a:off x="3754210" y="21368658"/>
          <a:ext cx="925285" cy="789214"/>
        </a:xfrm>
        <a:prstGeom prst="rect">
          <a:avLst/>
        </a:prstGeom>
      </xdr:spPr>
    </xdr:pic>
    <xdr:clientData/>
  </xdr:twoCellAnchor>
  <xdr:twoCellAnchor editAs="oneCell">
    <xdr:from>
      <xdr:col>4</xdr:col>
      <xdr:colOff>517074</xdr:colOff>
      <xdr:row>20</xdr:row>
      <xdr:rowOff>108857</xdr:rowOff>
    </xdr:from>
    <xdr:to>
      <xdr:col>4</xdr:col>
      <xdr:colOff>1483180</xdr:colOff>
      <xdr:row>20</xdr:row>
      <xdr:rowOff>1090138</xdr:rowOff>
    </xdr:to>
    <xdr:pic>
      <xdr:nvPicPr>
        <xdr:cNvPr id="55" name="Picture 54">
          <a:extLst>
            <a:ext uri="{FF2B5EF4-FFF2-40B4-BE49-F238E27FC236}">
              <a16:creationId xmlns:a16="http://schemas.microsoft.com/office/drawing/2014/main" id="{BCAA20DE-A73F-4CF6-909F-BB4A1AB9CD82}"/>
            </a:ext>
          </a:extLst>
        </xdr:cNvPr>
        <xdr:cNvPicPr>
          <a:picLocks noChangeAspect="1"/>
        </xdr:cNvPicPr>
      </xdr:nvPicPr>
      <xdr:blipFill>
        <a:blip xmlns:r="http://schemas.openxmlformats.org/officeDocument/2006/relationships" r:embed="rId16"/>
        <a:stretch>
          <a:fillRect/>
        </a:stretch>
      </xdr:blipFill>
      <xdr:spPr>
        <a:xfrm>
          <a:off x="3822249" y="19368407"/>
          <a:ext cx="966106" cy="981281"/>
        </a:xfrm>
        <a:prstGeom prst="rect">
          <a:avLst/>
        </a:prstGeom>
      </xdr:spPr>
    </xdr:pic>
    <xdr:clientData/>
  </xdr:twoCellAnchor>
  <xdr:twoCellAnchor editAs="oneCell">
    <xdr:from>
      <xdr:col>4</xdr:col>
      <xdr:colOff>381000</xdr:colOff>
      <xdr:row>19</xdr:row>
      <xdr:rowOff>54428</xdr:rowOff>
    </xdr:from>
    <xdr:to>
      <xdr:col>4</xdr:col>
      <xdr:colOff>1471044</xdr:colOff>
      <xdr:row>19</xdr:row>
      <xdr:rowOff>830036</xdr:rowOff>
    </xdr:to>
    <xdr:pic>
      <xdr:nvPicPr>
        <xdr:cNvPr id="56" name="Picture 55">
          <a:extLst>
            <a:ext uri="{FF2B5EF4-FFF2-40B4-BE49-F238E27FC236}">
              <a16:creationId xmlns:a16="http://schemas.microsoft.com/office/drawing/2014/main" id="{D0A8807C-467C-4549-AD06-CC5EBA8AB5C2}"/>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3686175" y="18428153"/>
          <a:ext cx="1090044" cy="775608"/>
        </a:xfrm>
        <a:prstGeom prst="rect">
          <a:avLst/>
        </a:prstGeom>
      </xdr:spPr>
    </xdr:pic>
    <xdr:clientData/>
  </xdr:twoCellAnchor>
  <xdr:twoCellAnchor editAs="oneCell">
    <xdr:from>
      <xdr:col>4</xdr:col>
      <xdr:colOff>585107</xdr:colOff>
      <xdr:row>27</xdr:row>
      <xdr:rowOff>95250</xdr:rowOff>
    </xdr:from>
    <xdr:to>
      <xdr:col>4</xdr:col>
      <xdr:colOff>1279072</xdr:colOff>
      <xdr:row>27</xdr:row>
      <xdr:rowOff>816429</xdr:rowOff>
    </xdr:to>
    <xdr:pic>
      <xdr:nvPicPr>
        <xdr:cNvPr id="57" name="Picture 56">
          <a:extLst>
            <a:ext uri="{FF2B5EF4-FFF2-40B4-BE49-F238E27FC236}">
              <a16:creationId xmlns:a16="http://schemas.microsoft.com/office/drawing/2014/main" id="{F1FCDFCA-3A64-4784-9A7E-8BDE7E505EA1}"/>
            </a:ext>
          </a:extLst>
        </xdr:cNvPr>
        <xdr:cNvPicPr>
          <a:picLocks noChangeAspect="1"/>
        </xdr:cNvPicPr>
      </xdr:nvPicPr>
      <xdr:blipFill rotWithShape="1">
        <a:blip xmlns:r="http://schemas.openxmlformats.org/officeDocument/2006/relationships" r:embed="rId18">
          <a:extLst>
            <a:ext uri="{28A0092B-C50C-407E-A947-70E740481C1C}">
              <a14:useLocalDpi xmlns:a14="http://schemas.microsoft.com/office/drawing/2010/main" val="0"/>
            </a:ext>
          </a:extLst>
        </a:blip>
        <a:srcRect l="11291" t="8016" r="6451" b="8193"/>
        <a:stretch/>
      </xdr:blipFill>
      <xdr:spPr>
        <a:xfrm>
          <a:off x="3890282" y="22336125"/>
          <a:ext cx="693965" cy="721179"/>
        </a:xfrm>
        <a:prstGeom prst="rect">
          <a:avLst/>
        </a:prstGeom>
      </xdr:spPr>
    </xdr:pic>
    <xdr:clientData/>
  </xdr:twoCellAnchor>
  <xdr:twoCellAnchor editAs="oneCell">
    <xdr:from>
      <xdr:col>4</xdr:col>
      <xdr:colOff>557893</xdr:colOff>
      <xdr:row>28</xdr:row>
      <xdr:rowOff>54427</xdr:rowOff>
    </xdr:from>
    <xdr:to>
      <xdr:col>4</xdr:col>
      <xdr:colOff>1321987</xdr:colOff>
      <xdr:row>28</xdr:row>
      <xdr:rowOff>870856</xdr:rowOff>
    </xdr:to>
    <xdr:pic>
      <xdr:nvPicPr>
        <xdr:cNvPr id="58" name="Picture 57">
          <a:extLst>
            <a:ext uri="{FF2B5EF4-FFF2-40B4-BE49-F238E27FC236}">
              <a16:creationId xmlns:a16="http://schemas.microsoft.com/office/drawing/2014/main" id="{3B0463F4-905A-418B-940E-35D8A42C16D3}"/>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3863068" y="23181127"/>
          <a:ext cx="764094" cy="816429"/>
        </a:xfrm>
        <a:prstGeom prst="rect">
          <a:avLst/>
        </a:prstGeom>
      </xdr:spPr>
    </xdr:pic>
    <xdr:clientData/>
  </xdr:twoCellAnchor>
  <xdr:oneCellAnchor>
    <xdr:from>
      <xdr:col>4</xdr:col>
      <xdr:colOff>489856</xdr:colOff>
      <xdr:row>31</xdr:row>
      <xdr:rowOff>204107</xdr:rowOff>
    </xdr:from>
    <xdr:ext cx="1102179" cy="1131058"/>
    <xdr:pic>
      <xdr:nvPicPr>
        <xdr:cNvPr id="59" name="Picture 58">
          <a:extLst>
            <a:ext uri="{FF2B5EF4-FFF2-40B4-BE49-F238E27FC236}">
              <a16:creationId xmlns:a16="http://schemas.microsoft.com/office/drawing/2014/main" id="{791406C6-8DC7-47F2-9164-FE5254FF21EA}"/>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3795031" y="25988282"/>
          <a:ext cx="1102179" cy="1131058"/>
        </a:xfrm>
        <a:prstGeom prst="rect">
          <a:avLst/>
        </a:prstGeom>
      </xdr:spPr>
    </xdr:pic>
    <xdr:clientData/>
  </xdr:oneCellAnchor>
  <xdr:oneCellAnchor>
    <xdr:from>
      <xdr:col>4</xdr:col>
      <xdr:colOff>625930</xdr:colOff>
      <xdr:row>32</xdr:row>
      <xdr:rowOff>272144</xdr:rowOff>
    </xdr:from>
    <xdr:ext cx="583406" cy="380999"/>
    <xdr:pic>
      <xdr:nvPicPr>
        <xdr:cNvPr id="60" name="Picture 59">
          <a:extLst>
            <a:ext uri="{FF2B5EF4-FFF2-40B4-BE49-F238E27FC236}">
              <a16:creationId xmlns:a16="http://schemas.microsoft.com/office/drawing/2014/main" id="{9D75D1CB-347D-456D-A53E-EA9F50331DBD}"/>
            </a:ext>
          </a:extLst>
        </xdr:cNvPr>
        <xdr:cNvPicPr>
          <a:picLocks noChangeAspect="1"/>
        </xdr:cNvPicPr>
      </xdr:nvPicPr>
      <xdr:blipFill rotWithShape="1">
        <a:blip xmlns:r="http://schemas.openxmlformats.org/officeDocument/2006/relationships" r:embed="rId21">
          <a:extLst>
            <a:ext uri="{28A0092B-C50C-407E-A947-70E740481C1C}">
              <a14:useLocalDpi xmlns:a14="http://schemas.microsoft.com/office/drawing/2010/main" val="0"/>
            </a:ext>
          </a:extLst>
        </a:blip>
        <a:srcRect t="1" r="10909" b="10573"/>
        <a:stretch/>
      </xdr:blipFill>
      <xdr:spPr>
        <a:xfrm>
          <a:off x="3931105" y="27446969"/>
          <a:ext cx="583406" cy="380999"/>
        </a:xfrm>
        <a:prstGeom prst="rect">
          <a:avLst/>
        </a:prstGeom>
      </xdr:spPr>
    </xdr:pic>
    <xdr:clientData/>
  </xdr:oneCellAnchor>
  <xdr:oneCellAnchor>
    <xdr:from>
      <xdr:col>4</xdr:col>
      <xdr:colOff>639536</xdr:colOff>
      <xdr:row>33</xdr:row>
      <xdr:rowOff>204106</xdr:rowOff>
    </xdr:from>
    <xdr:ext cx="639535" cy="381478"/>
    <xdr:pic>
      <xdr:nvPicPr>
        <xdr:cNvPr id="61" name="Picture 60">
          <a:extLst>
            <a:ext uri="{FF2B5EF4-FFF2-40B4-BE49-F238E27FC236}">
              <a16:creationId xmlns:a16="http://schemas.microsoft.com/office/drawing/2014/main" id="{C9B97239-4B05-48F8-955C-CF9FDB8945C2}"/>
            </a:ext>
          </a:extLst>
        </xdr:cNvPr>
        <xdr:cNvPicPr>
          <a:picLocks noChangeAspect="1"/>
        </xdr:cNvPicPr>
      </xdr:nvPicPr>
      <xdr:blipFill rotWithShape="1">
        <a:blip xmlns:r="http://schemas.openxmlformats.org/officeDocument/2006/relationships" r:embed="rId22">
          <a:extLst>
            <a:ext uri="{28A0092B-C50C-407E-A947-70E740481C1C}">
              <a14:useLocalDpi xmlns:a14="http://schemas.microsoft.com/office/drawing/2010/main" val="0"/>
            </a:ext>
          </a:extLst>
        </a:blip>
        <a:srcRect l="23163" t="1984" r="3488" b="30565"/>
        <a:stretch/>
      </xdr:blipFill>
      <xdr:spPr>
        <a:xfrm>
          <a:off x="3944711" y="28264756"/>
          <a:ext cx="639535" cy="381478"/>
        </a:xfrm>
        <a:prstGeom prst="rect">
          <a:avLst/>
        </a:prstGeom>
      </xdr:spPr>
    </xdr:pic>
    <xdr:clientData/>
  </xdr:oneCellAnchor>
  <xdr:twoCellAnchor editAs="oneCell">
    <xdr:from>
      <xdr:col>4</xdr:col>
      <xdr:colOff>762000</xdr:colOff>
      <xdr:row>46</xdr:row>
      <xdr:rowOff>163287</xdr:rowOff>
    </xdr:from>
    <xdr:to>
      <xdr:col>4</xdr:col>
      <xdr:colOff>1292678</xdr:colOff>
      <xdr:row>46</xdr:row>
      <xdr:rowOff>512532</xdr:rowOff>
    </xdr:to>
    <xdr:pic>
      <xdr:nvPicPr>
        <xdr:cNvPr id="62" name="Picture 61">
          <a:extLst>
            <a:ext uri="{FF2B5EF4-FFF2-40B4-BE49-F238E27FC236}">
              <a16:creationId xmlns:a16="http://schemas.microsoft.com/office/drawing/2014/main" id="{38764BC6-2672-4648-8A32-2D7298F5F304}"/>
            </a:ext>
          </a:extLst>
        </xdr:cNvPr>
        <xdr:cNvPicPr>
          <a:picLocks noChangeAspect="1"/>
        </xdr:cNvPicPr>
      </xdr:nvPicPr>
      <xdr:blipFill rotWithShape="1">
        <a:blip xmlns:r="http://schemas.openxmlformats.org/officeDocument/2006/relationships" r:embed="rId10">
          <a:extLst>
            <a:ext uri="{28A0092B-C50C-407E-A947-70E740481C1C}">
              <a14:useLocalDpi xmlns:a14="http://schemas.microsoft.com/office/drawing/2010/main" val="0"/>
            </a:ext>
          </a:extLst>
        </a:blip>
        <a:srcRect l="13559" b="16023"/>
        <a:stretch/>
      </xdr:blipFill>
      <xdr:spPr>
        <a:xfrm>
          <a:off x="4067175" y="34358037"/>
          <a:ext cx="530678" cy="34924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476250</xdr:colOff>
      <xdr:row>10</xdr:row>
      <xdr:rowOff>68036</xdr:rowOff>
    </xdr:from>
    <xdr:to>
      <xdr:col>4</xdr:col>
      <xdr:colOff>1510394</xdr:colOff>
      <xdr:row>10</xdr:row>
      <xdr:rowOff>833571</xdr:rowOff>
    </xdr:to>
    <xdr:pic>
      <xdr:nvPicPr>
        <xdr:cNvPr id="12" name="Picture 11">
          <a:extLst>
            <a:ext uri="{FF2B5EF4-FFF2-40B4-BE49-F238E27FC236}">
              <a16:creationId xmlns:a16="http://schemas.microsoft.com/office/drawing/2014/main" id="{EB7974B1-31E8-4839-9C4B-8F4536CE303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692" t="4687" r="4986" b="9430"/>
        <a:stretch/>
      </xdr:blipFill>
      <xdr:spPr>
        <a:xfrm>
          <a:off x="3781425" y="17317811"/>
          <a:ext cx="1034144" cy="765535"/>
        </a:xfrm>
        <a:prstGeom prst="rect">
          <a:avLst/>
        </a:prstGeom>
      </xdr:spPr>
    </xdr:pic>
    <xdr:clientData/>
  </xdr:twoCellAnchor>
  <xdr:twoCellAnchor editAs="oneCell">
    <xdr:from>
      <xdr:col>4</xdr:col>
      <xdr:colOff>272142</xdr:colOff>
      <xdr:row>12</xdr:row>
      <xdr:rowOff>68035</xdr:rowOff>
    </xdr:from>
    <xdr:to>
      <xdr:col>4</xdr:col>
      <xdr:colOff>1619249</xdr:colOff>
      <xdr:row>12</xdr:row>
      <xdr:rowOff>898071</xdr:rowOff>
    </xdr:to>
    <xdr:pic>
      <xdr:nvPicPr>
        <xdr:cNvPr id="13" name="Picture 12">
          <a:extLst>
            <a:ext uri="{FF2B5EF4-FFF2-40B4-BE49-F238E27FC236}">
              <a16:creationId xmlns:a16="http://schemas.microsoft.com/office/drawing/2014/main" id="{40A31742-1A39-445A-820D-4705BBDE228B}"/>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216" b="10057"/>
        <a:stretch/>
      </xdr:blipFill>
      <xdr:spPr>
        <a:xfrm>
          <a:off x="3577317" y="19089460"/>
          <a:ext cx="1347107" cy="830036"/>
        </a:xfrm>
        <a:prstGeom prst="rect">
          <a:avLst/>
        </a:prstGeom>
      </xdr:spPr>
    </xdr:pic>
    <xdr:clientData/>
  </xdr:twoCellAnchor>
  <xdr:twoCellAnchor editAs="oneCell">
    <xdr:from>
      <xdr:col>4</xdr:col>
      <xdr:colOff>598714</xdr:colOff>
      <xdr:row>14</xdr:row>
      <xdr:rowOff>149676</xdr:rowOff>
    </xdr:from>
    <xdr:to>
      <xdr:col>4</xdr:col>
      <xdr:colOff>1292679</xdr:colOff>
      <xdr:row>14</xdr:row>
      <xdr:rowOff>792614</xdr:rowOff>
    </xdr:to>
    <xdr:pic>
      <xdr:nvPicPr>
        <xdr:cNvPr id="14" name="Picture 13">
          <a:extLst>
            <a:ext uri="{FF2B5EF4-FFF2-40B4-BE49-F238E27FC236}">
              <a16:creationId xmlns:a16="http://schemas.microsoft.com/office/drawing/2014/main" id="{94C95808-1834-4894-9FB6-2A92D06A177B}"/>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29812" t="11393" r="12268" b="8861"/>
        <a:stretch/>
      </xdr:blipFill>
      <xdr:spPr>
        <a:xfrm>
          <a:off x="3903889" y="21076101"/>
          <a:ext cx="693965" cy="642938"/>
        </a:xfrm>
        <a:prstGeom prst="rect">
          <a:avLst/>
        </a:prstGeom>
      </xdr:spPr>
    </xdr:pic>
    <xdr:clientData/>
  </xdr:twoCellAnchor>
  <xdr:twoCellAnchor editAs="oneCell">
    <xdr:from>
      <xdr:col>4</xdr:col>
      <xdr:colOff>639533</xdr:colOff>
      <xdr:row>15</xdr:row>
      <xdr:rowOff>273505</xdr:rowOff>
    </xdr:from>
    <xdr:to>
      <xdr:col>4</xdr:col>
      <xdr:colOff>1387928</xdr:colOff>
      <xdr:row>15</xdr:row>
      <xdr:rowOff>763833</xdr:rowOff>
    </xdr:to>
    <xdr:pic>
      <xdr:nvPicPr>
        <xdr:cNvPr id="15" name="Picture 14">
          <a:extLst>
            <a:ext uri="{FF2B5EF4-FFF2-40B4-BE49-F238E27FC236}">
              <a16:creationId xmlns:a16="http://schemas.microsoft.com/office/drawing/2014/main" id="{A5551F4C-6814-4C2C-AA17-6B8A5BD7B957}"/>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3944708" y="22085755"/>
          <a:ext cx="748395" cy="490328"/>
        </a:xfrm>
        <a:prstGeom prst="rect">
          <a:avLst/>
        </a:prstGeom>
      </xdr:spPr>
    </xdr:pic>
    <xdr:clientData/>
  </xdr:twoCellAnchor>
  <xdr:twoCellAnchor editAs="oneCell">
    <xdr:from>
      <xdr:col>4</xdr:col>
      <xdr:colOff>353786</xdr:colOff>
      <xdr:row>13</xdr:row>
      <xdr:rowOff>27213</xdr:rowOff>
    </xdr:from>
    <xdr:to>
      <xdr:col>4</xdr:col>
      <xdr:colOff>1496786</xdr:colOff>
      <xdr:row>13</xdr:row>
      <xdr:rowOff>870857</xdr:rowOff>
    </xdr:to>
    <xdr:pic>
      <xdr:nvPicPr>
        <xdr:cNvPr id="55" name="Picture 54">
          <a:extLst>
            <a:ext uri="{FF2B5EF4-FFF2-40B4-BE49-F238E27FC236}">
              <a16:creationId xmlns:a16="http://schemas.microsoft.com/office/drawing/2014/main" id="{A08DC70E-2853-45F9-B07D-E56AD69B3497}"/>
            </a:ext>
          </a:extLst>
        </xdr:cNvPr>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5538" r="3257" b="6743"/>
        <a:stretch/>
      </xdr:blipFill>
      <xdr:spPr>
        <a:xfrm>
          <a:off x="3658961" y="20001138"/>
          <a:ext cx="1143000" cy="843644"/>
        </a:xfrm>
        <a:prstGeom prst="rect">
          <a:avLst/>
        </a:prstGeom>
      </xdr:spPr>
    </xdr:pic>
    <xdr:clientData/>
  </xdr:twoCellAnchor>
  <xdr:twoCellAnchor editAs="oneCell">
    <xdr:from>
      <xdr:col>0</xdr:col>
      <xdr:colOff>59871</xdr:colOff>
      <xdr:row>0</xdr:row>
      <xdr:rowOff>111579</xdr:rowOff>
    </xdr:from>
    <xdr:to>
      <xdr:col>2</xdr:col>
      <xdr:colOff>579906</xdr:colOff>
      <xdr:row>5</xdr:row>
      <xdr:rowOff>78107</xdr:rowOff>
    </xdr:to>
    <xdr:pic>
      <xdr:nvPicPr>
        <xdr:cNvPr id="56" name="Picture 55">
          <a:extLst>
            <a:ext uri="{FF2B5EF4-FFF2-40B4-BE49-F238E27FC236}">
              <a16:creationId xmlns:a16="http://schemas.microsoft.com/office/drawing/2014/main" id="{A19EC23D-FC24-471E-92AD-C37002C55085}"/>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9871" y="111579"/>
          <a:ext cx="1482060" cy="7761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476251</xdr:colOff>
      <xdr:row>11</xdr:row>
      <xdr:rowOff>40823</xdr:rowOff>
    </xdr:from>
    <xdr:to>
      <xdr:col>4</xdr:col>
      <xdr:colOff>1524000</xdr:colOff>
      <xdr:row>11</xdr:row>
      <xdr:rowOff>830037</xdr:rowOff>
    </xdr:to>
    <xdr:pic>
      <xdr:nvPicPr>
        <xdr:cNvPr id="57" name="Picture 56">
          <a:extLst>
            <a:ext uri="{FF2B5EF4-FFF2-40B4-BE49-F238E27FC236}">
              <a16:creationId xmlns:a16="http://schemas.microsoft.com/office/drawing/2014/main" id="{E1C03575-2E1C-427A-93F5-0F650D657980}"/>
            </a:ext>
          </a:extLst>
        </xdr:cNvPr>
        <xdr:cNvPicPr>
          <a:picLocks noChangeAspect="1"/>
        </xdr:cNvPicPr>
      </xdr:nvPicPr>
      <xdr:blipFill rotWithShape="1">
        <a:blip xmlns:r="http://schemas.openxmlformats.org/officeDocument/2006/relationships" r:embed="rId7"/>
        <a:srcRect l="7865" t="1507" r="2247" b="11090"/>
        <a:stretch/>
      </xdr:blipFill>
      <xdr:spPr>
        <a:xfrm>
          <a:off x="3781426" y="18176423"/>
          <a:ext cx="1047749" cy="789214"/>
        </a:xfrm>
        <a:prstGeom prst="rect">
          <a:avLst/>
        </a:prstGeom>
      </xdr:spPr>
    </xdr:pic>
    <xdr:clientData/>
  </xdr:twoCellAnchor>
  <xdr:twoCellAnchor editAs="oneCell">
    <xdr:from>
      <xdr:col>4</xdr:col>
      <xdr:colOff>598714</xdr:colOff>
      <xdr:row>16</xdr:row>
      <xdr:rowOff>204107</xdr:rowOff>
    </xdr:from>
    <xdr:to>
      <xdr:col>4</xdr:col>
      <xdr:colOff>1374323</xdr:colOff>
      <xdr:row>16</xdr:row>
      <xdr:rowOff>686707</xdr:rowOff>
    </xdr:to>
    <xdr:pic>
      <xdr:nvPicPr>
        <xdr:cNvPr id="58" name="Picture 57">
          <a:extLst>
            <a:ext uri="{FF2B5EF4-FFF2-40B4-BE49-F238E27FC236}">
              <a16:creationId xmlns:a16="http://schemas.microsoft.com/office/drawing/2014/main" id="{8E59EBD6-FC70-4A83-BBCC-5EA3272A150D}"/>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3903889" y="22902182"/>
          <a:ext cx="775609" cy="4826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435430</xdr:colOff>
      <xdr:row>14</xdr:row>
      <xdr:rowOff>68037</xdr:rowOff>
    </xdr:from>
    <xdr:to>
      <xdr:col>4</xdr:col>
      <xdr:colOff>1483178</xdr:colOff>
      <xdr:row>14</xdr:row>
      <xdr:rowOff>846069</xdr:rowOff>
    </xdr:to>
    <xdr:pic>
      <xdr:nvPicPr>
        <xdr:cNvPr id="23" name="Picture 22">
          <a:extLst>
            <a:ext uri="{FF2B5EF4-FFF2-40B4-BE49-F238E27FC236}">
              <a16:creationId xmlns:a16="http://schemas.microsoft.com/office/drawing/2014/main" id="{A52B8E43-4B90-4CCD-A5EF-06662E9CBF0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40605" y="76620462"/>
          <a:ext cx="1047748" cy="778032"/>
        </a:xfrm>
        <a:prstGeom prst="rect">
          <a:avLst/>
        </a:prstGeom>
      </xdr:spPr>
    </xdr:pic>
    <xdr:clientData/>
  </xdr:twoCellAnchor>
  <xdr:twoCellAnchor editAs="oneCell">
    <xdr:from>
      <xdr:col>4</xdr:col>
      <xdr:colOff>394608</xdr:colOff>
      <xdr:row>15</xdr:row>
      <xdr:rowOff>217714</xdr:rowOff>
    </xdr:from>
    <xdr:to>
      <xdr:col>4</xdr:col>
      <xdr:colOff>1524000</xdr:colOff>
      <xdr:row>15</xdr:row>
      <xdr:rowOff>818021</xdr:rowOff>
    </xdr:to>
    <xdr:pic>
      <xdr:nvPicPr>
        <xdr:cNvPr id="24" name="Picture 23">
          <a:extLst>
            <a:ext uri="{FF2B5EF4-FFF2-40B4-BE49-F238E27FC236}">
              <a16:creationId xmlns:a16="http://schemas.microsoft.com/office/drawing/2014/main" id="{F39D28D0-4732-4064-A5FD-8ADF40ABE80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699783" y="77655964"/>
          <a:ext cx="1129392" cy="600307"/>
        </a:xfrm>
        <a:prstGeom prst="rect">
          <a:avLst/>
        </a:prstGeom>
      </xdr:spPr>
    </xdr:pic>
    <xdr:clientData/>
  </xdr:twoCellAnchor>
  <xdr:twoCellAnchor editAs="oneCell">
    <xdr:from>
      <xdr:col>4</xdr:col>
      <xdr:colOff>476250</xdr:colOff>
      <xdr:row>16</xdr:row>
      <xdr:rowOff>108858</xdr:rowOff>
    </xdr:from>
    <xdr:to>
      <xdr:col>4</xdr:col>
      <xdr:colOff>1468307</xdr:colOff>
      <xdr:row>16</xdr:row>
      <xdr:rowOff>770229</xdr:rowOff>
    </xdr:to>
    <xdr:pic>
      <xdr:nvPicPr>
        <xdr:cNvPr id="25" name="Picture 24">
          <a:extLst>
            <a:ext uri="{FF2B5EF4-FFF2-40B4-BE49-F238E27FC236}">
              <a16:creationId xmlns:a16="http://schemas.microsoft.com/office/drawing/2014/main" id="{22022970-989E-48C9-836A-2411D7E61CD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781425" y="78432933"/>
          <a:ext cx="992057" cy="661371"/>
        </a:xfrm>
        <a:prstGeom prst="rect">
          <a:avLst/>
        </a:prstGeom>
      </xdr:spPr>
    </xdr:pic>
    <xdr:clientData/>
  </xdr:twoCellAnchor>
  <xdr:twoCellAnchor editAs="oneCell">
    <xdr:from>
      <xdr:col>4</xdr:col>
      <xdr:colOff>421820</xdr:colOff>
      <xdr:row>11</xdr:row>
      <xdr:rowOff>217714</xdr:rowOff>
    </xdr:from>
    <xdr:to>
      <xdr:col>4</xdr:col>
      <xdr:colOff>1578428</xdr:colOff>
      <xdr:row>11</xdr:row>
      <xdr:rowOff>726223</xdr:rowOff>
    </xdr:to>
    <xdr:pic>
      <xdr:nvPicPr>
        <xdr:cNvPr id="27" name="Picture 26">
          <a:extLst>
            <a:ext uri="{FF2B5EF4-FFF2-40B4-BE49-F238E27FC236}">
              <a16:creationId xmlns:a16="http://schemas.microsoft.com/office/drawing/2014/main" id="{0F629C81-00FC-4E8B-850E-62745691B7A6}"/>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3726995" y="73541164"/>
          <a:ext cx="1156608" cy="508509"/>
        </a:xfrm>
        <a:prstGeom prst="rect">
          <a:avLst/>
        </a:prstGeom>
      </xdr:spPr>
    </xdr:pic>
    <xdr:clientData/>
  </xdr:twoCellAnchor>
  <xdr:twoCellAnchor editAs="oneCell">
    <xdr:from>
      <xdr:col>4</xdr:col>
      <xdr:colOff>625928</xdr:colOff>
      <xdr:row>12</xdr:row>
      <xdr:rowOff>176894</xdr:rowOff>
    </xdr:from>
    <xdr:to>
      <xdr:col>4</xdr:col>
      <xdr:colOff>1455963</xdr:colOff>
      <xdr:row>12</xdr:row>
      <xdr:rowOff>715296</xdr:rowOff>
    </xdr:to>
    <xdr:pic>
      <xdr:nvPicPr>
        <xdr:cNvPr id="28" name="Picture 27">
          <a:extLst>
            <a:ext uri="{FF2B5EF4-FFF2-40B4-BE49-F238E27FC236}">
              <a16:creationId xmlns:a16="http://schemas.microsoft.com/office/drawing/2014/main" id="{2F3DCC79-ECF7-4AD2-BE43-6D9FF1D4C3EE}"/>
            </a:ext>
          </a:extLst>
        </xdr:cNvPr>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r="-2415" b="12727"/>
        <a:stretch/>
      </xdr:blipFill>
      <xdr:spPr>
        <a:xfrm>
          <a:off x="3931103" y="74386169"/>
          <a:ext cx="830035" cy="538402"/>
        </a:xfrm>
        <a:prstGeom prst="rect">
          <a:avLst/>
        </a:prstGeom>
      </xdr:spPr>
    </xdr:pic>
    <xdr:clientData/>
  </xdr:twoCellAnchor>
  <xdr:twoCellAnchor editAs="oneCell">
    <xdr:from>
      <xdr:col>4</xdr:col>
      <xdr:colOff>421822</xdr:colOff>
      <xdr:row>19</xdr:row>
      <xdr:rowOff>149678</xdr:rowOff>
    </xdr:from>
    <xdr:to>
      <xdr:col>4</xdr:col>
      <xdr:colOff>1496785</xdr:colOff>
      <xdr:row>19</xdr:row>
      <xdr:rowOff>749317</xdr:rowOff>
    </xdr:to>
    <xdr:pic>
      <xdr:nvPicPr>
        <xdr:cNvPr id="31" name="Picture 30">
          <a:extLst>
            <a:ext uri="{FF2B5EF4-FFF2-40B4-BE49-F238E27FC236}">
              <a16:creationId xmlns:a16="http://schemas.microsoft.com/office/drawing/2014/main" id="{54C8FC4C-5819-4AC1-8278-A7AB75D8595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3726997" y="81702728"/>
          <a:ext cx="1074963" cy="599639"/>
        </a:xfrm>
        <a:prstGeom prst="rect">
          <a:avLst/>
        </a:prstGeom>
      </xdr:spPr>
    </xdr:pic>
    <xdr:clientData/>
  </xdr:twoCellAnchor>
  <xdr:twoCellAnchor editAs="oneCell">
    <xdr:from>
      <xdr:col>4</xdr:col>
      <xdr:colOff>394609</xdr:colOff>
      <xdr:row>26</xdr:row>
      <xdr:rowOff>216576</xdr:rowOff>
    </xdr:from>
    <xdr:to>
      <xdr:col>4</xdr:col>
      <xdr:colOff>1483179</xdr:colOff>
      <xdr:row>26</xdr:row>
      <xdr:rowOff>783637</xdr:rowOff>
    </xdr:to>
    <xdr:pic>
      <xdr:nvPicPr>
        <xdr:cNvPr id="32" name="Picture 31">
          <a:extLst>
            <a:ext uri="{FF2B5EF4-FFF2-40B4-BE49-F238E27FC236}">
              <a16:creationId xmlns:a16="http://schemas.microsoft.com/office/drawing/2014/main" id="{F7224437-F052-4336-B2AB-7B751F2C8952}"/>
            </a:ext>
          </a:extLst>
        </xdr:cNvPr>
        <xdr:cNvPicPr>
          <a:picLocks noChangeAspect="1"/>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l="7553" t="1923"/>
        <a:stretch/>
      </xdr:blipFill>
      <xdr:spPr>
        <a:xfrm>
          <a:off x="3699784" y="86198751"/>
          <a:ext cx="1088570" cy="567061"/>
        </a:xfrm>
        <a:prstGeom prst="rect">
          <a:avLst/>
        </a:prstGeom>
      </xdr:spPr>
    </xdr:pic>
    <xdr:clientData/>
  </xdr:twoCellAnchor>
  <xdr:twoCellAnchor editAs="oneCell">
    <xdr:from>
      <xdr:col>4</xdr:col>
      <xdr:colOff>381001</xdr:colOff>
      <xdr:row>27</xdr:row>
      <xdr:rowOff>163287</xdr:rowOff>
    </xdr:from>
    <xdr:to>
      <xdr:col>4</xdr:col>
      <xdr:colOff>1483179</xdr:colOff>
      <xdr:row>27</xdr:row>
      <xdr:rowOff>732386</xdr:rowOff>
    </xdr:to>
    <xdr:pic>
      <xdr:nvPicPr>
        <xdr:cNvPr id="33" name="Picture 32">
          <a:extLst>
            <a:ext uri="{FF2B5EF4-FFF2-40B4-BE49-F238E27FC236}">
              <a16:creationId xmlns:a16="http://schemas.microsoft.com/office/drawing/2014/main" id="{244801DE-9097-4928-8770-118E88E1BB34}"/>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3686176" y="87031287"/>
          <a:ext cx="1102178" cy="569099"/>
        </a:xfrm>
        <a:prstGeom prst="rect">
          <a:avLst/>
        </a:prstGeom>
      </xdr:spPr>
    </xdr:pic>
    <xdr:clientData/>
  </xdr:twoCellAnchor>
  <xdr:twoCellAnchor editAs="oneCell">
    <xdr:from>
      <xdr:col>4</xdr:col>
      <xdr:colOff>394609</xdr:colOff>
      <xdr:row>28</xdr:row>
      <xdr:rowOff>176894</xdr:rowOff>
    </xdr:from>
    <xdr:to>
      <xdr:col>4</xdr:col>
      <xdr:colOff>1415143</xdr:colOff>
      <xdr:row>28</xdr:row>
      <xdr:rowOff>734786</xdr:rowOff>
    </xdr:to>
    <xdr:pic>
      <xdr:nvPicPr>
        <xdr:cNvPr id="34" name="Picture 33">
          <a:extLst>
            <a:ext uri="{FF2B5EF4-FFF2-40B4-BE49-F238E27FC236}">
              <a16:creationId xmlns:a16="http://schemas.microsoft.com/office/drawing/2014/main" id="{86E71E3F-CEDA-457D-B28E-EEE94ABE0802}"/>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3699784" y="87930719"/>
          <a:ext cx="1020534" cy="557892"/>
        </a:xfrm>
        <a:prstGeom prst="rect">
          <a:avLst/>
        </a:prstGeom>
      </xdr:spPr>
    </xdr:pic>
    <xdr:clientData/>
  </xdr:twoCellAnchor>
  <xdr:twoCellAnchor editAs="oneCell">
    <xdr:from>
      <xdr:col>4</xdr:col>
      <xdr:colOff>367393</xdr:colOff>
      <xdr:row>29</xdr:row>
      <xdr:rowOff>20935</xdr:rowOff>
    </xdr:from>
    <xdr:to>
      <xdr:col>4</xdr:col>
      <xdr:colOff>1415143</xdr:colOff>
      <xdr:row>29</xdr:row>
      <xdr:rowOff>1310474</xdr:rowOff>
    </xdr:to>
    <xdr:pic>
      <xdr:nvPicPr>
        <xdr:cNvPr id="35" name="Picture 34">
          <a:extLst>
            <a:ext uri="{FF2B5EF4-FFF2-40B4-BE49-F238E27FC236}">
              <a16:creationId xmlns:a16="http://schemas.microsoft.com/office/drawing/2014/main" id="{0ECB2C60-905B-4D89-9A91-313A3D461021}"/>
            </a:ext>
          </a:extLst>
        </xdr:cNvPr>
        <xdr:cNvPicPr>
          <a:picLocks noChangeAspect="1"/>
        </xdr:cNvPicPr>
      </xdr:nvPicPr>
      <xdr:blipFill rotWithShape="1">
        <a:blip xmlns:r="http://schemas.openxmlformats.org/officeDocument/2006/relationships" r:embed="rId10">
          <a:extLst>
            <a:ext uri="{28A0092B-C50C-407E-A947-70E740481C1C}">
              <a14:useLocalDpi xmlns:a14="http://schemas.microsoft.com/office/drawing/2010/main" val="0"/>
            </a:ext>
          </a:extLst>
        </a:blip>
        <a:srcRect t="2164" r="302" b="5496"/>
        <a:stretch/>
      </xdr:blipFill>
      <xdr:spPr>
        <a:xfrm>
          <a:off x="3672568" y="88660585"/>
          <a:ext cx="1047750" cy="1289539"/>
        </a:xfrm>
        <a:prstGeom prst="rect">
          <a:avLst/>
        </a:prstGeom>
      </xdr:spPr>
    </xdr:pic>
    <xdr:clientData/>
  </xdr:twoCellAnchor>
  <xdr:twoCellAnchor editAs="oneCell">
    <xdr:from>
      <xdr:col>4</xdr:col>
      <xdr:colOff>353786</xdr:colOff>
      <xdr:row>30</xdr:row>
      <xdr:rowOff>27214</xdr:rowOff>
    </xdr:from>
    <xdr:to>
      <xdr:col>4</xdr:col>
      <xdr:colOff>1374322</xdr:colOff>
      <xdr:row>30</xdr:row>
      <xdr:rowOff>1339331</xdr:rowOff>
    </xdr:to>
    <xdr:pic>
      <xdr:nvPicPr>
        <xdr:cNvPr id="36" name="Picture 35">
          <a:extLst>
            <a:ext uri="{FF2B5EF4-FFF2-40B4-BE49-F238E27FC236}">
              <a16:creationId xmlns:a16="http://schemas.microsoft.com/office/drawing/2014/main" id="{AF2FBA66-5210-4E63-89D7-48CCF0299AFB}"/>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3658961" y="90057514"/>
          <a:ext cx="1020536" cy="1312117"/>
        </a:xfrm>
        <a:prstGeom prst="rect">
          <a:avLst/>
        </a:prstGeom>
      </xdr:spPr>
    </xdr:pic>
    <xdr:clientData/>
  </xdr:twoCellAnchor>
  <xdr:twoCellAnchor editAs="oneCell">
    <xdr:from>
      <xdr:col>4</xdr:col>
      <xdr:colOff>435430</xdr:colOff>
      <xdr:row>31</xdr:row>
      <xdr:rowOff>95251</xdr:rowOff>
    </xdr:from>
    <xdr:to>
      <xdr:col>4</xdr:col>
      <xdr:colOff>1304160</xdr:colOff>
      <xdr:row>31</xdr:row>
      <xdr:rowOff>1306287</xdr:rowOff>
    </xdr:to>
    <xdr:pic>
      <xdr:nvPicPr>
        <xdr:cNvPr id="37" name="Picture 36">
          <a:extLst>
            <a:ext uri="{FF2B5EF4-FFF2-40B4-BE49-F238E27FC236}">
              <a16:creationId xmlns:a16="http://schemas.microsoft.com/office/drawing/2014/main" id="{C9778643-8A82-4D1E-88A5-9F2AE76A9188}"/>
            </a:ext>
          </a:extLst>
        </xdr:cNvPr>
        <xdr:cNvPicPr>
          <a:picLocks noChangeAspect="1"/>
        </xdr:cNvPicPr>
      </xdr:nvPicPr>
      <xdr:blipFill rotWithShape="1">
        <a:blip xmlns:r="http://schemas.openxmlformats.org/officeDocument/2006/relationships" r:embed="rId12">
          <a:extLst>
            <a:ext uri="{28A0092B-C50C-407E-A947-70E740481C1C}">
              <a14:useLocalDpi xmlns:a14="http://schemas.microsoft.com/office/drawing/2010/main" val="0"/>
            </a:ext>
          </a:extLst>
        </a:blip>
        <a:srcRect l="9196" t="6355" r="5748"/>
        <a:stretch/>
      </xdr:blipFill>
      <xdr:spPr>
        <a:xfrm>
          <a:off x="3740605" y="91516201"/>
          <a:ext cx="868730" cy="1211036"/>
        </a:xfrm>
        <a:prstGeom prst="rect">
          <a:avLst/>
        </a:prstGeom>
      </xdr:spPr>
    </xdr:pic>
    <xdr:clientData/>
  </xdr:twoCellAnchor>
  <xdr:twoCellAnchor editAs="oneCell">
    <xdr:from>
      <xdr:col>4</xdr:col>
      <xdr:colOff>530678</xdr:colOff>
      <xdr:row>32</xdr:row>
      <xdr:rowOff>44744</xdr:rowOff>
    </xdr:from>
    <xdr:to>
      <xdr:col>4</xdr:col>
      <xdr:colOff>1347107</xdr:colOff>
      <xdr:row>32</xdr:row>
      <xdr:rowOff>880458</xdr:rowOff>
    </xdr:to>
    <xdr:pic>
      <xdr:nvPicPr>
        <xdr:cNvPr id="38" name="Picture 37">
          <a:extLst>
            <a:ext uri="{FF2B5EF4-FFF2-40B4-BE49-F238E27FC236}">
              <a16:creationId xmlns:a16="http://schemas.microsoft.com/office/drawing/2014/main" id="{36E16727-7D9E-4630-809D-96461D4E6C6A}"/>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3835853" y="92856344"/>
          <a:ext cx="816429" cy="835714"/>
        </a:xfrm>
        <a:prstGeom prst="rect">
          <a:avLst/>
        </a:prstGeom>
      </xdr:spPr>
    </xdr:pic>
    <xdr:clientData/>
  </xdr:twoCellAnchor>
  <xdr:twoCellAnchor editAs="oneCell">
    <xdr:from>
      <xdr:col>4</xdr:col>
      <xdr:colOff>340177</xdr:colOff>
      <xdr:row>33</xdr:row>
      <xdr:rowOff>136073</xdr:rowOff>
    </xdr:from>
    <xdr:to>
      <xdr:col>4</xdr:col>
      <xdr:colOff>1331292</xdr:colOff>
      <xdr:row>33</xdr:row>
      <xdr:rowOff>802823</xdr:rowOff>
    </xdr:to>
    <xdr:pic>
      <xdr:nvPicPr>
        <xdr:cNvPr id="39" name="Picture 38">
          <a:extLst>
            <a:ext uri="{FF2B5EF4-FFF2-40B4-BE49-F238E27FC236}">
              <a16:creationId xmlns:a16="http://schemas.microsoft.com/office/drawing/2014/main" id="{13E837FF-1013-4732-9048-9598D2C6CBD6}"/>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3645352" y="93833498"/>
          <a:ext cx="991115" cy="666750"/>
        </a:xfrm>
        <a:prstGeom prst="rect">
          <a:avLst/>
        </a:prstGeom>
      </xdr:spPr>
    </xdr:pic>
    <xdr:clientData/>
  </xdr:twoCellAnchor>
  <xdr:twoCellAnchor editAs="oneCell">
    <xdr:from>
      <xdr:col>4</xdr:col>
      <xdr:colOff>476251</xdr:colOff>
      <xdr:row>34</xdr:row>
      <xdr:rowOff>285749</xdr:rowOff>
    </xdr:from>
    <xdr:to>
      <xdr:col>4</xdr:col>
      <xdr:colOff>1496786</xdr:colOff>
      <xdr:row>34</xdr:row>
      <xdr:rowOff>760265</xdr:rowOff>
    </xdr:to>
    <xdr:pic>
      <xdr:nvPicPr>
        <xdr:cNvPr id="40" name="Picture 39">
          <a:extLst>
            <a:ext uri="{FF2B5EF4-FFF2-40B4-BE49-F238E27FC236}">
              <a16:creationId xmlns:a16="http://schemas.microsoft.com/office/drawing/2014/main" id="{67DE4DE2-6F9C-490F-AD04-8F647A47917E}"/>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3781426" y="95440499"/>
          <a:ext cx="1020535" cy="474516"/>
        </a:xfrm>
        <a:prstGeom prst="rect">
          <a:avLst/>
        </a:prstGeom>
      </xdr:spPr>
    </xdr:pic>
    <xdr:clientData/>
  </xdr:twoCellAnchor>
  <xdr:twoCellAnchor editAs="oneCell">
    <xdr:from>
      <xdr:col>4</xdr:col>
      <xdr:colOff>489858</xdr:colOff>
      <xdr:row>35</xdr:row>
      <xdr:rowOff>190500</xdr:rowOff>
    </xdr:from>
    <xdr:to>
      <xdr:col>4</xdr:col>
      <xdr:colOff>1442358</xdr:colOff>
      <xdr:row>35</xdr:row>
      <xdr:rowOff>721827</xdr:rowOff>
    </xdr:to>
    <xdr:pic>
      <xdr:nvPicPr>
        <xdr:cNvPr id="41" name="Picture 40">
          <a:extLst>
            <a:ext uri="{FF2B5EF4-FFF2-40B4-BE49-F238E27FC236}">
              <a16:creationId xmlns:a16="http://schemas.microsoft.com/office/drawing/2014/main" id="{0273DFD9-0959-43A1-B97E-4BE58299FA71}"/>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3795033" y="96231075"/>
          <a:ext cx="952500" cy="531327"/>
        </a:xfrm>
        <a:prstGeom prst="rect">
          <a:avLst/>
        </a:prstGeom>
      </xdr:spPr>
    </xdr:pic>
    <xdr:clientData/>
  </xdr:twoCellAnchor>
  <xdr:twoCellAnchor editAs="oneCell">
    <xdr:from>
      <xdr:col>4</xdr:col>
      <xdr:colOff>487135</xdr:colOff>
      <xdr:row>41</xdr:row>
      <xdr:rowOff>200025</xdr:rowOff>
    </xdr:from>
    <xdr:to>
      <xdr:col>4</xdr:col>
      <xdr:colOff>1503640</xdr:colOff>
      <xdr:row>41</xdr:row>
      <xdr:rowOff>734681</xdr:rowOff>
    </xdr:to>
    <xdr:pic>
      <xdr:nvPicPr>
        <xdr:cNvPr id="42" name="Picture 41">
          <a:extLst>
            <a:ext uri="{FF2B5EF4-FFF2-40B4-BE49-F238E27FC236}">
              <a16:creationId xmlns:a16="http://schemas.microsoft.com/office/drawing/2014/main" id="{63DE18D8-6F82-440E-9A60-68C7228C7B0E}"/>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3792310" y="24069675"/>
          <a:ext cx="1016505" cy="534656"/>
        </a:xfrm>
        <a:prstGeom prst="rect">
          <a:avLst/>
        </a:prstGeom>
      </xdr:spPr>
    </xdr:pic>
    <xdr:clientData/>
  </xdr:twoCellAnchor>
  <xdr:twoCellAnchor editAs="oneCell">
    <xdr:from>
      <xdr:col>4</xdr:col>
      <xdr:colOff>421820</xdr:colOff>
      <xdr:row>42</xdr:row>
      <xdr:rowOff>233781</xdr:rowOff>
    </xdr:from>
    <xdr:to>
      <xdr:col>4</xdr:col>
      <xdr:colOff>1428749</xdr:colOff>
      <xdr:row>42</xdr:row>
      <xdr:rowOff>759982</xdr:rowOff>
    </xdr:to>
    <xdr:pic>
      <xdr:nvPicPr>
        <xdr:cNvPr id="43" name="Picture 42">
          <a:extLst>
            <a:ext uri="{FF2B5EF4-FFF2-40B4-BE49-F238E27FC236}">
              <a16:creationId xmlns:a16="http://schemas.microsoft.com/office/drawing/2014/main" id="{2A7DAFBC-2585-4C23-A452-46711C0A4A49}"/>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3726995" y="99379506"/>
          <a:ext cx="1006929" cy="526201"/>
        </a:xfrm>
        <a:prstGeom prst="rect">
          <a:avLst/>
        </a:prstGeom>
      </xdr:spPr>
    </xdr:pic>
    <xdr:clientData/>
  </xdr:twoCellAnchor>
  <xdr:twoCellAnchor editAs="oneCell">
    <xdr:from>
      <xdr:col>4</xdr:col>
      <xdr:colOff>461151</xdr:colOff>
      <xdr:row>43</xdr:row>
      <xdr:rowOff>244928</xdr:rowOff>
    </xdr:from>
    <xdr:to>
      <xdr:col>4</xdr:col>
      <xdr:colOff>1427443</xdr:colOff>
      <xdr:row>43</xdr:row>
      <xdr:rowOff>734785</xdr:rowOff>
    </xdr:to>
    <xdr:pic>
      <xdr:nvPicPr>
        <xdr:cNvPr id="44" name="Picture 43">
          <a:extLst>
            <a:ext uri="{FF2B5EF4-FFF2-40B4-BE49-F238E27FC236}">
              <a16:creationId xmlns:a16="http://schemas.microsoft.com/office/drawing/2014/main" id="{00F8A36E-BEC2-455F-83E3-3B7722E996BF}"/>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3766326" y="100276478"/>
          <a:ext cx="966292" cy="489857"/>
        </a:xfrm>
        <a:prstGeom prst="rect">
          <a:avLst/>
        </a:prstGeom>
      </xdr:spPr>
    </xdr:pic>
    <xdr:clientData/>
  </xdr:twoCellAnchor>
  <xdr:twoCellAnchor editAs="oneCell">
    <xdr:from>
      <xdr:col>4</xdr:col>
      <xdr:colOff>435429</xdr:colOff>
      <xdr:row>44</xdr:row>
      <xdr:rowOff>163288</xdr:rowOff>
    </xdr:from>
    <xdr:to>
      <xdr:col>4</xdr:col>
      <xdr:colOff>1415142</xdr:colOff>
      <xdr:row>44</xdr:row>
      <xdr:rowOff>1345265</xdr:rowOff>
    </xdr:to>
    <xdr:pic>
      <xdr:nvPicPr>
        <xdr:cNvPr id="45" name="Picture 44">
          <a:extLst>
            <a:ext uri="{FF2B5EF4-FFF2-40B4-BE49-F238E27FC236}">
              <a16:creationId xmlns:a16="http://schemas.microsoft.com/office/drawing/2014/main" id="{BAB50470-CD9C-41F8-8BDA-7BDB091D71B8}"/>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3740604" y="101080663"/>
          <a:ext cx="979713" cy="1181977"/>
        </a:xfrm>
        <a:prstGeom prst="rect">
          <a:avLst/>
        </a:prstGeom>
      </xdr:spPr>
    </xdr:pic>
    <xdr:clientData/>
  </xdr:twoCellAnchor>
  <xdr:twoCellAnchor editAs="oneCell">
    <xdr:from>
      <xdr:col>4</xdr:col>
      <xdr:colOff>571500</xdr:colOff>
      <xdr:row>45</xdr:row>
      <xdr:rowOff>81644</xdr:rowOff>
    </xdr:from>
    <xdr:to>
      <xdr:col>4</xdr:col>
      <xdr:colOff>1387928</xdr:colOff>
      <xdr:row>45</xdr:row>
      <xdr:rowOff>830036</xdr:rowOff>
    </xdr:to>
    <xdr:pic>
      <xdr:nvPicPr>
        <xdr:cNvPr id="46" name="Picture 45">
          <a:extLst>
            <a:ext uri="{FF2B5EF4-FFF2-40B4-BE49-F238E27FC236}">
              <a16:creationId xmlns:a16="http://schemas.microsoft.com/office/drawing/2014/main" id="{BBB7AC9D-CFDF-4C0E-B80E-96C2BB9A981C}"/>
            </a:ext>
          </a:extLst>
        </xdr:cNvPr>
        <xdr:cNvPicPr>
          <a:picLocks noChangeAspect="1"/>
        </xdr:cNvPicPr>
      </xdr:nvPicPr>
      <xdr:blipFill rotWithShape="1">
        <a:blip xmlns:r="http://schemas.openxmlformats.org/officeDocument/2006/relationships" r:embed="rId20">
          <a:extLst>
            <a:ext uri="{28A0092B-C50C-407E-A947-70E740481C1C}">
              <a14:useLocalDpi xmlns:a14="http://schemas.microsoft.com/office/drawing/2010/main" val="0"/>
            </a:ext>
          </a:extLst>
        </a:blip>
        <a:srcRect l="11765" b="7017"/>
        <a:stretch/>
      </xdr:blipFill>
      <xdr:spPr>
        <a:xfrm>
          <a:off x="3876675" y="102389669"/>
          <a:ext cx="816428" cy="748392"/>
        </a:xfrm>
        <a:prstGeom prst="rect">
          <a:avLst/>
        </a:prstGeom>
      </xdr:spPr>
    </xdr:pic>
    <xdr:clientData/>
  </xdr:twoCellAnchor>
  <xdr:twoCellAnchor editAs="oneCell">
    <xdr:from>
      <xdr:col>4</xdr:col>
      <xdr:colOff>530678</xdr:colOff>
      <xdr:row>46</xdr:row>
      <xdr:rowOff>149678</xdr:rowOff>
    </xdr:from>
    <xdr:to>
      <xdr:col>4</xdr:col>
      <xdr:colOff>1409647</xdr:colOff>
      <xdr:row>46</xdr:row>
      <xdr:rowOff>693964</xdr:rowOff>
    </xdr:to>
    <xdr:pic>
      <xdr:nvPicPr>
        <xdr:cNvPr id="47" name="Picture 46">
          <a:extLst>
            <a:ext uri="{FF2B5EF4-FFF2-40B4-BE49-F238E27FC236}">
              <a16:creationId xmlns:a16="http://schemas.microsoft.com/office/drawing/2014/main" id="{8618BA85-7266-4CEE-931F-ECF33C14A826}"/>
            </a:ext>
          </a:extLst>
        </xdr:cNvPr>
        <xdr:cNvPicPr>
          <a:picLocks noChangeAspect="1"/>
        </xdr:cNvPicPr>
      </xdr:nvPicPr>
      <xdr:blipFill rotWithShape="1">
        <a:blip xmlns:r="http://schemas.openxmlformats.org/officeDocument/2006/relationships" r:embed="rId21">
          <a:extLst>
            <a:ext uri="{28A0092B-C50C-407E-A947-70E740481C1C}">
              <a14:useLocalDpi xmlns:a14="http://schemas.microsoft.com/office/drawing/2010/main" val="0"/>
            </a:ext>
          </a:extLst>
        </a:blip>
        <a:srcRect t="15257" b="12622"/>
        <a:stretch/>
      </xdr:blipFill>
      <xdr:spPr>
        <a:xfrm>
          <a:off x="3835853" y="103343528"/>
          <a:ext cx="878969" cy="544286"/>
        </a:xfrm>
        <a:prstGeom prst="rect">
          <a:avLst/>
        </a:prstGeom>
      </xdr:spPr>
    </xdr:pic>
    <xdr:clientData/>
  </xdr:twoCellAnchor>
  <xdr:twoCellAnchor editAs="oneCell">
    <xdr:from>
      <xdr:col>4</xdr:col>
      <xdr:colOff>381001</xdr:colOff>
      <xdr:row>18</xdr:row>
      <xdr:rowOff>190500</xdr:rowOff>
    </xdr:from>
    <xdr:to>
      <xdr:col>4</xdr:col>
      <xdr:colOff>1537606</xdr:colOff>
      <xdr:row>18</xdr:row>
      <xdr:rowOff>768803</xdr:rowOff>
    </xdr:to>
    <xdr:pic>
      <xdr:nvPicPr>
        <xdr:cNvPr id="52" name="Picture 51">
          <a:extLst>
            <a:ext uri="{FF2B5EF4-FFF2-40B4-BE49-F238E27FC236}">
              <a16:creationId xmlns:a16="http://schemas.microsoft.com/office/drawing/2014/main" id="{B2C51C5C-1B46-4141-BC79-62A0D50DC391}"/>
            </a:ext>
          </a:extLst>
        </xdr:cNvPr>
        <xdr:cNvPicPr>
          <a:picLocks noChangeAspect="1"/>
        </xdr:cNvPicPr>
      </xdr:nvPicPr>
      <xdr:blipFill rotWithShape="1">
        <a:blip xmlns:r="http://schemas.openxmlformats.org/officeDocument/2006/relationships" r:embed="rId22">
          <a:extLst>
            <a:ext uri="{28A0092B-C50C-407E-A947-70E740481C1C}">
              <a14:useLocalDpi xmlns:a14="http://schemas.microsoft.com/office/drawing/2010/main" val="0"/>
            </a:ext>
          </a:extLst>
        </a:blip>
        <a:srcRect t="1" r="8000" b="-5143"/>
        <a:stretch/>
      </xdr:blipFill>
      <xdr:spPr>
        <a:xfrm>
          <a:off x="3686176" y="80857725"/>
          <a:ext cx="1156605" cy="578303"/>
        </a:xfrm>
        <a:prstGeom prst="rect">
          <a:avLst/>
        </a:prstGeom>
      </xdr:spPr>
    </xdr:pic>
    <xdr:clientData/>
  </xdr:twoCellAnchor>
  <xdr:twoCellAnchor editAs="oneCell">
    <xdr:from>
      <xdr:col>4</xdr:col>
      <xdr:colOff>381002</xdr:colOff>
      <xdr:row>20</xdr:row>
      <xdr:rowOff>176892</xdr:rowOff>
    </xdr:from>
    <xdr:to>
      <xdr:col>4</xdr:col>
      <xdr:colOff>1564822</xdr:colOff>
      <xdr:row>20</xdr:row>
      <xdr:rowOff>779971</xdr:rowOff>
    </xdr:to>
    <xdr:pic>
      <xdr:nvPicPr>
        <xdr:cNvPr id="53" name="Picture 52">
          <a:extLst>
            <a:ext uri="{FF2B5EF4-FFF2-40B4-BE49-F238E27FC236}">
              <a16:creationId xmlns:a16="http://schemas.microsoft.com/office/drawing/2014/main" id="{C741668F-B54C-4B24-80D5-64416E5A5D7C}"/>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3686177" y="82615767"/>
          <a:ext cx="1183820" cy="603079"/>
        </a:xfrm>
        <a:prstGeom prst="rect">
          <a:avLst/>
        </a:prstGeom>
      </xdr:spPr>
    </xdr:pic>
    <xdr:clientData/>
  </xdr:twoCellAnchor>
  <xdr:twoCellAnchor editAs="oneCell">
    <xdr:from>
      <xdr:col>4</xdr:col>
      <xdr:colOff>367394</xdr:colOff>
      <xdr:row>21</xdr:row>
      <xdr:rowOff>175610</xdr:rowOff>
    </xdr:from>
    <xdr:to>
      <xdr:col>4</xdr:col>
      <xdr:colOff>1524001</xdr:colOff>
      <xdr:row>21</xdr:row>
      <xdr:rowOff>803483</xdr:rowOff>
    </xdr:to>
    <xdr:pic>
      <xdr:nvPicPr>
        <xdr:cNvPr id="54" name="Picture 53">
          <a:extLst>
            <a:ext uri="{FF2B5EF4-FFF2-40B4-BE49-F238E27FC236}">
              <a16:creationId xmlns:a16="http://schemas.microsoft.com/office/drawing/2014/main" id="{B95F78EC-EBAB-4145-A7B2-5E354ECBD715}"/>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3672569" y="83500310"/>
          <a:ext cx="1156607" cy="627873"/>
        </a:xfrm>
        <a:prstGeom prst="rect">
          <a:avLst/>
        </a:prstGeom>
      </xdr:spPr>
    </xdr:pic>
    <xdr:clientData/>
  </xdr:twoCellAnchor>
  <xdr:twoCellAnchor editAs="oneCell">
    <xdr:from>
      <xdr:col>0</xdr:col>
      <xdr:colOff>59871</xdr:colOff>
      <xdr:row>0</xdr:row>
      <xdr:rowOff>111579</xdr:rowOff>
    </xdr:from>
    <xdr:to>
      <xdr:col>2</xdr:col>
      <xdr:colOff>579906</xdr:colOff>
      <xdr:row>5</xdr:row>
      <xdr:rowOff>78107</xdr:rowOff>
    </xdr:to>
    <xdr:pic>
      <xdr:nvPicPr>
        <xdr:cNvPr id="56" name="Picture 55">
          <a:extLst>
            <a:ext uri="{FF2B5EF4-FFF2-40B4-BE49-F238E27FC236}">
              <a16:creationId xmlns:a16="http://schemas.microsoft.com/office/drawing/2014/main" id="{7CDA55D3-A1D6-4360-8361-357F035A2ED7}"/>
            </a:ext>
          </a:extLst>
        </xdr:cNvPr>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59871" y="111579"/>
          <a:ext cx="1482060" cy="7761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371475</xdr:colOff>
      <xdr:row>10</xdr:row>
      <xdr:rowOff>57150</xdr:rowOff>
    </xdr:from>
    <xdr:to>
      <xdr:col>4</xdr:col>
      <xdr:colOff>1487260</xdr:colOff>
      <xdr:row>10</xdr:row>
      <xdr:rowOff>775974</xdr:rowOff>
    </xdr:to>
    <xdr:pic>
      <xdr:nvPicPr>
        <xdr:cNvPr id="68" name="Picture 67">
          <a:extLst>
            <a:ext uri="{FF2B5EF4-FFF2-40B4-BE49-F238E27FC236}">
              <a16:creationId xmlns:a16="http://schemas.microsoft.com/office/drawing/2014/main" id="{4E2A52FA-9B04-44D0-9667-4FE37052F89E}"/>
            </a:ext>
          </a:extLst>
        </xdr:cNvPr>
        <xdr:cNvPicPr>
          <a:picLocks noChangeAspect="1"/>
        </xdr:cNvPicPr>
      </xdr:nvPicPr>
      <xdr:blipFill rotWithShape="1">
        <a:blip xmlns:r="http://schemas.openxmlformats.org/officeDocument/2006/relationships" r:embed="rId26">
          <a:extLst>
            <a:ext uri="{28A0092B-C50C-407E-A947-70E740481C1C}">
              <a14:useLocalDpi xmlns:a14="http://schemas.microsoft.com/office/drawing/2010/main" val="0"/>
            </a:ext>
          </a:extLst>
        </a:blip>
        <a:srcRect t="6390" b="7984"/>
        <a:stretch/>
      </xdr:blipFill>
      <xdr:spPr>
        <a:xfrm>
          <a:off x="3676650" y="2219325"/>
          <a:ext cx="1115785" cy="71882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416487</xdr:colOff>
      <xdr:row>10</xdr:row>
      <xdr:rowOff>134655</xdr:rowOff>
    </xdr:from>
    <xdr:to>
      <xdr:col>4</xdr:col>
      <xdr:colOff>1624855</xdr:colOff>
      <xdr:row>10</xdr:row>
      <xdr:rowOff>702188</xdr:rowOff>
    </xdr:to>
    <xdr:pic>
      <xdr:nvPicPr>
        <xdr:cNvPr id="3" name="Picture 2">
          <a:extLst>
            <a:ext uri="{FF2B5EF4-FFF2-40B4-BE49-F238E27FC236}">
              <a16:creationId xmlns:a16="http://schemas.microsoft.com/office/drawing/2014/main" id="{228CBA3F-B161-416C-888E-77D52B9DA21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63634" y="1557802"/>
          <a:ext cx="1208368" cy="567533"/>
        </a:xfrm>
        <a:prstGeom prst="rect">
          <a:avLst/>
        </a:prstGeom>
      </xdr:spPr>
    </xdr:pic>
    <xdr:clientData/>
  </xdr:twoCellAnchor>
  <xdr:twoCellAnchor editAs="oneCell">
    <xdr:from>
      <xdr:col>4</xdr:col>
      <xdr:colOff>479985</xdr:colOff>
      <xdr:row>11</xdr:row>
      <xdr:rowOff>84977</xdr:rowOff>
    </xdr:from>
    <xdr:to>
      <xdr:col>4</xdr:col>
      <xdr:colOff>1673679</xdr:colOff>
      <xdr:row>11</xdr:row>
      <xdr:rowOff>828692</xdr:rowOff>
    </xdr:to>
    <xdr:pic>
      <xdr:nvPicPr>
        <xdr:cNvPr id="5" name="Picture 4">
          <a:extLst>
            <a:ext uri="{FF2B5EF4-FFF2-40B4-BE49-F238E27FC236}">
              <a16:creationId xmlns:a16="http://schemas.microsoft.com/office/drawing/2014/main" id="{3CDBEC2D-D027-4874-B1FF-0EA927BFEC3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786521" y="2439013"/>
          <a:ext cx="1193694" cy="743715"/>
        </a:xfrm>
        <a:prstGeom prst="rect">
          <a:avLst/>
        </a:prstGeom>
      </xdr:spPr>
    </xdr:pic>
    <xdr:clientData/>
  </xdr:twoCellAnchor>
  <xdr:twoCellAnchor editAs="oneCell">
    <xdr:from>
      <xdr:col>4</xdr:col>
      <xdr:colOff>436789</xdr:colOff>
      <xdr:row>12</xdr:row>
      <xdr:rowOff>174541</xdr:rowOff>
    </xdr:from>
    <xdr:to>
      <xdr:col>4</xdr:col>
      <xdr:colOff>1538969</xdr:colOff>
      <xdr:row>12</xdr:row>
      <xdr:rowOff>765710</xdr:rowOff>
    </xdr:to>
    <xdr:pic>
      <xdr:nvPicPr>
        <xdr:cNvPr id="7" name="Picture 6">
          <a:extLst>
            <a:ext uri="{FF2B5EF4-FFF2-40B4-BE49-F238E27FC236}">
              <a16:creationId xmlns:a16="http://schemas.microsoft.com/office/drawing/2014/main" id="{AB5E8C4D-11D1-427E-A344-857E9F635695}"/>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5555" r="7156" b="14875"/>
        <a:stretch/>
      </xdr:blipFill>
      <xdr:spPr>
        <a:xfrm>
          <a:off x="3741964" y="3784516"/>
          <a:ext cx="1102180" cy="591169"/>
        </a:xfrm>
        <a:prstGeom prst="rect">
          <a:avLst/>
        </a:prstGeom>
      </xdr:spPr>
    </xdr:pic>
    <xdr:clientData/>
  </xdr:twoCellAnchor>
  <xdr:twoCellAnchor editAs="oneCell">
    <xdr:from>
      <xdr:col>4</xdr:col>
      <xdr:colOff>598716</xdr:colOff>
      <xdr:row>74</xdr:row>
      <xdr:rowOff>21024</xdr:rowOff>
    </xdr:from>
    <xdr:to>
      <xdr:col>4</xdr:col>
      <xdr:colOff>1319894</xdr:colOff>
      <xdr:row>74</xdr:row>
      <xdr:rowOff>1377867</xdr:rowOff>
    </xdr:to>
    <xdr:pic>
      <xdr:nvPicPr>
        <xdr:cNvPr id="9" name="Picture 8">
          <a:extLst>
            <a:ext uri="{FF2B5EF4-FFF2-40B4-BE49-F238E27FC236}">
              <a16:creationId xmlns:a16="http://schemas.microsoft.com/office/drawing/2014/main" id="{ECDDF1F7-7BEB-476F-AFF0-4D9A771543A7}"/>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8824" r="23529"/>
        <a:stretch/>
      </xdr:blipFill>
      <xdr:spPr>
        <a:xfrm>
          <a:off x="3905252" y="5096488"/>
          <a:ext cx="721178" cy="1356843"/>
        </a:xfrm>
        <a:prstGeom prst="rect">
          <a:avLst/>
        </a:prstGeom>
      </xdr:spPr>
    </xdr:pic>
    <xdr:clientData/>
  </xdr:twoCellAnchor>
  <xdr:twoCellAnchor editAs="oneCell">
    <xdr:from>
      <xdr:col>4</xdr:col>
      <xdr:colOff>340179</xdr:colOff>
      <xdr:row>75</xdr:row>
      <xdr:rowOff>176894</xdr:rowOff>
    </xdr:from>
    <xdr:to>
      <xdr:col>4</xdr:col>
      <xdr:colOff>1551215</xdr:colOff>
      <xdr:row>75</xdr:row>
      <xdr:rowOff>757031</xdr:rowOff>
    </xdr:to>
    <xdr:pic>
      <xdr:nvPicPr>
        <xdr:cNvPr id="11" name="Picture 10">
          <a:extLst>
            <a:ext uri="{FF2B5EF4-FFF2-40B4-BE49-F238E27FC236}">
              <a16:creationId xmlns:a16="http://schemas.microsoft.com/office/drawing/2014/main" id="{79C09B89-B696-4407-9DA3-F4904AD998C2}"/>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646715" y="6776358"/>
          <a:ext cx="1211036" cy="580137"/>
        </a:xfrm>
        <a:prstGeom prst="rect">
          <a:avLst/>
        </a:prstGeom>
      </xdr:spPr>
    </xdr:pic>
    <xdr:clientData/>
  </xdr:twoCellAnchor>
  <xdr:twoCellAnchor editAs="oneCell">
    <xdr:from>
      <xdr:col>4</xdr:col>
      <xdr:colOff>557894</xdr:colOff>
      <xdr:row>206</xdr:row>
      <xdr:rowOff>40823</xdr:rowOff>
    </xdr:from>
    <xdr:to>
      <xdr:col>4</xdr:col>
      <xdr:colOff>1428752</xdr:colOff>
      <xdr:row>206</xdr:row>
      <xdr:rowOff>1279073</xdr:rowOff>
    </xdr:to>
    <xdr:pic>
      <xdr:nvPicPr>
        <xdr:cNvPr id="13" name="Picture 12">
          <a:extLst>
            <a:ext uri="{FF2B5EF4-FFF2-40B4-BE49-F238E27FC236}">
              <a16:creationId xmlns:a16="http://schemas.microsoft.com/office/drawing/2014/main" id="{5A2F5E34-8472-40CB-A577-66DB7913E584}"/>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t="2634" b="3929"/>
        <a:stretch/>
      </xdr:blipFill>
      <xdr:spPr>
        <a:xfrm>
          <a:off x="3864430" y="66457287"/>
          <a:ext cx="870858" cy="1238250"/>
        </a:xfrm>
        <a:prstGeom prst="rect">
          <a:avLst/>
        </a:prstGeom>
      </xdr:spPr>
    </xdr:pic>
    <xdr:clientData/>
  </xdr:twoCellAnchor>
  <xdr:twoCellAnchor editAs="oneCell">
    <xdr:from>
      <xdr:col>4</xdr:col>
      <xdr:colOff>353787</xdr:colOff>
      <xdr:row>205</xdr:row>
      <xdr:rowOff>272143</xdr:rowOff>
    </xdr:from>
    <xdr:to>
      <xdr:col>4</xdr:col>
      <xdr:colOff>1442356</xdr:colOff>
      <xdr:row>205</xdr:row>
      <xdr:rowOff>880461</xdr:rowOff>
    </xdr:to>
    <xdr:pic>
      <xdr:nvPicPr>
        <xdr:cNvPr id="15" name="Picture 14">
          <a:extLst>
            <a:ext uri="{FF2B5EF4-FFF2-40B4-BE49-F238E27FC236}">
              <a16:creationId xmlns:a16="http://schemas.microsoft.com/office/drawing/2014/main" id="{D53F6058-57D9-4B16-9FFB-FE567FF5A1FD}"/>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3660323" y="44617822"/>
          <a:ext cx="1088569" cy="608318"/>
        </a:xfrm>
        <a:prstGeom prst="rect">
          <a:avLst/>
        </a:prstGeom>
      </xdr:spPr>
    </xdr:pic>
    <xdr:clientData/>
  </xdr:twoCellAnchor>
  <xdr:twoCellAnchor editAs="oneCell">
    <xdr:from>
      <xdr:col>4</xdr:col>
      <xdr:colOff>476251</xdr:colOff>
      <xdr:row>207</xdr:row>
      <xdr:rowOff>95250</xdr:rowOff>
    </xdr:from>
    <xdr:to>
      <xdr:col>4</xdr:col>
      <xdr:colOff>1401537</xdr:colOff>
      <xdr:row>207</xdr:row>
      <xdr:rowOff>880668</xdr:rowOff>
    </xdr:to>
    <xdr:pic>
      <xdr:nvPicPr>
        <xdr:cNvPr id="17" name="Picture 16">
          <a:extLst>
            <a:ext uri="{FF2B5EF4-FFF2-40B4-BE49-F238E27FC236}">
              <a16:creationId xmlns:a16="http://schemas.microsoft.com/office/drawing/2014/main" id="{37268050-85F2-46EA-A53B-45B5475C99E8}"/>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3782787" y="46971857"/>
          <a:ext cx="925286" cy="785418"/>
        </a:xfrm>
        <a:prstGeom prst="rect">
          <a:avLst/>
        </a:prstGeom>
      </xdr:spPr>
    </xdr:pic>
    <xdr:clientData/>
  </xdr:twoCellAnchor>
  <xdr:twoCellAnchor editAs="oneCell">
    <xdr:from>
      <xdr:col>4</xdr:col>
      <xdr:colOff>367394</xdr:colOff>
      <xdr:row>208</xdr:row>
      <xdr:rowOff>176894</xdr:rowOff>
    </xdr:from>
    <xdr:to>
      <xdr:col>4</xdr:col>
      <xdr:colOff>1497020</xdr:colOff>
      <xdr:row>208</xdr:row>
      <xdr:rowOff>789215</xdr:rowOff>
    </xdr:to>
    <xdr:pic>
      <xdr:nvPicPr>
        <xdr:cNvPr id="19" name="Picture 18">
          <a:extLst>
            <a:ext uri="{FF2B5EF4-FFF2-40B4-BE49-F238E27FC236}">
              <a16:creationId xmlns:a16="http://schemas.microsoft.com/office/drawing/2014/main" id="{1BBFC313-1B4E-4013-B1B9-DA0F36ED78CE}"/>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3673930" y="47937965"/>
          <a:ext cx="1129626" cy="612321"/>
        </a:xfrm>
        <a:prstGeom prst="rect">
          <a:avLst/>
        </a:prstGeom>
      </xdr:spPr>
    </xdr:pic>
    <xdr:clientData/>
  </xdr:twoCellAnchor>
  <xdr:twoCellAnchor editAs="oneCell">
    <xdr:from>
      <xdr:col>4</xdr:col>
      <xdr:colOff>394609</xdr:colOff>
      <xdr:row>209</xdr:row>
      <xdr:rowOff>231321</xdr:rowOff>
    </xdr:from>
    <xdr:to>
      <xdr:col>4</xdr:col>
      <xdr:colOff>1455965</xdr:colOff>
      <xdr:row>209</xdr:row>
      <xdr:rowOff>792037</xdr:rowOff>
    </xdr:to>
    <xdr:pic>
      <xdr:nvPicPr>
        <xdr:cNvPr id="21" name="Picture 20">
          <a:extLst>
            <a:ext uri="{FF2B5EF4-FFF2-40B4-BE49-F238E27FC236}">
              <a16:creationId xmlns:a16="http://schemas.microsoft.com/office/drawing/2014/main" id="{767FBAC2-C5E5-44A0-A97C-3DD80766C318}"/>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3701145" y="48876857"/>
          <a:ext cx="1061356" cy="560716"/>
        </a:xfrm>
        <a:prstGeom prst="rect">
          <a:avLst/>
        </a:prstGeom>
      </xdr:spPr>
    </xdr:pic>
    <xdr:clientData/>
  </xdr:twoCellAnchor>
  <xdr:twoCellAnchor editAs="oneCell">
    <xdr:from>
      <xdr:col>4</xdr:col>
      <xdr:colOff>476250</xdr:colOff>
      <xdr:row>79</xdr:row>
      <xdr:rowOff>68036</xdr:rowOff>
    </xdr:from>
    <xdr:to>
      <xdr:col>4</xdr:col>
      <xdr:colOff>1510394</xdr:colOff>
      <xdr:row>79</xdr:row>
      <xdr:rowOff>833571</xdr:rowOff>
    </xdr:to>
    <xdr:pic>
      <xdr:nvPicPr>
        <xdr:cNvPr id="23" name="Picture 22">
          <a:extLst>
            <a:ext uri="{FF2B5EF4-FFF2-40B4-BE49-F238E27FC236}">
              <a16:creationId xmlns:a16="http://schemas.microsoft.com/office/drawing/2014/main" id="{B54C429A-3B0A-405E-B034-E7298991C0E4}"/>
            </a:ext>
          </a:extLst>
        </xdr:cNvPr>
        <xdr:cNvPicPr>
          <a:picLocks noChangeAspect="1"/>
        </xdr:cNvPicPr>
      </xdr:nvPicPr>
      <xdr:blipFill rotWithShape="1">
        <a:blip xmlns:r="http://schemas.openxmlformats.org/officeDocument/2006/relationships" r:embed="rId11">
          <a:extLst>
            <a:ext uri="{28A0092B-C50C-407E-A947-70E740481C1C}">
              <a14:useLocalDpi xmlns:a14="http://schemas.microsoft.com/office/drawing/2010/main" val="0"/>
            </a:ext>
          </a:extLst>
        </a:blip>
        <a:srcRect l="4692" t="4687" r="4986" b="9430"/>
        <a:stretch/>
      </xdr:blipFill>
      <xdr:spPr>
        <a:xfrm>
          <a:off x="3932464" y="7987393"/>
          <a:ext cx="1034144" cy="765535"/>
        </a:xfrm>
        <a:prstGeom prst="rect">
          <a:avLst/>
        </a:prstGeom>
      </xdr:spPr>
    </xdr:pic>
    <xdr:clientData/>
  </xdr:twoCellAnchor>
  <xdr:twoCellAnchor editAs="oneCell">
    <xdr:from>
      <xdr:col>4</xdr:col>
      <xdr:colOff>272142</xdr:colOff>
      <xdr:row>81</xdr:row>
      <xdr:rowOff>68035</xdr:rowOff>
    </xdr:from>
    <xdr:to>
      <xdr:col>4</xdr:col>
      <xdr:colOff>1619249</xdr:colOff>
      <xdr:row>81</xdr:row>
      <xdr:rowOff>898071</xdr:rowOff>
    </xdr:to>
    <xdr:pic>
      <xdr:nvPicPr>
        <xdr:cNvPr id="27" name="Picture 26">
          <a:extLst>
            <a:ext uri="{FF2B5EF4-FFF2-40B4-BE49-F238E27FC236}">
              <a16:creationId xmlns:a16="http://schemas.microsoft.com/office/drawing/2014/main" id="{1D2D59D9-8381-432D-B38A-32E3D70D3A6B}"/>
            </a:ext>
          </a:extLst>
        </xdr:cNvPr>
        <xdr:cNvPicPr>
          <a:picLocks noChangeAspect="1"/>
        </xdr:cNvPicPr>
      </xdr:nvPicPr>
      <xdr:blipFill rotWithShape="1">
        <a:blip xmlns:r="http://schemas.openxmlformats.org/officeDocument/2006/relationships" r:embed="rId12">
          <a:extLst>
            <a:ext uri="{28A0092B-C50C-407E-A947-70E740481C1C}">
              <a14:useLocalDpi xmlns:a14="http://schemas.microsoft.com/office/drawing/2010/main" val="0"/>
            </a:ext>
          </a:extLst>
        </a:blip>
        <a:srcRect t="4216" b="10057"/>
        <a:stretch/>
      </xdr:blipFill>
      <xdr:spPr>
        <a:xfrm>
          <a:off x="3578678" y="9892392"/>
          <a:ext cx="1347107" cy="830036"/>
        </a:xfrm>
        <a:prstGeom prst="rect">
          <a:avLst/>
        </a:prstGeom>
      </xdr:spPr>
    </xdr:pic>
    <xdr:clientData/>
  </xdr:twoCellAnchor>
  <xdr:twoCellAnchor editAs="oneCell">
    <xdr:from>
      <xdr:col>4</xdr:col>
      <xdr:colOff>598714</xdr:colOff>
      <xdr:row>83</xdr:row>
      <xdr:rowOff>149676</xdr:rowOff>
    </xdr:from>
    <xdr:to>
      <xdr:col>4</xdr:col>
      <xdr:colOff>1292679</xdr:colOff>
      <xdr:row>83</xdr:row>
      <xdr:rowOff>792614</xdr:rowOff>
    </xdr:to>
    <xdr:pic>
      <xdr:nvPicPr>
        <xdr:cNvPr id="31" name="Picture 30">
          <a:extLst>
            <a:ext uri="{FF2B5EF4-FFF2-40B4-BE49-F238E27FC236}">
              <a16:creationId xmlns:a16="http://schemas.microsoft.com/office/drawing/2014/main" id="{26A1155F-A08E-4227-B144-3EE9C6989643}"/>
            </a:ext>
          </a:extLst>
        </xdr:cNvPr>
        <xdr:cNvPicPr>
          <a:picLocks noChangeAspect="1"/>
        </xdr:cNvPicPr>
      </xdr:nvPicPr>
      <xdr:blipFill rotWithShape="1">
        <a:blip xmlns:r="http://schemas.openxmlformats.org/officeDocument/2006/relationships" r:embed="rId13">
          <a:extLst>
            <a:ext uri="{28A0092B-C50C-407E-A947-70E740481C1C}">
              <a14:useLocalDpi xmlns:a14="http://schemas.microsoft.com/office/drawing/2010/main" val="0"/>
            </a:ext>
          </a:extLst>
        </a:blip>
        <a:srcRect l="29812" t="11393" r="12268" b="8861"/>
        <a:stretch/>
      </xdr:blipFill>
      <xdr:spPr>
        <a:xfrm>
          <a:off x="3905250" y="11879033"/>
          <a:ext cx="693965" cy="642938"/>
        </a:xfrm>
        <a:prstGeom prst="rect">
          <a:avLst/>
        </a:prstGeom>
      </xdr:spPr>
    </xdr:pic>
    <xdr:clientData/>
  </xdr:twoCellAnchor>
  <xdr:twoCellAnchor editAs="oneCell">
    <xdr:from>
      <xdr:col>4</xdr:col>
      <xdr:colOff>639533</xdr:colOff>
      <xdr:row>84</xdr:row>
      <xdr:rowOff>273505</xdr:rowOff>
    </xdr:from>
    <xdr:to>
      <xdr:col>4</xdr:col>
      <xdr:colOff>1387928</xdr:colOff>
      <xdr:row>84</xdr:row>
      <xdr:rowOff>763833</xdr:rowOff>
    </xdr:to>
    <xdr:pic>
      <xdr:nvPicPr>
        <xdr:cNvPr id="33" name="Picture 32">
          <a:extLst>
            <a:ext uri="{FF2B5EF4-FFF2-40B4-BE49-F238E27FC236}">
              <a16:creationId xmlns:a16="http://schemas.microsoft.com/office/drawing/2014/main" id="{7233C7C4-A923-45A8-AE05-0D1FC54F0D07}"/>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4095747" y="15010041"/>
          <a:ext cx="748395" cy="490328"/>
        </a:xfrm>
        <a:prstGeom prst="rect">
          <a:avLst/>
        </a:prstGeom>
      </xdr:spPr>
    </xdr:pic>
    <xdr:clientData/>
  </xdr:twoCellAnchor>
  <xdr:twoCellAnchor editAs="oneCell">
    <xdr:from>
      <xdr:col>4</xdr:col>
      <xdr:colOff>421822</xdr:colOff>
      <xdr:row>104</xdr:row>
      <xdr:rowOff>54430</xdr:rowOff>
    </xdr:from>
    <xdr:to>
      <xdr:col>4</xdr:col>
      <xdr:colOff>1605642</xdr:colOff>
      <xdr:row>104</xdr:row>
      <xdr:rowOff>802822</xdr:rowOff>
    </xdr:to>
    <xdr:pic>
      <xdr:nvPicPr>
        <xdr:cNvPr id="37" name="Picture 36">
          <a:extLst>
            <a:ext uri="{FF2B5EF4-FFF2-40B4-BE49-F238E27FC236}">
              <a16:creationId xmlns:a16="http://schemas.microsoft.com/office/drawing/2014/main" id="{6317E42D-2C5E-4CD0-ACA7-6DF9805B5E36}"/>
            </a:ext>
          </a:extLst>
        </xdr:cNvPr>
        <xdr:cNvPicPr>
          <a:picLocks noChangeAspect="1"/>
        </xdr:cNvPicPr>
      </xdr:nvPicPr>
      <xdr:blipFill rotWithShape="1">
        <a:blip xmlns:r="http://schemas.openxmlformats.org/officeDocument/2006/relationships" r:embed="rId15">
          <a:extLst>
            <a:ext uri="{28A0092B-C50C-407E-A947-70E740481C1C}">
              <a14:useLocalDpi xmlns:a14="http://schemas.microsoft.com/office/drawing/2010/main" val="0"/>
            </a:ext>
          </a:extLst>
        </a:blip>
        <a:srcRect b="9928"/>
        <a:stretch/>
      </xdr:blipFill>
      <xdr:spPr>
        <a:xfrm>
          <a:off x="3878036" y="17131394"/>
          <a:ext cx="1183820" cy="748392"/>
        </a:xfrm>
        <a:prstGeom prst="rect">
          <a:avLst/>
        </a:prstGeom>
      </xdr:spPr>
    </xdr:pic>
    <xdr:clientData/>
  </xdr:twoCellAnchor>
  <xdr:twoCellAnchor editAs="oneCell">
    <xdr:from>
      <xdr:col>4</xdr:col>
      <xdr:colOff>476251</xdr:colOff>
      <xdr:row>105</xdr:row>
      <xdr:rowOff>173054</xdr:rowOff>
    </xdr:from>
    <xdr:to>
      <xdr:col>4</xdr:col>
      <xdr:colOff>1551214</xdr:colOff>
      <xdr:row>105</xdr:row>
      <xdr:rowOff>1296386</xdr:rowOff>
    </xdr:to>
    <xdr:pic>
      <xdr:nvPicPr>
        <xdr:cNvPr id="39" name="Picture 38">
          <a:extLst>
            <a:ext uri="{FF2B5EF4-FFF2-40B4-BE49-F238E27FC236}">
              <a16:creationId xmlns:a16="http://schemas.microsoft.com/office/drawing/2014/main" id="{0F587416-AD94-42C9-82C2-BD5E81D8452A}"/>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3932465" y="18134483"/>
          <a:ext cx="1074963" cy="1123332"/>
        </a:xfrm>
        <a:prstGeom prst="rect">
          <a:avLst/>
        </a:prstGeom>
      </xdr:spPr>
    </xdr:pic>
    <xdr:clientData/>
  </xdr:twoCellAnchor>
  <xdr:twoCellAnchor editAs="oneCell">
    <xdr:from>
      <xdr:col>4</xdr:col>
      <xdr:colOff>449036</xdr:colOff>
      <xdr:row>106</xdr:row>
      <xdr:rowOff>27214</xdr:rowOff>
    </xdr:from>
    <xdr:to>
      <xdr:col>4</xdr:col>
      <xdr:colOff>1401535</xdr:colOff>
      <xdr:row>106</xdr:row>
      <xdr:rowOff>870412</xdr:rowOff>
    </xdr:to>
    <xdr:pic>
      <xdr:nvPicPr>
        <xdr:cNvPr id="41" name="Picture 40">
          <a:extLst>
            <a:ext uri="{FF2B5EF4-FFF2-40B4-BE49-F238E27FC236}">
              <a16:creationId xmlns:a16="http://schemas.microsoft.com/office/drawing/2014/main" id="{D568AD7B-9109-4837-BAC3-1C0B4C3BDCA4}"/>
            </a:ext>
          </a:extLst>
        </xdr:cNvPr>
        <xdr:cNvPicPr>
          <a:picLocks noChangeAspect="1"/>
        </xdr:cNvPicPr>
      </xdr:nvPicPr>
      <xdr:blipFill rotWithShape="1">
        <a:blip xmlns:r="http://schemas.openxmlformats.org/officeDocument/2006/relationships" r:embed="rId17">
          <a:extLst>
            <a:ext uri="{28A0092B-C50C-407E-A947-70E740481C1C}">
              <a14:useLocalDpi xmlns:a14="http://schemas.microsoft.com/office/drawing/2010/main" val="0"/>
            </a:ext>
          </a:extLst>
        </a:blip>
        <a:srcRect l="5729" t="4646" r="6924" b="11742"/>
        <a:stretch/>
      </xdr:blipFill>
      <xdr:spPr>
        <a:xfrm>
          <a:off x="3755572" y="19458214"/>
          <a:ext cx="952499" cy="843198"/>
        </a:xfrm>
        <a:prstGeom prst="rect">
          <a:avLst/>
        </a:prstGeom>
      </xdr:spPr>
    </xdr:pic>
    <xdr:clientData/>
  </xdr:twoCellAnchor>
  <xdr:twoCellAnchor editAs="oneCell">
    <xdr:from>
      <xdr:col>4</xdr:col>
      <xdr:colOff>394607</xdr:colOff>
      <xdr:row>107</xdr:row>
      <xdr:rowOff>176893</xdr:rowOff>
    </xdr:from>
    <xdr:to>
      <xdr:col>4</xdr:col>
      <xdr:colOff>1592035</xdr:colOff>
      <xdr:row>107</xdr:row>
      <xdr:rowOff>805173</xdr:rowOff>
    </xdr:to>
    <xdr:pic>
      <xdr:nvPicPr>
        <xdr:cNvPr id="43" name="Picture 42">
          <a:extLst>
            <a:ext uri="{FF2B5EF4-FFF2-40B4-BE49-F238E27FC236}">
              <a16:creationId xmlns:a16="http://schemas.microsoft.com/office/drawing/2014/main" id="{39C80384-FC74-4C48-87B8-17F53DB90ADF}"/>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3850821" y="20410714"/>
          <a:ext cx="1197428" cy="628280"/>
        </a:xfrm>
        <a:prstGeom prst="rect">
          <a:avLst/>
        </a:prstGeom>
      </xdr:spPr>
    </xdr:pic>
    <xdr:clientData/>
  </xdr:twoCellAnchor>
  <xdr:twoCellAnchor editAs="oneCell">
    <xdr:from>
      <xdr:col>4</xdr:col>
      <xdr:colOff>598715</xdr:colOff>
      <xdr:row>108</xdr:row>
      <xdr:rowOff>108859</xdr:rowOff>
    </xdr:from>
    <xdr:to>
      <xdr:col>4</xdr:col>
      <xdr:colOff>1330685</xdr:colOff>
      <xdr:row>108</xdr:row>
      <xdr:rowOff>816429</xdr:rowOff>
    </xdr:to>
    <xdr:pic>
      <xdr:nvPicPr>
        <xdr:cNvPr id="45" name="Picture 44">
          <a:extLst>
            <a:ext uri="{FF2B5EF4-FFF2-40B4-BE49-F238E27FC236}">
              <a16:creationId xmlns:a16="http://schemas.microsoft.com/office/drawing/2014/main" id="{2F788E8F-EEC9-4707-8F71-A087DC95E7C0}"/>
            </a:ext>
          </a:extLst>
        </xdr:cNvPr>
        <xdr:cNvPicPr>
          <a:picLocks noChangeAspect="1"/>
        </xdr:cNvPicPr>
      </xdr:nvPicPr>
      <xdr:blipFill rotWithShape="1">
        <a:blip xmlns:r="http://schemas.openxmlformats.org/officeDocument/2006/relationships" r:embed="rId19">
          <a:extLst>
            <a:ext uri="{28A0092B-C50C-407E-A947-70E740481C1C}">
              <a14:useLocalDpi xmlns:a14="http://schemas.microsoft.com/office/drawing/2010/main" val="0"/>
            </a:ext>
          </a:extLst>
        </a:blip>
        <a:srcRect l="17844" r="22677" b="1205"/>
        <a:stretch/>
      </xdr:blipFill>
      <xdr:spPr>
        <a:xfrm>
          <a:off x="3905251" y="21308788"/>
          <a:ext cx="731970" cy="707570"/>
        </a:xfrm>
        <a:prstGeom prst="rect">
          <a:avLst/>
        </a:prstGeom>
      </xdr:spPr>
    </xdr:pic>
    <xdr:clientData/>
  </xdr:twoCellAnchor>
  <xdr:twoCellAnchor editAs="oneCell">
    <xdr:from>
      <xdr:col>4</xdr:col>
      <xdr:colOff>340180</xdr:colOff>
      <xdr:row>110</xdr:row>
      <xdr:rowOff>54429</xdr:rowOff>
    </xdr:from>
    <xdr:to>
      <xdr:col>4</xdr:col>
      <xdr:colOff>1605330</xdr:colOff>
      <xdr:row>110</xdr:row>
      <xdr:rowOff>1129393</xdr:rowOff>
    </xdr:to>
    <xdr:pic>
      <xdr:nvPicPr>
        <xdr:cNvPr id="47" name="Picture 46">
          <a:extLst>
            <a:ext uri="{FF2B5EF4-FFF2-40B4-BE49-F238E27FC236}">
              <a16:creationId xmlns:a16="http://schemas.microsoft.com/office/drawing/2014/main" id="{B266FBFD-70E0-4362-B318-78AF629425E2}"/>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3646716" y="23200179"/>
          <a:ext cx="1265150" cy="1074964"/>
        </a:xfrm>
        <a:prstGeom prst="rect">
          <a:avLst/>
        </a:prstGeom>
      </xdr:spPr>
    </xdr:pic>
    <xdr:clientData/>
  </xdr:twoCellAnchor>
  <xdr:twoCellAnchor editAs="oneCell">
    <xdr:from>
      <xdr:col>4</xdr:col>
      <xdr:colOff>312965</xdr:colOff>
      <xdr:row>109</xdr:row>
      <xdr:rowOff>81643</xdr:rowOff>
    </xdr:from>
    <xdr:to>
      <xdr:col>4</xdr:col>
      <xdr:colOff>1663165</xdr:colOff>
      <xdr:row>109</xdr:row>
      <xdr:rowOff>1088572</xdr:rowOff>
    </xdr:to>
    <xdr:pic>
      <xdr:nvPicPr>
        <xdr:cNvPr id="49" name="Picture 48">
          <a:extLst>
            <a:ext uri="{FF2B5EF4-FFF2-40B4-BE49-F238E27FC236}">
              <a16:creationId xmlns:a16="http://schemas.microsoft.com/office/drawing/2014/main" id="{E021B449-1130-44D3-AC42-E121B062E719}"/>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3619501" y="22084393"/>
          <a:ext cx="1350200" cy="1006929"/>
        </a:xfrm>
        <a:prstGeom prst="rect">
          <a:avLst/>
        </a:prstGeom>
      </xdr:spPr>
    </xdr:pic>
    <xdr:clientData/>
  </xdr:twoCellAnchor>
  <xdr:twoCellAnchor editAs="oneCell">
    <xdr:from>
      <xdr:col>4</xdr:col>
      <xdr:colOff>435430</xdr:colOff>
      <xdr:row>229</xdr:row>
      <xdr:rowOff>68037</xdr:rowOff>
    </xdr:from>
    <xdr:to>
      <xdr:col>4</xdr:col>
      <xdr:colOff>1483178</xdr:colOff>
      <xdr:row>229</xdr:row>
      <xdr:rowOff>846069</xdr:rowOff>
    </xdr:to>
    <xdr:pic>
      <xdr:nvPicPr>
        <xdr:cNvPr id="51" name="Picture 50">
          <a:extLst>
            <a:ext uri="{FF2B5EF4-FFF2-40B4-BE49-F238E27FC236}">
              <a16:creationId xmlns:a16="http://schemas.microsoft.com/office/drawing/2014/main" id="{10FDD05A-3835-4E32-BA67-554A929CF5F2}"/>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3891644" y="55938966"/>
          <a:ext cx="1047748" cy="778032"/>
        </a:xfrm>
        <a:prstGeom prst="rect">
          <a:avLst/>
        </a:prstGeom>
      </xdr:spPr>
    </xdr:pic>
    <xdr:clientData/>
  </xdr:twoCellAnchor>
  <xdr:twoCellAnchor editAs="oneCell">
    <xdr:from>
      <xdr:col>4</xdr:col>
      <xdr:colOff>394608</xdr:colOff>
      <xdr:row>230</xdr:row>
      <xdr:rowOff>217714</xdr:rowOff>
    </xdr:from>
    <xdr:to>
      <xdr:col>4</xdr:col>
      <xdr:colOff>1524000</xdr:colOff>
      <xdr:row>230</xdr:row>
      <xdr:rowOff>818021</xdr:rowOff>
    </xdr:to>
    <xdr:pic>
      <xdr:nvPicPr>
        <xdr:cNvPr id="53" name="Picture 52">
          <a:extLst>
            <a:ext uri="{FF2B5EF4-FFF2-40B4-BE49-F238E27FC236}">
              <a16:creationId xmlns:a16="http://schemas.microsoft.com/office/drawing/2014/main" id="{7ABEC0A5-32D4-41D7-963D-1B8229E18CE9}"/>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3701144" y="56973107"/>
          <a:ext cx="1129392" cy="600307"/>
        </a:xfrm>
        <a:prstGeom prst="rect">
          <a:avLst/>
        </a:prstGeom>
      </xdr:spPr>
    </xdr:pic>
    <xdr:clientData/>
  </xdr:twoCellAnchor>
  <xdr:twoCellAnchor editAs="oneCell">
    <xdr:from>
      <xdr:col>4</xdr:col>
      <xdr:colOff>476250</xdr:colOff>
      <xdr:row>231</xdr:row>
      <xdr:rowOff>108858</xdr:rowOff>
    </xdr:from>
    <xdr:to>
      <xdr:col>4</xdr:col>
      <xdr:colOff>1468307</xdr:colOff>
      <xdr:row>231</xdr:row>
      <xdr:rowOff>770229</xdr:rowOff>
    </xdr:to>
    <xdr:pic>
      <xdr:nvPicPr>
        <xdr:cNvPr id="55" name="Picture 54">
          <a:extLst>
            <a:ext uri="{FF2B5EF4-FFF2-40B4-BE49-F238E27FC236}">
              <a16:creationId xmlns:a16="http://schemas.microsoft.com/office/drawing/2014/main" id="{03740B65-DD23-442B-AB1A-8F9CC0714FAF}"/>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3782786" y="57748715"/>
          <a:ext cx="992057" cy="661371"/>
        </a:xfrm>
        <a:prstGeom prst="rect">
          <a:avLst/>
        </a:prstGeom>
      </xdr:spPr>
    </xdr:pic>
    <xdr:clientData/>
  </xdr:twoCellAnchor>
  <xdr:twoCellAnchor editAs="oneCell">
    <xdr:from>
      <xdr:col>4</xdr:col>
      <xdr:colOff>340180</xdr:colOff>
      <xdr:row>213</xdr:row>
      <xdr:rowOff>95250</xdr:rowOff>
    </xdr:from>
    <xdr:to>
      <xdr:col>4</xdr:col>
      <xdr:colOff>1455965</xdr:colOff>
      <xdr:row>213</xdr:row>
      <xdr:rowOff>814074</xdr:rowOff>
    </xdr:to>
    <xdr:pic>
      <xdr:nvPicPr>
        <xdr:cNvPr id="57" name="Picture 56">
          <a:extLst>
            <a:ext uri="{FF2B5EF4-FFF2-40B4-BE49-F238E27FC236}">
              <a16:creationId xmlns:a16="http://schemas.microsoft.com/office/drawing/2014/main" id="{73377FF2-0F01-4116-AAA1-A45C08190646}"/>
            </a:ext>
          </a:extLst>
        </xdr:cNvPr>
        <xdr:cNvPicPr>
          <a:picLocks noChangeAspect="1"/>
        </xdr:cNvPicPr>
      </xdr:nvPicPr>
      <xdr:blipFill rotWithShape="1">
        <a:blip xmlns:r="http://schemas.openxmlformats.org/officeDocument/2006/relationships" r:embed="rId25">
          <a:extLst>
            <a:ext uri="{28A0092B-C50C-407E-A947-70E740481C1C}">
              <a14:useLocalDpi xmlns:a14="http://schemas.microsoft.com/office/drawing/2010/main" val="0"/>
            </a:ext>
          </a:extLst>
        </a:blip>
        <a:srcRect t="6390" b="7984"/>
        <a:stretch/>
      </xdr:blipFill>
      <xdr:spPr>
        <a:xfrm>
          <a:off x="3646716" y="50196750"/>
          <a:ext cx="1115785" cy="718824"/>
        </a:xfrm>
        <a:prstGeom prst="rect">
          <a:avLst/>
        </a:prstGeom>
      </xdr:spPr>
    </xdr:pic>
    <xdr:clientData/>
  </xdr:twoCellAnchor>
  <xdr:twoCellAnchor editAs="oneCell">
    <xdr:from>
      <xdr:col>4</xdr:col>
      <xdr:colOff>421820</xdr:colOff>
      <xdr:row>223</xdr:row>
      <xdr:rowOff>217714</xdr:rowOff>
    </xdr:from>
    <xdr:to>
      <xdr:col>4</xdr:col>
      <xdr:colOff>1578428</xdr:colOff>
      <xdr:row>223</xdr:row>
      <xdr:rowOff>726223</xdr:rowOff>
    </xdr:to>
    <xdr:pic>
      <xdr:nvPicPr>
        <xdr:cNvPr id="59" name="Picture 58">
          <a:extLst>
            <a:ext uri="{FF2B5EF4-FFF2-40B4-BE49-F238E27FC236}">
              <a16:creationId xmlns:a16="http://schemas.microsoft.com/office/drawing/2014/main" id="{6B6DD977-99EA-40B9-8706-E2530C616A06}"/>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3878034" y="52863750"/>
          <a:ext cx="1156608" cy="508509"/>
        </a:xfrm>
        <a:prstGeom prst="rect">
          <a:avLst/>
        </a:prstGeom>
      </xdr:spPr>
    </xdr:pic>
    <xdr:clientData/>
  </xdr:twoCellAnchor>
  <xdr:twoCellAnchor editAs="oneCell">
    <xdr:from>
      <xdr:col>4</xdr:col>
      <xdr:colOff>625928</xdr:colOff>
      <xdr:row>224</xdr:row>
      <xdr:rowOff>176894</xdr:rowOff>
    </xdr:from>
    <xdr:to>
      <xdr:col>4</xdr:col>
      <xdr:colOff>1455963</xdr:colOff>
      <xdr:row>224</xdr:row>
      <xdr:rowOff>715296</xdr:rowOff>
    </xdr:to>
    <xdr:pic>
      <xdr:nvPicPr>
        <xdr:cNvPr id="61" name="Picture 60">
          <a:extLst>
            <a:ext uri="{FF2B5EF4-FFF2-40B4-BE49-F238E27FC236}">
              <a16:creationId xmlns:a16="http://schemas.microsoft.com/office/drawing/2014/main" id="{88EEEBFF-0064-4D39-B08F-A9BE8B8640BB}"/>
            </a:ext>
          </a:extLst>
        </xdr:cNvPr>
        <xdr:cNvPicPr>
          <a:picLocks noChangeAspect="1"/>
        </xdr:cNvPicPr>
      </xdr:nvPicPr>
      <xdr:blipFill rotWithShape="1">
        <a:blip xmlns:r="http://schemas.openxmlformats.org/officeDocument/2006/relationships" r:embed="rId27">
          <a:extLst>
            <a:ext uri="{28A0092B-C50C-407E-A947-70E740481C1C}">
              <a14:useLocalDpi xmlns:a14="http://schemas.microsoft.com/office/drawing/2010/main" val="0"/>
            </a:ext>
          </a:extLst>
        </a:blip>
        <a:srcRect r="-2415" b="12727"/>
        <a:stretch/>
      </xdr:blipFill>
      <xdr:spPr>
        <a:xfrm>
          <a:off x="4082142" y="53707394"/>
          <a:ext cx="830035" cy="538402"/>
        </a:xfrm>
        <a:prstGeom prst="rect">
          <a:avLst/>
        </a:prstGeom>
      </xdr:spPr>
    </xdr:pic>
    <xdr:clientData/>
  </xdr:twoCellAnchor>
  <xdr:twoCellAnchor editAs="oneCell">
    <xdr:from>
      <xdr:col>4</xdr:col>
      <xdr:colOff>326573</xdr:colOff>
      <xdr:row>123</xdr:row>
      <xdr:rowOff>190501</xdr:rowOff>
    </xdr:from>
    <xdr:to>
      <xdr:col>4</xdr:col>
      <xdr:colOff>1537607</xdr:colOff>
      <xdr:row>123</xdr:row>
      <xdr:rowOff>765742</xdr:rowOff>
    </xdr:to>
    <xdr:pic>
      <xdr:nvPicPr>
        <xdr:cNvPr id="67" name="Picture 66">
          <a:extLst>
            <a:ext uri="{FF2B5EF4-FFF2-40B4-BE49-F238E27FC236}">
              <a16:creationId xmlns:a16="http://schemas.microsoft.com/office/drawing/2014/main" id="{E8E64C24-2225-4E3D-A352-BDFFE13A2B68}"/>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tretch>
          <a:fillRect/>
        </a:stretch>
      </xdr:blipFill>
      <xdr:spPr>
        <a:xfrm>
          <a:off x="3782787" y="33147001"/>
          <a:ext cx="1211034" cy="575241"/>
        </a:xfrm>
        <a:prstGeom prst="rect">
          <a:avLst/>
        </a:prstGeom>
      </xdr:spPr>
    </xdr:pic>
    <xdr:clientData/>
  </xdr:twoCellAnchor>
  <xdr:twoCellAnchor editAs="oneCell">
    <xdr:from>
      <xdr:col>4</xdr:col>
      <xdr:colOff>285752</xdr:colOff>
      <xdr:row>124</xdr:row>
      <xdr:rowOff>163285</xdr:rowOff>
    </xdr:from>
    <xdr:to>
      <xdr:col>4</xdr:col>
      <xdr:colOff>1510394</xdr:colOff>
      <xdr:row>124</xdr:row>
      <xdr:rowOff>813876</xdr:rowOff>
    </xdr:to>
    <xdr:pic>
      <xdr:nvPicPr>
        <xdr:cNvPr id="69" name="Picture 68">
          <a:extLst>
            <a:ext uri="{FF2B5EF4-FFF2-40B4-BE49-F238E27FC236}">
              <a16:creationId xmlns:a16="http://schemas.microsoft.com/office/drawing/2014/main" id="{84786513-52CA-4C2B-A0F7-D66068E841DE}"/>
            </a:ext>
          </a:extLst>
        </xdr:cNvPr>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Lst>
        </a:blip>
        <a:stretch>
          <a:fillRect/>
        </a:stretch>
      </xdr:blipFill>
      <xdr:spPr>
        <a:xfrm>
          <a:off x="3741966" y="34004249"/>
          <a:ext cx="1224642" cy="650591"/>
        </a:xfrm>
        <a:prstGeom prst="rect">
          <a:avLst/>
        </a:prstGeom>
      </xdr:spPr>
    </xdr:pic>
    <xdr:clientData/>
  </xdr:twoCellAnchor>
  <xdr:twoCellAnchor editAs="oneCell">
    <xdr:from>
      <xdr:col>4</xdr:col>
      <xdr:colOff>421822</xdr:colOff>
      <xdr:row>237</xdr:row>
      <xdr:rowOff>149678</xdr:rowOff>
    </xdr:from>
    <xdr:to>
      <xdr:col>4</xdr:col>
      <xdr:colOff>1496785</xdr:colOff>
      <xdr:row>237</xdr:row>
      <xdr:rowOff>749317</xdr:rowOff>
    </xdr:to>
    <xdr:pic>
      <xdr:nvPicPr>
        <xdr:cNvPr id="77" name="Picture 76">
          <a:extLst>
            <a:ext uri="{FF2B5EF4-FFF2-40B4-BE49-F238E27FC236}">
              <a16:creationId xmlns:a16="http://schemas.microsoft.com/office/drawing/2014/main" id="{6945B00B-2EB0-4D66-8BE8-B7ADEDDA751A}"/>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Lst>
        </a:blip>
        <a:stretch>
          <a:fillRect/>
        </a:stretch>
      </xdr:blipFill>
      <xdr:spPr>
        <a:xfrm>
          <a:off x="3878036" y="61014428"/>
          <a:ext cx="1074963" cy="599639"/>
        </a:xfrm>
        <a:prstGeom prst="rect">
          <a:avLst/>
        </a:prstGeom>
      </xdr:spPr>
    </xdr:pic>
    <xdr:clientData/>
  </xdr:twoCellAnchor>
  <xdr:twoCellAnchor editAs="oneCell">
    <xdr:from>
      <xdr:col>4</xdr:col>
      <xdr:colOff>394609</xdr:colOff>
      <xdr:row>249</xdr:row>
      <xdr:rowOff>216576</xdr:rowOff>
    </xdr:from>
    <xdr:to>
      <xdr:col>4</xdr:col>
      <xdr:colOff>1483179</xdr:colOff>
      <xdr:row>249</xdr:row>
      <xdr:rowOff>783637</xdr:rowOff>
    </xdr:to>
    <xdr:pic>
      <xdr:nvPicPr>
        <xdr:cNvPr id="79" name="Picture 78">
          <a:extLst>
            <a:ext uri="{FF2B5EF4-FFF2-40B4-BE49-F238E27FC236}">
              <a16:creationId xmlns:a16="http://schemas.microsoft.com/office/drawing/2014/main" id="{C440FA83-874B-4D78-8235-C4BF019E1730}"/>
            </a:ext>
          </a:extLst>
        </xdr:cNvPr>
        <xdr:cNvPicPr>
          <a:picLocks noChangeAspect="1"/>
        </xdr:cNvPicPr>
      </xdr:nvPicPr>
      <xdr:blipFill rotWithShape="1">
        <a:blip xmlns:r="http://schemas.openxmlformats.org/officeDocument/2006/relationships" r:embed="rId31">
          <a:extLst>
            <a:ext uri="{28A0092B-C50C-407E-A947-70E740481C1C}">
              <a14:useLocalDpi xmlns:a14="http://schemas.microsoft.com/office/drawing/2010/main" val="0"/>
            </a:ext>
          </a:extLst>
        </a:blip>
        <a:srcRect l="7553" t="1923"/>
        <a:stretch/>
      </xdr:blipFill>
      <xdr:spPr>
        <a:xfrm>
          <a:off x="3701145" y="65503647"/>
          <a:ext cx="1088570" cy="567061"/>
        </a:xfrm>
        <a:prstGeom prst="rect">
          <a:avLst/>
        </a:prstGeom>
      </xdr:spPr>
    </xdr:pic>
    <xdr:clientData/>
  </xdr:twoCellAnchor>
  <xdr:twoCellAnchor editAs="oneCell">
    <xdr:from>
      <xdr:col>4</xdr:col>
      <xdr:colOff>381001</xdr:colOff>
      <xdr:row>250</xdr:row>
      <xdr:rowOff>163287</xdr:rowOff>
    </xdr:from>
    <xdr:to>
      <xdr:col>4</xdr:col>
      <xdr:colOff>1483179</xdr:colOff>
      <xdr:row>250</xdr:row>
      <xdr:rowOff>732386</xdr:rowOff>
    </xdr:to>
    <xdr:pic>
      <xdr:nvPicPr>
        <xdr:cNvPr id="81" name="Picture 80">
          <a:extLst>
            <a:ext uri="{FF2B5EF4-FFF2-40B4-BE49-F238E27FC236}">
              <a16:creationId xmlns:a16="http://schemas.microsoft.com/office/drawing/2014/main" id="{E74B9B86-350F-491E-BD06-4C6AD74A1841}"/>
            </a:ext>
          </a:extLst>
        </xdr:cNvPr>
        <xdr:cNvPicPr>
          <a:picLocks noChangeAspect="1"/>
        </xdr:cNvPicPr>
      </xdr:nvPicPr>
      <xdr:blipFill>
        <a:blip xmlns:r="http://schemas.openxmlformats.org/officeDocument/2006/relationships" r:embed="rId32">
          <a:extLst>
            <a:ext uri="{28A0092B-C50C-407E-A947-70E740481C1C}">
              <a14:useLocalDpi xmlns:a14="http://schemas.microsoft.com/office/drawing/2010/main" val="0"/>
            </a:ext>
          </a:extLst>
        </a:blip>
        <a:stretch>
          <a:fillRect/>
        </a:stretch>
      </xdr:blipFill>
      <xdr:spPr>
        <a:xfrm>
          <a:off x="3687537" y="66334823"/>
          <a:ext cx="1102178" cy="569099"/>
        </a:xfrm>
        <a:prstGeom prst="rect">
          <a:avLst/>
        </a:prstGeom>
      </xdr:spPr>
    </xdr:pic>
    <xdr:clientData/>
  </xdr:twoCellAnchor>
  <xdr:twoCellAnchor editAs="oneCell">
    <xdr:from>
      <xdr:col>4</xdr:col>
      <xdr:colOff>394609</xdr:colOff>
      <xdr:row>251</xdr:row>
      <xdr:rowOff>176894</xdr:rowOff>
    </xdr:from>
    <xdr:to>
      <xdr:col>4</xdr:col>
      <xdr:colOff>1415143</xdr:colOff>
      <xdr:row>251</xdr:row>
      <xdr:rowOff>734786</xdr:rowOff>
    </xdr:to>
    <xdr:pic>
      <xdr:nvPicPr>
        <xdr:cNvPr id="83" name="Picture 82">
          <a:extLst>
            <a:ext uri="{FF2B5EF4-FFF2-40B4-BE49-F238E27FC236}">
              <a16:creationId xmlns:a16="http://schemas.microsoft.com/office/drawing/2014/main" id="{43749B5C-8EC2-406A-9997-6034DA3614E1}"/>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tretch>
          <a:fillRect/>
        </a:stretch>
      </xdr:blipFill>
      <xdr:spPr>
        <a:xfrm>
          <a:off x="3701145" y="67232894"/>
          <a:ext cx="1020534" cy="557892"/>
        </a:xfrm>
        <a:prstGeom prst="rect">
          <a:avLst/>
        </a:prstGeom>
      </xdr:spPr>
    </xdr:pic>
    <xdr:clientData/>
  </xdr:twoCellAnchor>
  <xdr:twoCellAnchor editAs="oneCell">
    <xdr:from>
      <xdr:col>4</xdr:col>
      <xdr:colOff>367393</xdr:colOff>
      <xdr:row>252</xdr:row>
      <xdr:rowOff>20935</xdr:rowOff>
    </xdr:from>
    <xdr:to>
      <xdr:col>4</xdr:col>
      <xdr:colOff>1415143</xdr:colOff>
      <xdr:row>252</xdr:row>
      <xdr:rowOff>1310474</xdr:rowOff>
    </xdr:to>
    <xdr:pic>
      <xdr:nvPicPr>
        <xdr:cNvPr id="85" name="Picture 84">
          <a:extLst>
            <a:ext uri="{FF2B5EF4-FFF2-40B4-BE49-F238E27FC236}">
              <a16:creationId xmlns:a16="http://schemas.microsoft.com/office/drawing/2014/main" id="{08A8DB85-2CCD-4186-83E4-56B331F8A463}"/>
            </a:ext>
          </a:extLst>
        </xdr:cNvPr>
        <xdr:cNvPicPr>
          <a:picLocks noChangeAspect="1"/>
        </xdr:cNvPicPr>
      </xdr:nvPicPr>
      <xdr:blipFill rotWithShape="1">
        <a:blip xmlns:r="http://schemas.openxmlformats.org/officeDocument/2006/relationships" r:embed="rId34">
          <a:extLst>
            <a:ext uri="{28A0092B-C50C-407E-A947-70E740481C1C}">
              <a14:useLocalDpi xmlns:a14="http://schemas.microsoft.com/office/drawing/2010/main" val="0"/>
            </a:ext>
          </a:extLst>
        </a:blip>
        <a:srcRect t="2164" r="302" b="5496"/>
        <a:stretch/>
      </xdr:blipFill>
      <xdr:spPr>
        <a:xfrm>
          <a:off x="3673929" y="67961399"/>
          <a:ext cx="1047750" cy="1289539"/>
        </a:xfrm>
        <a:prstGeom prst="rect">
          <a:avLst/>
        </a:prstGeom>
      </xdr:spPr>
    </xdr:pic>
    <xdr:clientData/>
  </xdr:twoCellAnchor>
  <xdr:twoCellAnchor editAs="oneCell">
    <xdr:from>
      <xdr:col>4</xdr:col>
      <xdr:colOff>353786</xdr:colOff>
      <xdr:row>253</xdr:row>
      <xdr:rowOff>27214</xdr:rowOff>
    </xdr:from>
    <xdr:to>
      <xdr:col>4</xdr:col>
      <xdr:colOff>1374322</xdr:colOff>
      <xdr:row>253</xdr:row>
      <xdr:rowOff>1339331</xdr:rowOff>
    </xdr:to>
    <xdr:pic>
      <xdr:nvPicPr>
        <xdr:cNvPr id="87" name="Picture 86">
          <a:extLst>
            <a:ext uri="{FF2B5EF4-FFF2-40B4-BE49-F238E27FC236}">
              <a16:creationId xmlns:a16="http://schemas.microsoft.com/office/drawing/2014/main" id="{9F32FCB2-405B-4F7B-8AA6-17C0BBF6EC00}"/>
            </a:ext>
          </a:extLst>
        </xdr:cNvPr>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tretch>
          <a:fillRect/>
        </a:stretch>
      </xdr:blipFill>
      <xdr:spPr>
        <a:xfrm>
          <a:off x="3660322" y="69355607"/>
          <a:ext cx="1020536" cy="1312117"/>
        </a:xfrm>
        <a:prstGeom prst="rect">
          <a:avLst/>
        </a:prstGeom>
      </xdr:spPr>
    </xdr:pic>
    <xdr:clientData/>
  </xdr:twoCellAnchor>
  <xdr:twoCellAnchor editAs="oneCell">
    <xdr:from>
      <xdr:col>4</xdr:col>
      <xdr:colOff>435430</xdr:colOff>
      <xdr:row>254</xdr:row>
      <xdr:rowOff>95251</xdr:rowOff>
    </xdr:from>
    <xdr:to>
      <xdr:col>4</xdr:col>
      <xdr:colOff>1304160</xdr:colOff>
      <xdr:row>254</xdr:row>
      <xdr:rowOff>1306287</xdr:rowOff>
    </xdr:to>
    <xdr:pic>
      <xdr:nvPicPr>
        <xdr:cNvPr id="89" name="Picture 88">
          <a:extLst>
            <a:ext uri="{FF2B5EF4-FFF2-40B4-BE49-F238E27FC236}">
              <a16:creationId xmlns:a16="http://schemas.microsoft.com/office/drawing/2014/main" id="{D7179D5B-C82C-4894-8D78-96B10AF4246C}"/>
            </a:ext>
          </a:extLst>
        </xdr:cNvPr>
        <xdr:cNvPicPr>
          <a:picLocks noChangeAspect="1"/>
        </xdr:cNvPicPr>
      </xdr:nvPicPr>
      <xdr:blipFill rotWithShape="1">
        <a:blip xmlns:r="http://schemas.openxmlformats.org/officeDocument/2006/relationships" r:embed="rId36">
          <a:extLst>
            <a:ext uri="{28A0092B-C50C-407E-A947-70E740481C1C}">
              <a14:useLocalDpi xmlns:a14="http://schemas.microsoft.com/office/drawing/2010/main" val="0"/>
            </a:ext>
          </a:extLst>
        </a:blip>
        <a:srcRect l="9196" t="6355" r="5748"/>
        <a:stretch/>
      </xdr:blipFill>
      <xdr:spPr>
        <a:xfrm>
          <a:off x="3741966" y="70811572"/>
          <a:ext cx="868730" cy="1211036"/>
        </a:xfrm>
        <a:prstGeom prst="rect">
          <a:avLst/>
        </a:prstGeom>
      </xdr:spPr>
    </xdr:pic>
    <xdr:clientData/>
  </xdr:twoCellAnchor>
  <xdr:twoCellAnchor editAs="oneCell">
    <xdr:from>
      <xdr:col>4</xdr:col>
      <xdr:colOff>530678</xdr:colOff>
      <xdr:row>255</xdr:row>
      <xdr:rowOff>44744</xdr:rowOff>
    </xdr:from>
    <xdr:to>
      <xdr:col>4</xdr:col>
      <xdr:colOff>1347107</xdr:colOff>
      <xdr:row>255</xdr:row>
      <xdr:rowOff>880458</xdr:rowOff>
    </xdr:to>
    <xdr:pic>
      <xdr:nvPicPr>
        <xdr:cNvPr id="91" name="Picture 90">
          <a:extLst>
            <a:ext uri="{FF2B5EF4-FFF2-40B4-BE49-F238E27FC236}">
              <a16:creationId xmlns:a16="http://schemas.microsoft.com/office/drawing/2014/main" id="{BA8095DF-E773-4F08-B055-6C06FA7DA65F}"/>
            </a:ext>
          </a:extLst>
        </xdr:cNvPr>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tretch>
          <a:fillRect/>
        </a:stretch>
      </xdr:blipFill>
      <xdr:spPr>
        <a:xfrm>
          <a:off x="3837214" y="72148994"/>
          <a:ext cx="816429" cy="835714"/>
        </a:xfrm>
        <a:prstGeom prst="rect">
          <a:avLst/>
        </a:prstGeom>
      </xdr:spPr>
    </xdr:pic>
    <xdr:clientData/>
  </xdr:twoCellAnchor>
  <xdr:twoCellAnchor editAs="oneCell">
    <xdr:from>
      <xdr:col>4</xdr:col>
      <xdr:colOff>340177</xdr:colOff>
      <xdr:row>256</xdr:row>
      <xdr:rowOff>136073</xdr:rowOff>
    </xdr:from>
    <xdr:to>
      <xdr:col>4</xdr:col>
      <xdr:colOff>1331292</xdr:colOff>
      <xdr:row>256</xdr:row>
      <xdr:rowOff>802823</xdr:rowOff>
    </xdr:to>
    <xdr:pic>
      <xdr:nvPicPr>
        <xdr:cNvPr id="93" name="Picture 92">
          <a:extLst>
            <a:ext uri="{FF2B5EF4-FFF2-40B4-BE49-F238E27FC236}">
              <a16:creationId xmlns:a16="http://schemas.microsoft.com/office/drawing/2014/main" id="{2FD7B685-A48C-4035-AFDB-A7D4B4370BF6}"/>
            </a:ext>
          </a:extLst>
        </xdr:cNvPr>
        <xdr:cNvPicPr>
          <a:picLocks noChangeAspect="1"/>
        </xdr:cNvPicPr>
      </xdr:nvPicPr>
      <xdr:blipFill>
        <a:blip xmlns:r="http://schemas.openxmlformats.org/officeDocument/2006/relationships" r:embed="rId38">
          <a:extLst>
            <a:ext uri="{28A0092B-C50C-407E-A947-70E740481C1C}">
              <a14:useLocalDpi xmlns:a14="http://schemas.microsoft.com/office/drawing/2010/main" val="0"/>
            </a:ext>
          </a:extLst>
        </a:blip>
        <a:stretch>
          <a:fillRect/>
        </a:stretch>
      </xdr:blipFill>
      <xdr:spPr>
        <a:xfrm>
          <a:off x="3646713" y="73124787"/>
          <a:ext cx="991115" cy="666750"/>
        </a:xfrm>
        <a:prstGeom prst="rect">
          <a:avLst/>
        </a:prstGeom>
      </xdr:spPr>
    </xdr:pic>
    <xdr:clientData/>
  </xdr:twoCellAnchor>
  <xdr:twoCellAnchor editAs="oneCell">
    <xdr:from>
      <xdr:col>4</xdr:col>
      <xdr:colOff>476251</xdr:colOff>
      <xdr:row>260</xdr:row>
      <xdr:rowOff>285749</xdr:rowOff>
    </xdr:from>
    <xdr:to>
      <xdr:col>4</xdr:col>
      <xdr:colOff>1496786</xdr:colOff>
      <xdr:row>260</xdr:row>
      <xdr:rowOff>760265</xdr:rowOff>
    </xdr:to>
    <xdr:pic>
      <xdr:nvPicPr>
        <xdr:cNvPr id="95" name="Picture 94">
          <a:extLst>
            <a:ext uri="{FF2B5EF4-FFF2-40B4-BE49-F238E27FC236}">
              <a16:creationId xmlns:a16="http://schemas.microsoft.com/office/drawing/2014/main" id="{3CF5FE9C-31E8-4722-90F2-426CAADC8C9A}"/>
            </a:ext>
          </a:extLst>
        </xdr:cNvPr>
        <xdr:cNvPicPr>
          <a:picLocks noChangeAspect="1"/>
        </xdr:cNvPicPr>
      </xdr:nvPicPr>
      <xdr:blipFill>
        <a:blip xmlns:r="http://schemas.openxmlformats.org/officeDocument/2006/relationships" r:embed="rId39">
          <a:extLst>
            <a:ext uri="{28A0092B-C50C-407E-A947-70E740481C1C}">
              <a14:useLocalDpi xmlns:a14="http://schemas.microsoft.com/office/drawing/2010/main" val="0"/>
            </a:ext>
          </a:extLst>
        </a:blip>
        <a:stretch>
          <a:fillRect/>
        </a:stretch>
      </xdr:blipFill>
      <xdr:spPr>
        <a:xfrm>
          <a:off x="3782787" y="74730428"/>
          <a:ext cx="1020535" cy="474516"/>
        </a:xfrm>
        <a:prstGeom prst="rect">
          <a:avLst/>
        </a:prstGeom>
      </xdr:spPr>
    </xdr:pic>
    <xdr:clientData/>
  </xdr:twoCellAnchor>
  <xdr:twoCellAnchor editAs="oneCell">
    <xdr:from>
      <xdr:col>4</xdr:col>
      <xdr:colOff>489858</xdr:colOff>
      <xdr:row>261</xdr:row>
      <xdr:rowOff>190500</xdr:rowOff>
    </xdr:from>
    <xdr:to>
      <xdr:col>4</xdr:col>
      <xdr:colOff>1442358</xdr:colOff>
      <xdr:row>261</xdr:row>
      <xdr:rowOff>721827</xdr:rowOff>
    </xdr:to>
    <xdr:pic>
      <xdr:nvPicPr>
        <xdr:cNvPr id="97" name="Picture 96">
          <a:extLst>
            <a:ext uri="{FF2B5EF4-FFF2-40B4-BE49-F238E27FC236}">
              <a16:creationId xmlns:a16="http://schemas.microsoft.com/office/drawing/2014/main" id="{1590D05E-DE0A-40D3-9D00-C071439BAF93}"/>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Lst>
        </a:blip>
        <a:stretch>
          <a:fillRect/>
        </a:stretch>
      </xdr:blipFill>
      <xdr:spPr>
        <a:xfrm>
          <a:off x="3796394" y="75519643"/>
          <a:ext cx="952500" cy="531327"/>
        </a:xfrm>
        <a:prstGeom prst="rect">
          <a:avLst/>
        </a:prstGeom>
      </xdr:spPr>
    </xdr:pic>
    <xdr:clientData/>
  </xdr:twoCellAnchor>
  <xdr:twoCellAnchor editAs="oneCell">
    <xdr:from>
      <xdr:col>4</xdr:col>
      <xdr:colOff>449035</xdr:colOff>
      <xdr:row>269</xdr:row>
      <xdr:rowOff>190500</xdr:rowOff>
    </xdr:from>
    <xdr:to>
      <xdr:col>4</xdr:col>
      <xdr:colOff>1465540</xdr:colOff>
      <xdr:row>269</xdr:row>
      <xdr:rowOff>725156</xdr:rowOff>
    </xdr:to>
    <xdr:pic>
      <xdr:nvPicPr>
        <xdr:cNvPr id="99" name="Picture 98">
          <a:extLst>
            <a:ext uri="{FF2B5EF4-FFF2-40B4-BE49-F238E27FC236}">
              <a16:creationId xmlns:a16="http://schemas.microsoft.com/office/drawing/2014/main" id="{8AFECAE7-4449-4248-BF56-0F1C081EB028}"/>
            </a:ext>
          </a:extLst>
        </xdr:cNvPr>
        <xdr:cNvPicPr>
          <a:picLocks noChangeAspect="1"/>
        </xdr:cNvPicPr>
      </xdr:nvPicPr>
      <xdr:blipFill>
        <a:blip xmlns:r="http://schemas.openxmlformats.org/officeDocument/2006/relationships" r:embed="rId40">
          <a:extLst>
            <a:ext uri="{28A0092B-C50C-407E-A947-70E740481C1C}">
              <a14:useLocalDpi xmlns:a14="http://schemas.microsoft.com/office/drawing/2010/main" val="0"/>
            </a:ext>
          </a:extLst>
        </a:blip>
        <a:stretch>
          <a:fillRect/>
        </a:stretch>
      </xdr:blipFill>
      <xdr:spPr>
        <a:xfrm>
          <a:off x="3755571" y="77737607"/>
          <a:ext cx="1016505" cy="534656"/>
        </a:xfrm>
        <a:prstGeom prst="rect">
          <a:avLst/>
        </a:prstGeom>
      </xdr:spPr>
    </xdr:pic>
    <xdr:clientData/>
  </xdr:twoCellAnchor>
  <xdr:twoCellAnchor editAs="oneCell">
    <xdr:from>
      <xdr:col>4</xdr:col>
      <xdr:colOff>421820</xdr:colOff>
      <xdr:row>270</xdr:row>
      <xdr:rowOff>233781</xdr:rowOff>
    </xdr:from>
    <xdr:to>
      <xdr:col>4</xdr:col>
      <xdr:colOff>1428749</xdr:colOff>
      <xdr:row>270</xdr:row>
      <xdr:rowOff>759982</xdr:rowOff>
    </xdr:to>
    <xdr:pic>
      <xdr:nvPicPr>
        <xdr:cNvPr id="101" name="Picture 100">
          <a:extLst>
            <a:ext uri="{FF2B5EF4-FFF2-40B4-BE49-F238E27FC236}">
              <a16:creationId xmlns:a16="http://schemas.microsoft.com/office/drawing/2014/main" id="{B2C14F0E-DB50-4AEF-B6C2-9A2D97CC1D1A}"/>
            </a:ext>
          </a:extLst>
        </xdr:cNvPr>
        <xdr:cNvPicPr>
          <a:picLocks noChangeAspect="1"/>
        </xdr:cNvPicPr>
      </xdr:nvPicPr>
      <xdr:blipFill>
        <a:blip xmlns:r="http://schemas.openxmlformats.org/officeDocument/2006/relationships" r:embed="rId41">
          <a:extLst>
            <a:ext uri="{28A0092B-C50C-407E-A947-70E740481C1C}">
              <a14:useLocalDpi xmlns:a14="http://schemas.microsoft.com/office/drawing/2010/main" val="0"/>
            </a:ext>
          </a:extLst>
        </a:blip>
        <a:stretch>
          <a:fillRect/>
        </a:stretch>
      </xdr:blipFill>
      <xdr:spPr>
        <a:xfrm>
          <a:off x="3728356" y="78665352"/>
          <a:ext cx="1006929" cy="526201"/>
        </a:xfrm>
        <a:prstGeom prst="rect">
          <a:avLst/>
        </a:prstGeom>
      </xdr:spPr>
    </xdr:pic>
    <xdr:clientData/>
  </xdr:twoCellAnchor>
  <xdr:twoCellAnchor editAs="oneCell">
    <xdr:from>
      <xdr:col>4</xdr:col>
      <xdr:colOff>461151</xdr:colOff>
      <xdr:row>271</xdr:row>
      <xdr:rowOff>244928</xdr:rowOff>
    </xdr:from>
    <xdr:to>
      <xdr:col>4</xdr:col>
      <xdr:colOff>1427443</xdr:colOff>
      <xdr:row>271</xdr:row>
      <xdr:rowOff>734785</xdr:rowOff>
    </xdr:to>
    <xdr:pic>
      <xdr:nvPicPr>
        <xdr:cNvPr id="103" name="Picture 102">
          <a:extLst>
            <a:ext uri="{FF2B5EF4-FFF2-40B4-BE49-F238E27FC236}">
              <a16:creationId xmlns:a16="http://schemas.microsoft.com/office/drawing/2014/main" id="{790764DF-884D-4116-89DD-D4D7D9B0C88C}"/>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Lst>
        </a:blip>
        <a:stretch>
          <a:fillRect/>
        </a:stretch>
      </xdr:blipFill>
      <xdr:spPr>
        <a:xfrm>
          <a:off x="3767687" y="79560964"/>
          <a:ext cx="966292" cy="489857"/>
        </a:xfrm>
        <a:prstGeom prst="rect">
          <a:avLst/>
        </a:prstGeom>
      </xdr:spPr>
    </xdr:pic>
    <xdr:clientData/>
  </xdr:twoCellAnchor>
  <xdr:twoCellAnchor editAs="oneCell">
    <xdr:from>
      <xdr:col>4</xdr:col>
      <xdr:colOff>435429</xdr:colOff>
      <xdr:row>272</xdr:row>
      <xdr:rowOff>163288</xdr:rowOff>
    </xdr:from>
    <xdr:to>
      <xdr:col>4</xdr:col>
      <xdr:colOff>1415142</xdr:colOff>
      <xdr:row>272</xdr:row>
      <xdr:rowOff>1345265</xdr:rowOff>
    </xdr:to>
    <xdr:pic>
      <xdr:nvPicPr>
        <xdr:cNvPr id="107" name="Picture 106">
          <a:extLst>
            <a:ext uri="{FF2B5EF4-FFF2-40B4-BE49-F238E27FC236}">
              <a16:creationId xmlns:a16="http://schemas.microsoft.com/office/drawing/2014/main" id="{6C59FE46-CC4F-4530-8800-EB5EA4BA6A8D}"/>
            </a:ext>
          </a:extLst>
        </xdr:cNvPr>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Lst>
        </a:blip>
        <a:stretch>
          <a:fillRect/>
        </a:stretch>
      </xdr:blipFill>
      <xdr:spPr>
        <a:xfrm>
          <a:off x="3741965" y="80363788"/>
          <a:ext cx="979713" cy="1181977"/>
        </a:xfrm>
        <a:prstGeom prst="rect">
          <a:avLst/>
        </a:prstGeom>
      </xdr:spPr>
    </xdr:pic>
    <xdr:clientData/>
  </xdr:twoCellAnchor>
  <xdr:twoCellAnchor editAs="oneCell">
    <xdr:from>
      <xdr:col>4</xdr:col>
      <xdr:colOff>571500</xdr:colOff>
      <xdr:row>273</xdr:row>
      <xdr:rowOff>81644</xdr:rowOff>
    </xdr:from>
    <xdr:to>
      <xdr:col>4</xdr:col>
      <xdr:colOff>1387928</xdr:colOff>
      <xdr:row>273</xdr:row>
      <xdr:rowOff>830036</xdr:rowOff>
    </xdr:to>
    <xdr:pic>
      <xdr:nvPicPr>
        <xdr:cNvPr id="109" name="Picture 108">
          <a:extLst>
            <a:ext uri="{FF2B5EF4-FFF2-40B4-BE49-F238E27FC236}">
              <a16:creationId xmlns:a16="http://schemas.microsoft.com/office/drawing/2014/main" id="{B5E75A1F-336B-453E-9C42-AB270947BF06}"/>
            </a:ext>
          </a:extLst>
        </xdr:cNvPr>
        <xdr:cNvPicPr>
          <a:picLocks noChangeAspect="1"/>
        </xdr:cNvPicPr>
      </xdr:nvPicPr>
      <xdr:blipFill rotWithShape="1">
        <a:blip xmlns:r="http://schemas.openxmlformats.org/officeDocument/2006/relationships" r:embed="rId44">
          <a:extLst>
            <a:ext uri="{28A0092B-C50C-407E-A947-70E740481C1C}">
              <a14:useLocalDpi xmlns:a14="http://schemas.microsoft.com/office/drawing/2010/main" val="0"/>
            </a:ext>
          </a:extLst>
        </a:blip>
        <a:srcRect l="11765" b="7017"/>
        <a:stretch/>
      </xdr:blipFill>
      <xdr:spPr>
        <a:xfrm>
          <a:off x="4027714" y="81670073"/>
          <a:ext cx="816428" cy="748392"/>
        </a:xfrm>
        <a:prstGeom prst="rect">
          <a:avLst/>
        </a:prstGeom>
      </xdr:spPr>
    </xdr:pic>
    <xdr:clientData/>
  </xdr:twoCellAnchor>
  <xdr:twoCellAnchor editAs="oneCell">
    <xdr:from>
      <xdr:col>4</xdr:col>
      <xdr:colOff>530678</xdr:colOff>
      <xdr:row>274</xdr:row>
      <xdr:rowOff>149678</xdr:rowOff>
    </xdr:from>
    <xdr:to>
      <xdr:col>4</xdr:col>
      <xdr:colOff>1409647</xdr:colOff>
      <xdr:row>274</xdr:row>
      <xdr:rowOff>693964</xdr:rowOff>
    </xdr:to>
    <xdr:pic>
      <xdr:nvPicPr>
        <xdr:cNvPr id="111" name="Picture 110">
          <a:extLst>
            <a:ext uri="{FF2B5EF4-FFF2-40B4-BE49-F238E27FC236}">
              <a16:creationId xmlns:a16="http://schemas.microsoft.com/office/drawing/2014/main" id="{6A01574C-6170-4FB3-828F-B390698BE6F5}"/>
            </a:ext>
          </a:extLst>
        </xdr:cNvPr>
        <xdr:cNvPicPr>
          <a:picLocks noChangeAspect="1"/>
        </xdr:cNvPicPr>
      </xdr:nvPicPr>
      <xdr:blipFill rotWithShape="1">
        <a:blip xmlns:r="http://schemas.openxmlformats.org/officeDocument/2006/relationships" r:embed="rId45">
          <a:extLst>
            <a:ext uri="{28A0092B-C50C-407E-A947-70E740481C1C}">
              <a14:useLocalDpi xmlns:a14="http://schemas.microsoft.com/office/drawing/2010/main" val="0"/>
            </a:ext>
          </a:extLst>
        </a:blip>
        <a:srcRect t="15257" b="12622"/>
        <a:stretch/>
      </xdr:blipFill>
      <xdr:spPr>
        <a:xfrm>
          <a:off x="3986892" y="82622571"/>
          <a:ext cx="878969" cy="544286"/>
        </a:xfrm>
        <a:prstGeom prst="rect">
          <a:avLst/>
        </a:prstGeom>
      </xdr:spPr>
    </xdr:pic>
    <xdr:clientData/>
  </xdr:twoCellAnchor>
  <xdr:twoCellAnchor editAs="oneCell">
    <xdr:from>
      <xdr:col>4</xdr:col>
      <xdr:colOff>748394</xdr:colOff>
      <xdr:row>130</xdr:row>
      <xdr:rowOff>169225</xdr:rowOff>
    </xdr:from>
    <xdr:to>
      <xdr:col>4</xdr:col>
      <xdr:colOff>1279072</xdr:colOff>
      <xdr:row>130</xdr:row>
      <xdr:rowOff>518470</xdr:rowOff>
    </xdr:to>
    <xdr:pic>
      <xdr:nvPicPr>
        <xdr:cNvPr id="113" name="Picture 112">
          <a:extLst>
            <a:ext uri="{FF2B5EF4-FFF2-40B4-BE49-F238E27FC236}">
              <a16:creationId xmlns:a16="http://schemas.microsoft.com/office/drawing/2014/main" id="{629B667A-5F53-45B2-BC5F-83C307B0CB0A}"/>
            </a:ext>
          </a:extLst>
        </xdr:cNvPr>
        <xdr:cNvPicPr>
          <a:picLocks noChangeAspect="1"/>
        </xdr:cNvPicPr>
      </xdr:nvPicPr>
      <xdr:blipFill rotWithShape="1">
        <a:blip xmlns:r="http://schemas.openxmlformats.org/officeDocument/2006/relationships" r:embed="rId46">
          <a:extLst>
            <a:ext uri="{28A0092B-C50C-407E-A947-70E740481C1C}">
              <a14:useLocalDpi xmlns:a14="http://schemas.microsoft.com/office/drawing/2010/main" val="0"/>
            </a:ext>
          </a:extLst>
        </a:blip>
        <a:srcRect l="13559" b="16023"/>
        <a:stretch/>
      </xdr:blipFill>
      <xdr:spPr>
        <a:xfrm>
          <a:off x="4204608" y="40813761"/>
          <a:ext cx="530678" cy="349245"/>
        </a:xfrm>
        <a:prstGeom prst="rect">
          <a:avLst/>
        </a:prstGeom>
      </xdr:spPr>
    </xdr:pic>
    <xdr:clientData/>
  </xdr:twoCellAnchor>
  <xdr:twoCellAnchor editAs="oneCell">
    <xdr:from>
      <xdr:col>4</xdr:col>
      <xdr:colOff>707574</xdr:colOff>
      <xdr:row>129</xdr:row>
      <xdr:rowOff>136074</xdr:rowOff>
    </xdr:from>
    <xdr:to>
      <xdr:col>4</xdr:col>
      <xdr:colOff>1279071</xdr:colOff>
      <xdr:row>129</xdr:row>
      <xdr:rowOff>517072</xdr:rowOff>
    </xdr:to>
    <xdr:pic>
      <xdr:nvPicPr>
        <xdr:cNvPr id="115" name="Picture 114">
          <a:extLst>
            <a:ext uri="{FF2B5EF4-FFF2-40B4-BE49-F238E27FC236}">
              <a16:creationId xmlns:a16="http://schemas.microsoft.com/office/drawing/2014/main" id="{B483EE68-A210-421D-A8C5-BC12D2476408}"/>
            </a:ext>
          </a:extLst>
        </xdr:cNvPr>
        <xdr:cNvPicPr>
          <a:picLocks noChangeAspect="1"/>
        </xdr:cNvPicPr>
      </xdr:nvPicPr>
      <xdr:blipFill rotWithShape="1">
        <a:blip xmlns:r="http://schemas.openxmlformats.org/officeDocument/2006/relationships" r:embed="rId47">
          <a:extLst>
            <a:ext uri="{28A0092B-C50C-407E-A947-70E740481C1C}">
              <a14:useLocalDpi xmlns:a14="http://schemas.microsoft.com/office/drawing/2010/main" val="0"/>
            </a:ext>
          </a:extLst>
        </a:blip>
        <a:srcRect l="16818" t="-1" r="15908" b="8755"/>
        <a:stretch/>
      </xdr:blipFill>
      <xdr:spPr>
        <a:xfrm>
          <a:off x="4163788" y="40154681"/>
          <a:ext cx="571497" cy="380998"/>
        </a:xfrm>
        <a:prstGeom prst="rect">
          <a:avLst/>
        </a:prstGeom>
      </xdr:spPr>
    </xdr:pic>
    <xdr:clientData/>
  </xdr:twoCellAnchor>
  <xdr:twoCellAnchor editAs="oneCell">
    <xdr:from>
      <xdr:col>4</xdr:col>
      <xdr:colOff>462645</xdr:colOff>
      <xdr:row>111</xdr:row>
      <xdr:rowOff>136071</xdr:rowOff>
    </xdr:from>
    <xdr:to>
      <xdr:col>4</xdr:col>
      <xdr:colOff>1605645</xdr:colOff>
      <xdr:row>111</xdr:row>
      <xdr:rowOff>1356163</xdr:rowOff>
    </xdr:to>
    <xdr:pic>
      <xdr:nvPicPr>
        <xdr:cNvPr id="117" name="Picture 116">
          <a:extLst>
            <a:ext uri="{FF2B5EF4-FFF2-40B4-BE49-F238E27FC236}">
              <a16:creationId xmlns:a16="http://schemas.microsoft.com/office/drawing/2014/main" id="{F2D6531A-2EAA-47E1-B221-4B5F9DC2837E}"/>
            </a:ext>
          </a:extLst>
        </xdr:cNvPr>
        <xdr:cNvPicPr>
          <a:picLocks noChangeAspect="1"/>
        </xdr:cNvPicPr>
      </xdr:nvPicPr>
      <xdr:blipFill>
        <a:blip xmlns:r="http://schemas.openxmlformats.org/officeDocument/2006/relationships" r:embed="rId48">
          <a:extLst>
            <a:ext uri="{28A0092B-C50C-407E-A947-70E740481C1C}">
              <a14:useLocalDpi xmlns:a14="http://schemas.microsoft.com/office/drawing/2010/main" val="0"/>
            </a:ext>
          </a:extLst>
        </a:blip>
        <a:stretch>
          <a:fillRect/>
        </a:stretch>
      </xdr:blipFill>
      <xdr:spPr>
        <a:xfrm>
          <a:off x="3769181" y="24724178"/>
          <a:ext cx="1143000" cy="1220092"/>
        </a:xfrm>
        <a:prstGeom prst="rect">
          <a:avLst/>
        </a:prstGeom>
      </xdr:spPr>
    </xdr:pic>
    <xdr:clientData/>
  </xdr:twoCellAnchor>
  <xdr:twoCellAnchor editAs="oneCell">
    <xdr:from>
      <xdr:col>4</xdr:col>
      <xdr:colOff>394606</xdr:colOff>
      <xdr:row>112</xdr:row>
      <xdr:rowOff>190501</xdr:rowOff>
    </xdr:from>
    <xdr:to>
      <xdr:col>4</xdr:col>
      <xdr:colOff>1496785</xdr:colOff>
      <xdr:row>112</xdr:row>
      <xdr:rowOff>752188</xdr:rowOff>
    </xdr:to>
    <xdr:pic>
      <xdr:nvPicPr>
        <xdr:cNvPr id="119" name="Picture 118">
          <a:extLst>
            <a:ext uri="{FF2B5EF4-FFF2-40B4-BE49-F238E27FC236}">
              <a16:creationId xmlns:a16="http://schemas.microsoft.com/office/drawing/2014/main" id="{3D5BDCAA-95F2-4CBE-AAE7-67B6C31CA2D8}"/>
            </a:ext>
          </a:extLst>
        </xdr:cNvPr>
        <xdr:cNvPicPr>
          <a:picLocks noChangeAspect="1"/>
        </xdr:cNvPicPr>
      </xdr:nvPicPr>
      <xdr:blipFill>
        <a:blip xmlns:r="http://schemas.openxmlformats.org/officeDocument/2006/relationships" r:embed="rId49">
          <a:extLst>
            <a:ext uri="{28A0092B-C50C-407E-A947-70E740481C1C}">
              <a14:useLocalDpi xmlns:a14="http://schemas.microsoft.com/office/drawing/2010/main" val="0"/>
            </a:ext>
          </a:extLst>
        </a:blip>
        <a:stretch>
          <a:fillRect/>
        </a:stretch>
      </xdr:blipFill>
      <xdr:spPr>
        <a:xfrm>
          <a:off x="3850820" y="27581680"/>
          <a:ext cx="1102179" cy="561687"/>
        </a:xfrm>
        <a:prstGeom prst="rect">
          <a:avLst/>
        </a:prstGeom>
      </xdr:spPr>
    </xdr:pic>
    <xdr:clientData/>
  </xdr:twoCellAnchor>
  <xdr:twoCellAnchor editAs="oneCell">
    <xdr:from>
      <xdr:col>4</xdr:col>
      <xdr:colOff>381001</xdr:colOff>
      <xdr:row>236</xdr:row>
      <xdr:rowOff>190500</xdr:rowOff>
    </xdr:from>
    <xdr:to>
      <xdr:col>4</xdr:col>
      <xdr:colOff>1537606</xdr:colOff>
      <xdr:row>236</xdr:row>
      <xdr:rowOff>768803</xdr:rowOff>
    </xdr:to>
    <xdr:pic>
      <xdr:nvPicPr>
        <xdr:cNvPr id="127" name="Picture 126">
          <a:extLst>
            <a:ext uri="{FF2B5EF4-FFF2-40B4-BE49-F238E27FC236}">
              <a16:creationId xmlns:a16="http://schemas.microsoft.com/office/drawing/2014/main" id="{78266049-3C96-4CD2-BCFA-67844BB51B79}"/>
            </a:ext>
          </a:extLst>
        </xdr:cNvPr>
        <xdr:cNvPicPr>
          <a:picLocks noChangeAspect="1"/>
        </xdr:cNvPicPr>
      </xdr:nvPicPr>
      <xdr:blipFill rotWithShape="1">
        <a:blip xmlns:r="http://schemas.openxmlformats.org/officeDocument/2006/relationships" r:embed="rId50">
          <a:extLst>
            <a:ext uri="{28A0092B-C50C-407E-A947-70E740481C1C}">
              <a14:useLocalDpi xmlns:a14="http://schemas.microsoft.com/office/drawing/2010/main" val="0"/>
            </a:ext>
          </a:extLst>
        </a:blip>
        <a:srcRect t="1" r="8000" b="-5143"/>
        <a:stretch/>
      </xdr:blipFill>
      <xdr:spPr>
        <a:xfrm>
          <a:off x="3837215" y="60170786"/>
          <a:ext cx="1156605" cy="578303"/>
        </a:xfrm>
        <a:prstGeom prst="rect">
          <a:avLst/>
        </a:prstGeom>
      </xdr:spPr>
    </xdr:pic>
    <xdr:clientData/>
  </xdr:twoCellAnchor>
  <xdr:twoCellAnchor editAs="oneCell">
    <xdr:from>
      <xdr:col>4</xdr:col>
      <xdr:colOff>381002</xdr:colOff>
      <xdr:row>238</xdr:row>
      <xdr:rowOff>176892</xdr:rowOff>
    </xdr:from>
    <xdr:to>
      <xdr:col>4</xdr:col>
      <xdr:colOff>1564822</xdr:colOff>
      <xdr:row>238</xdr:row>
      <xdr:rowOff>779971</xdr:rowOff>
    </xdr:to>
    <xdr:pic>
      <xdr:nvPicPr>
        <xdr:cNvPr id="129" name="Picture 128">
          <a:extLst>
            <a:ext uri="{FF2B5EF4-FFF2-40B4-BE49-F238E27FC236}">
              <a16:creationId xmlns:a16="http://schemas.microsoft.com/office/drawing/2014/main" id="{69F0F078-64D3-4DCF-91DC-BA6404CE54EF}"/>
            </a:ext>
          </a:extLst>
        </xdr:cNvPr>
        <xdr:cNvPicPr>
          <a:picLocks noChangeAspect="1"/>
        </xdr:cNvPicPr>
      </xdr:nvPicPr>
      <xdr:blipFill>
        <a:blip xmlns:r="http://schemas.openxmlformats.org/officeDocument/2006/relationships" r:embed="rId51">
          <a:extLst>
            <a:ext uri="{28A0092B-C50C-407E-A947-70E740481C1C}">
              <a14:useLocalDpi xmlns:a14="http://schemas.microsoft.com/office/drawing/2010/main" val="0"/>
            </a:ext>
          </a:extLst>
        </a:blip>
        <a:stretch>
          <a:fillRect/>
        </a:stretch>
      </xdr:blipFill>
      <xdr:spPr>
        <a:xfrm>
          <a:off x="3687538" y="61926106"/>
          <a:ext cx="1183820" cy="603079"/>
        </a:xfrm>
        <a:prstGeom prst="rect">
          <a:avLst/>
        </a:prstGeom>
      </xdr:spPr>
    </xdr:pic>
    <xdr:clientData/>
  </xdr:twoCellAnchor>
  <xdr:twoCellAnchor editAs="oneCell">
    <xdr:from>
      <xdr:col>4</xdr:col>
      <xdr:colOff>367394</xdr:colOff>
      <xdr:row>239</xdr:row>
      <xdr:rowOff>175610</xdr:rowOff>
    </xdr:from>
    <xdr:to>
      <xdr:col>4</xdr:col>
      <xdr:colOff>1524001</xdr:colOff>
      <xdr:row>239</xdr:row>
      <xdr:rowOff>803483</xdr:rowOff>
    </xdr:to>
    <xdr:pic>
      <xdr:nvPicPr>
        <xdr:cNvPr id="131" name="Picture 130">
          <a:extLst>
            <a:ext uri="{FF2B5EF4-FFF2-40B4-BE49-F238E27FC236}">
              <a16:creationId xmlns:a16="http://schemas.microsoft.com/office/drawing/2014/main" id="{7139BE85-BDB9-497D-93FD-59E93CC97409}"/>
            </a:ext>
          </a:extLst>
        </xdr:cNvPr>
        <xdr:cNvPicPr>
          <a:picLocks noChangeAspect="1"/>
        </xdr:cNvPicPr>
      </xdr:nvPicPr>
      <xdr:blipFill>
        <a:blip xmlns:r="http://schemas.openxmlformats.org/officeDocument/2006/relationships" r:embed="rId52">
          <a:extLst>
            <a:ext uri="{28A0092B-C50C-407E-A947-70E740481C1C}">
              <a14:useLocalDpi xmlns:a14="http://schemas.microsoft.com/office/drawing/2010/main" val="0"/>
            </a:ext>
          </a:extLst>
        </a:blip>
        <a:stretch>
          <a:fillRect/>
        </a:stretch>
      </xdr:blipFill>
      <xdr:spPr>
        <a:xfrm>
          <a:off x="3823608" y="62809289"/>
          <a:ext cx="1156607" cy="627873"/>
        </a:xfrm>
        <a:prstGeom prst="rect">
          <a:avLst/>
        </a:prstGeom>
      </xdr:spPr>
    </xdr:pic>
    <xdr:clientData/>
  </xdr:twoCellAnchor>
  <xdr:twoCellAnchor editAs="oneCell">
    <xdr:from>
      <xdr:col>4</xdr:col>
      <xdr:colOff>353786</xdr:colOff>
      <xdr:row>82</xdr:row>
      <xdr:rowOff>27213</xdr:rowOff>
    </xdr:from>
    <xdr:to>
      <xdr:col>4</xdr:col>
      <xdr:colOff>1496786</xdr:colOff>
      <xdr:row>82</xdr:row>
      <xdr:rowOff>870857</xdr:rowOff>
    </xdr:to>
    <xdr:pic>
      <xdr:nvPicPr>
        <xdr:cNvPr id="4" name="Picture 3">
          <a:extLst>
            <a:ext uri="{FF2B5EF4-FFF2-40B4-BE49-F238E27FC236}">
              <a16:creationId xmlns:a16="http://schemas.microsoft.com/office/drawing/2014/main" id="{4FEA927A-3752-43E6-8349-01996D43A9D6}"/>
            </a:ext>
          </a:extLst>
        </xdr:cNvPr>
        <xdr:cNvPicPr>
          <a:picLocks noChangeAspect="1"/>
        </xdr:cNvPicPr>
      </xdr:nvPicPr>
      <xdr:blipFill rotWithShape="1">
        <a:blip xmlns:r="http://schemas.openxmlformats.org/officeDocument/2006/relationships" r:embed="rId53">
          <a:extLst>
            <a:ext uri="{28A0092B-C50C-407E-A947-70E740481C1C}">
              <a14:useLocalDpi xmlns:a14="http://schemas.microsoft.com/office/drawing/2010/main" val="0"/>
            </a:ext>
          </a:extLst>
        </a:blip>
        <a:srcRect l="5538" r="3257" b="6743"/>
        <a:stretch/>
      </xdr:blipFill>
      <xdr:spPr>
        <a:xfrm>
          <a:off x="3810000" y="10667999"/>
          <a:ext cx="1143000" cy="843644"/>
        </a:xfrm>
        <a:prstGeom prst="rect">
          <a:avLst/>
        </a:prstGeom>
      </xdr:spPr>
    </xdr:pic>
    <xdr:clientData/>
  </xdr:twoCellAnchor>
  <xdr:twoCellAnchor editAs="oneCell">
    <xdr:from>
      <xdr:col>0</xdr:col>
      <xdr:colOff>59871</xdr:colOff>
      <xdr:row>0</xdr:row>
      <xdr:rowOff>111579</xdr:rowOff>
    </xdr:from>
    <xdr:to>
      <xdr:col>2</xdr:col>
      <xdr:colOff>579906</xdr:colOff>
      <xdr:row>5</xdr:row>
      <xdr:rowOff>78107</xdr:rowOff>
    </xdr:to>
    <xdr:pic>
      <xdr:nvPicPr>
        <xdr:cNvPr id="68" name="Picture 67">
          <a:extLst>
            <a:ext uri="{FF2B5EF4-FFF2-40B4-BE49-F238E27FC236}">
              <a16:creationId xmlns:a16="http://schemas.microsoft.com/office/drawing/2014/main" id="{D5E2991F-DA9C-4871-B52C-BFAE3794EAEF}"/>
            </a:ext>
          </a:extLst>
        </xdr:cNvPr>
        <xdr:cNvPicPr>
          <a:picLocks noChangeAspect="1" noChangeArrowheads="1"/>
        </xdr:cNvPicPr>
      </xdr:nvPicPr>
      <xdr:blipFill>
        <a:blip xmlns:r="http://schemas.openxmlformats.org/officeDocument/2006/relationships" r:embed="rId54" cstate="print">
          <a:extLst>
            <a:ext uri="{28A0092B-C50C-407E-A947-70E740481C1C}">
              <a14:useLocalDpi xmlns:a14="http://schemas.microsoft.com/office/drawing/2010/main" val="0"/>
            </a:ext>
          </a:extLst>
        </a:blip>
        <a:srcRect/>
        <a:stretch>
          <a:fillRect/>
        </a:stretch>
      </xdr:blipFill>
      <xdr:spPr bwMode="auto">
        <a:xfrm>
          <a:off x="59871" y="111579"/>
          <a:ext cx="1486142" cy="7829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476251</xdr:colOff>
      <xdr:row>80</xdr:row>
      <xdr:rowOff>40823</xdr:rowOff>
    </xdr:from>
    <xdr:to>
      <xdr:col>4</xdr:col>
      <xdr:colOff>1524000</xdr:colOff>
      <xdr:row>80</xdr:row>
      <xdr:rowOff>830037</xdr:rowOff>
    </xdr:to>
    <xdr:pic>
      <xdr:nvPicPr>
        <xdr:cNvPr id="2" name="Picture 1">
          <a:extLst>
            <a:ext uri="{FF2B5EF4-FFF2-40B4-BE49-F238E27FC236}">
              <a16:creationId xmlns:a16="http://schemas.microsoft.com/office/drawing/2014/main" id="{4A9BFDA6-0EEC-4554-8CFB-106FC6C72FB0}"/>
            </a:ext>
          </a:extLst>
        </xdr:cNvPr>
        <xdr:cNvPicPr>
          <a:picLocks noChangeAspect="1"/>
        </xdr:cNvPicPr>
      </xdr:nvPicPr>
      <xdr:blipFill rotWithShape="1">
        <a:blip xmlns:r="http://schemas.openxmlformats.org/officeDocument/2006/relationships" r:embed="rId55"/>
        <a:srcRect l="7865" t="1507" r="2247" b="11090"/>
        <a:stretch/>
      </xdr:blipFill>
      <xdr:spPr>
        <a:xfrm>
          <a:off x="3932465" y="8844644"/>
          <a:ext cx="1047749" cy="789214"/>
        </a:xfrm>
        <a:prstGeom prst="rect">
          <a:avLst/>
        </a:prstGeom>
      </xdr:spPr>
    </xdr:pic>
    <xdr:clientData/>
  </xdr:twoCellAnchor>
  <xdr:twoCellAnchor editAs="oneCell">
    <xdr:from>
      <xdr:col>4</xdr:col>
      <xdr:colOff>598714</xdr:colOff>
      <xdr:row>85</xdr:row>
      <xdr:rowOff>204107</xdr:rowOff>
    </xdr:from>
    <xdr:to>
      <xdr:col>4</xdr:col>
      <xdr:colOff>1374323</xdr:colOff>
      <xdr:row>85</xdr:row>
      <xdr:rowOff>686707</xdr:rowOff>
    </xdr:to>
    <xdr:pic>
      <xdr:nvPicPr>
        <xdr:cNvPr id="70" name="Picture 69">
          <a:extLst>
            <a:ext uri="{FF2B5EF4-FFF2-40B4-BE49-F238E27FC236}">
              <a16:creationId xmlns:a16="http://schemas.microsoft.com/office/drawing/2014/main" id="{6B42B0D9-F2AF-4A77-8B6F-B700D75961C0}"/>
            </a:ext>
          </a:extLst>
        </xdr:cNvPr>
        <xdr:cNvPicPr>
          <a:picLocks noChangeAspect="1"/>
        </xdr:cNvPicPr>
      </xdr:nvPicPr>
      <xdr:blipFill>
        <a:blip xmlns:r="http://schemas.openxmlformats.org/officeDocument/2006/relationships" r:embed="rId56">
          <a:extLst>
            <a:ext uri="{28A0092B-C50C-407E-A947-70E740481C1C}">
              <a14:useLocalDpi xmlns:a14="http://schemas.microsoft.com/office/drawing/2010/main" val="0"/>
            </a:ext>
          </a:extLst>
        </a:blip>
        <a:stretch>
          <a:fillRect/>
        </a:stretch>
      </xdr:blipFill>
      <xdr:spPr>
        <a:xfrm>
          <a:off x="4054928" y="15825107"/>
          <a:ext cx="775609" cy="482600"/>
        </a:xfrm>
        <a:prstGeom prst="rect">
          <a:avLst/>
        </a:prstGeom>
      </xdr:spPr>
    </xdr:pic>
    <xdr:clientData/>
  </xdr:twoCellAnchor>
  <xdr:twoCellAnchor editAs="oneCell">
    <xdr:from>
      <xdr:col>4</xdr:col>
      <xdr:colOff>449035</xdr:colOff>
      <xdr:row>120</xdr:row>
      <xdr:rowOff>13608</xdr:rowOff>
    </xdr:from>
    <xdr:to>
      <xdr:col>4</xdr:col>
      <xdr:colOff>1374320</xdr:colOff>
      <xdr:row>120</xdr:row>
      <xdr:rowOff>802822</xdr:rowOff>
    </xdr:to>
    <xdr:pic>
      <xdr:nvPicPr>
        <xdr:cNvPr id="6" name="Picture 5">
          <a:extLst>
            <a:ext uri="{FF2B5EF4-FFF2-40B4-BE49-F238E27FC236}">
              <a16:creationId xmlns:a16="http://schemas.microsoft.com/office/drawing/2014/main" id="{2CFA646E-7601-4980-87F1-862DA70975F2}"/>
            </a:ext>
          </a:extLst>
        </xdr:cNvPr>
        <xdr:cNvPicPr>
          <a:picLocks noChangeAspect="1"/>
        </xdr:cNvPicPr>
      </xdr:nvPicPr>
      <xdr:blipFill rotWithShape="1">
        <a:blip xmlns:r="http://schemas.openxmlformats.org/officeDocument/2006/relationships" r:embed="rId57"/>
        <a:srcRect b="9804"/>
        <a:stretch/>
      </xdr:blipFill>
      <xdr:spPr>
        <a:xfrm>
          <a:off x="3905249" y="30316715"/>
          <a:ext cx="925285" cy="789214"/>
        </a:xfrm>
        <a:prstGeom prst="rect">
          <a:avLst/>
        </a:prstGeom>
      </xdr:spPr>
    </xdr:pic>
    <xdr:clientData/>
  </xdr:twoCellAnchor>
  <xdr:twoCellAnchor editAs="oneCell">
    <xdr:from>
      <xdr:col>4</xdr:col>
      <xdr:colOff>517074</xdr:colOff>
      <xdr:row>114</xdr:row>
      <xdr:rowOff>108857</xdr:rowOff>
    </xdr:from>
    <xdr:to>
      <xdr:col>4</xdr:col>
      <xdr:colOff>1483180</xdr:colOff>
      <xdr:row>114</xdr:row>
      <xdr:rowOff>1090138</xdr:rowOff>
    </xdr:to>
    <xdr:pic>
      <xdr:nvPicPr>
        <xdr:cNvPr id="8" name="Picture 7">
          <a:extLst>
            <a:ext uri="{FF2B5EF4-FFF2-40B4-BE49-F238E27FC236}">
              <a16:creationId xmlns:a16="http://schemas.microsoft.com/office/drawing/2014/main" id="{461D1F3C-39D7-4430-863A-3CB561FAB367}"/>
            </a:ext>
          </a:extLst>
        </xdr:cNvPr>
        <xdr:cNvPicPr>
          <a:picLocks noChangeAspect="1"/>
        </xdr:cNvPicPr>
      </xdr:nvPicPr>
      <xdr:blipFill>
        <a:blip xmlns:r="http://schemas.openxmlformats.org/officeDocument/2006/relationships" r:embed="rId58"/>
        <a:stretch>
          <a:fillRect/>
        </a:stretch>
      </xdr:blipFill>
      <xdr:spPr>
        <a:xfrm>
          <a:off x="3823610" y="37787036"/>
          <a:ext cx="966106" cy="981281"/>
        </a:xfrm>
        <a:prstGeom prst="rect">
          <a:avLst/>
        </a:prstGeom>
      </xdr:spPr>
    </xdr:pic>
    <xdr:clientData/>
  </xdr:twoCellAnchor>
  <xdr:twoCellAnchor editAs="oneCell">
    <xdr:from>
      <xdr:col>4</xdr:col>
      <xdr:colOff>381000</xdr:colOff>
      <xdr:row>113</xdr:row>
      <xdr:rowOff>54428</xdr:rowOff>
    </xdr:from>
    <xdr:to>
      <xdr:col>4</xdr:col>
      <xdr:colOff>1471044</xdr:colOff>
      <xdr:row>113</xdr:row>
      <xdr:rowOff>830036</xdr:rowOff>
    </xdr:to>
    <xdr:pic>
      <xdr:nvPicPr>
        <xdr:cNvPr id="72" name="Picture 71">
          <a:extLst>
            <a:ext uri="{FF2B5EF4-FFF2-40B4-BE49-F238E27FC236}">
              <a16:creationId xmlns:a16="http://schemas.microsoft.com/office/drawing/2014/main" id="{568BD237-0DD0-4F25-8EDB-091A26069BE5}"/>
            </a:ext>
          </a:extLst>
        </xdr:cNvPr>
        <xdr:cNvPicPr>
          <a:picLocks noChangeAspect="1"/>
        </xdr:cNvPicPr>
      </xdr:nvPicPr>
      <xdr:blipFill>
        <a:blip xmlns:r="http://schemas.openxmlformats.org/officeDocument/2006/relationships" r:embed="rId59">
          <a:extLst>
            <a:ext uri="{28A0092B-C50C-407E-A947-70E740481C1C}">
              <a14:useLocalDpi xmlns:a14="http://schemas.microsoft.com/office/drawing/2010/main" val="0"/>
            </a:ext>
          </a:extLst>
        </a:blip>
        <a:stretch>
          <a:fillRect/>
        </a:stretch>
      </xdr:blipFill>
      <xdr:spPr>
        <a:xfrm>
          <a:off x="3687536" y="28330071"/>
          <a:ext cx="1090044" cy="775608"/>
        </a:xfrm>
        <a:prstGeom prst="rect">
          <a:avLst/>
        </a:prstGeom>
      </xdr:spPr>
    </xdr:pic>
    <xdr:clientData/>
  </xdr:twoCellAnchor>
  <xdr:twoCellAnchor editAs="oneCell">
    <xdr:from>
      <xdr:col>4</xdr:col>
      <xdr:colOff>585107</xdr:colOff>
      <xdr:row>121</xdr:row>
      <xdr:rowOff>95250</xdr:rowOff>
    </xdr:from>
    <xdr:to>
      <xdr:col>4</xdr:col>
      <xdr:colOff>1279072</xdr:colOff>
      <xdr:row>121</xdr:row>
      <xdr:rowOff>816429</xdr:rowOff>
    </xdr:to>
    <xdr:pic>
      <xdr:nvPicPr>
        <xdr:cNvPr id="74" name="Picture 73">
          <a:extLst>
            <a:ext uri="{FF2B5EF4-FFF2-40B4-BE49-F238E27FC236}">
              <a16:creationId xmlns:a16="http://schemas.microsoft.com/office/drawing/2014/main" id="{6CCB75A0-CA20-44B0-A533-84ACD5437D73}"/>
            </a:ext>
          </a:extLst>
        </xdr:cNvPr>
        <xdr:cNvPicPr>
          <a:picLocks noChangeAspect="1"/>
        </xdr:cNvPicPr>
      </xdr:nvPicPr>
      <xdr:blipFill rotWithShape="1">
        <a:blip xmlns:r="http://schemas.openxmlformats.org/officeDocument/2006/relationships" r:embed="rId60">
          <a:extLst>
            <a:ext uri="{28A0092B-C50C-407E-A947-70E740481C1C}">
              <a14:useLocalDpi xmlns:a14="http://schemas.microsoft.com/office/drawing/2010/main" val="0"/>
            </a:ext>
          </a:extLst>
        </a:blip>
        <a:srcRect l="11291" t="8016" r="6451" b="8193"/>
        <a:stretch/>
      </xdr:blipFill>
      <xdr:spPr>
        <a:xfrm>
          <a:off x="4041321" y="31282821"/>
          <a:ext cx="693965" cy="721179"/>
        </a:xfrm>
        <a:prstGeom prst="rect">
          <a:avLst/>
        </a:prstGeom>
      </xdr:spPr>
    </xdr:pic>
    <xdr:clientData/>
  </xdr:twoCellAnchor>
  <xdr:twoCellAnchor editAs="oneCell">
    <xdr:from>
      <xdr:col>4</xdr:col>
      <xdr:colOff>557893</xdr:colOff>
      <xdr:row>122</xdr:row>
      <xdr:rowOff>54427</xdr:rowOff>
    </xdr:from>
    <xdr:to>
      <xdr:col>4</xdr:col>
      <xdr:colOff>1321987</xdr:colOff>
      <xdr:row>122</xdr:row>
      <xdr:rowOff>870856</xdr:rowOff>
    </xdr:to>
    <xdr:pic>
      <xdr:nvPicPr>
        <xdr:cNvPr id="76" name="Picture 75">
          <a:extLst>
            <a:ext uri="{FF2B5EF4-FFF2-40B4-BE49-F238E27FC236}">
              <a16:creationId xmlns:a16="http://schemas.microsoft.com/office/drawing/2014/main" id="{1F47BFCA-E704-43CE-8E6C-0A12D3BEF9DD}"/>
            </a:ext>
          </a:extLst>
        </xdr:cNvPr>
        <xdr:cNvPicPr>
          <a:picLocks noChangeAspect="1"/>
        </xdr:cNvPicPr>
      </xdr:nvPicPr>
      <xdr:blipFill>
        <a:blip xmlns:r="http://schemas.openxmlformats.org/officeDocument/2006/relationships" r:embed="rId61">
          <a:extLst>
            <a:ext uri="{28A0092B-C50C-407E-A947-70E740481C1C}">
              <a14:useLocalDpi xmlns:a14="http://schemas.microsoft.com/office/drawing/2010/main" val="0"/>
            </a:ext>
          </a:extLst>
        </a:blip>
        <a:stretch>
          <a:fillRect/>
        </a:stretch>
      </xdr:blipFill>
      <xdr:spPr>
        <a:xfrm>
          <a:off x="3864429" y="32126463"/>
          <a:ext cx="764094" cy="816429"/>
        </a:xfrm>
        <a:prstGeom prst="rect">
          <a:avLst/>
        </a:prstGeom>
      </xdr:spPr>
    </xdr:pic>
    <xdr:clientData/>
  </xdr:twoCellAnchor>
  <xdr:oneCellAnchor>
    <xdr:from>
      <xdr:col>4</xdr:col>
      <xdr:colOff>489856</xdr:colOff>
      <xdr:row>125</xdr:row>
      <xdr:rowOff>204107</xdr:rowOff>
    </xdr:from>
    <xdr:ext cx="1102179" cy="1131058"/>
    <xdr:pic>
      <xdr:nvPicPr>
        <xdr:cNvPr id="78" name="Picture 77">
          <a:extLst>
            <a:ext uri="{FF2B5EF4-FFF2-40B4-BE49-F238E27FC236}">
              <a16:creationId xmlns:a16="http://schemas.microsoft.com/office/drawing/2014/main" id="{05525BFA-16D0-4B27-83ED-28CC5FFF1FAF}"/>
            </a:ext>
          </a:extLst>
        </xdr:cNvPr>
        <xdr:cNvPicPr>
          <a:picLocks noChangeAspect="1"/>
        </xdr:cNvPicPr>
      </xdr:nvPicPr>
      <xdr:blipFill>
        <a:blip xmlns:r="http://schemas.openxmlformats.org/officeDocument/2006/relationships" r:embed="rId62">
          <a:extLst>
            <a:ext uri="{28A0092B-C50C-407E-A947-70E740481C1C}">
              <a14:useLocalDpi xmlns:a14="http://schemas.microsoft.com/office/drawing/2010/main" val="0"/>
            </a:ext>
          </a:extLst>
        </a:blip>
        <a:stretch>
          <a:fillRect/>
        </a:stretch>
      </xdr:blipFill>
      <xdr:spPr>
        <a:xfrm>
          <a:off x="3946070" y="34929536"/>
          <a:ext cx="1102179" cy="1131058"/>
        </a:xfrm>
        <a:prstGeom prst="rect">
          <a:avLst/>
        </a:prstGeom>
      </xdr:spPr>
    </xdr:pic>
    <xdr:clientData/>
  </xdr:oneCellAnchor>
  <xdr:oneCellAnchor>
    <xdr:from>
      <xdr:col>4</xdr:col>
      <xdr:colOff>625930</xdr:colOff>
      <xdr:row>126</xdr:row>
      <xdr:rowOff>272144</xdr:rowOff>
    </xdr:from>
    <xdr:ext cx="583406" cy="380999"/>
    <xdr:pic>
      <xdr:nvPicPr>
        <xdr:cNvPr id="80" name="Picture 79">
          <a:extLst>
            <a:ext uri="{FF2B5EF4-FFF2-40B4-BE49-F238E27FC236}">
              <a16:creationId xmlns:a16="http://schemas.microsoft.com/office/drawing/2014/main" id="{94DE444A-C274-4A22-87DD-FA68C92EB8EA}"/>
            </a:ext>
          </a:extLst>
        </xdr:cNvPr>
        <xdr:cNvPicPr>
          <a:picLocks noChangeAspect="1"/>
        </xdr:cNvPicPr>
      </xdr:nvPicPr>
      <xdr:blipFill rotWithShape="1">
        <a:blip xmlns:r="http://schemas.openxmlformats.org/officeDocument/2006/relationships" r:embed="rId63">
          <a:extLst>
            <a:ext uri="{28A0092B-C50C-407E-A947-70E740481C1C}">
              <a14:useLocalDpi xmlns:a14="http://schemas.microsoft.com/office/drawing/2010/main" val="0"/>
            </a:ext>
          </a:extLst>
        </a:blip>
        <a:srcRect t="1" r="10909" b="10573"/>
        <a:stretch/>
      </xdr:blipFill>
      <xdr:spPr>
        <a:xfrm>
          <a:off x="3932466" y="36385501"/>
          <a:ext cx="583406" cy="380999"/>
        </a:xfrm>
        <a:prstGeom prst="rect">
          <a:avLst/>
        </a:prstGeom>
      </xdr:spPr>
    </xdr:pic>
    <xdr:clientData/>
  </xdr:oneCellAnchor>
  <xdr:oneCellAnchor>
    <xdr:from>
      <xdr:col>4</xdr:col>
      <xdr:colOff>639536</xdr:colOff>
      <xdr:row>127</xdr:row>
      <xdr:rowOff>204106</xdr:rowOff>
    </xdr:from>
    <xdr:ext cx="639535" cy="381478"/>
    <xdr:pic>
      <xdr:nvPicPr>
        <xdr:cNvPr id="82" name="Picture 81">
          <a:extLst>
            <a:ext uri="{FF2B5EF4-FFF2-40B4-BE49-F238E27FC236}">
              <a16:creationId xmlns:a16="http://schemas.microsoft.com/office/drawing/2014/main" id="{76153E1B-3625-4A76-80AE-838AC45E9846}"/>
            </a:ext>
          </a:extLst>
        </xdr:cNvPr>
        <xdr:cNvPicPr>
          <a:picLocks noChangeAspect="1"/>
        </xdr:cNvPicPr>
      </xdr:nvPicPr>
      <xdr:blipFill rotWithShape="1">
        <a:blip xmlns:r="http://schemas.openxmlformats.org/officeDocument/2006/relationships" r:embed="rId64">
          <a:extLst>
            <a:ext uri="{28A0092B-C50C-407E-A947-70E740481C1C}">
              <a14:useLocalDpi xmlns:a14="http://schemas.microsoft.com/office/drawing/2010/main" val="0"/>
            </a:ext>
          </a:extLst>
        </a:blip>
        <a:srcRect l="23163" t="1984" r="3488" b="30565"/>
        <a:stretch/>
      </xdr:blipFill>
      <xdr:spPr>
        <a:xfrm>
          <a:off x="3946072" y="37201927"/>
          <a:ext cx="639535" cy="381478"/>
        </a:xfrm>
        <a:prstGeom prst="rect">
          <a:avLst/>
        </a:prstGeom>
      </xdr:spPr>
    </xdr:pic>
    <xdr:clientData/>
  </xdr:oneCellAnchor>
  <xdr:twoCellAnchor editAs="oneCell">
    <xdr:from>
      <xdr:col>4</xdr:col>
      <xdr:colOff>762000</xdr:colOff>
      <xdr:row>143</xdr:row>
      <xdr:rowOff>163287</xdr:rowOff>
    </xdr:from>
    <xdr:to>
      <xdr:col>4</xdr:col>
      <xdr:colOff>1292678</xdr:colOff>
      <xdr:row>143</xdr:row>
      <xdr:rowOff>512532</xdr:rowOff>
    </xdr:to>
    <xdr:pic>
      <xdr:nvPicPr>
        <xdr:cNvPr id="84" name="Picture 83">
          <a:extLst>
            <a:ext uri="{FF2B5EF4-FFF2-40B4-BE49-F238E27FC236}">
              <a16:creationId xmlns:a16="http://schemas.microsoft.com/office/drawing/2014/main" id="{2C674AC6-072A-49D3-B345-3DA7F2F71F0E}"/>
            </a:ext>
          </a:extLst>
        </xdr:cNvPr>
        <xdr:cNvPicPr>
          <a:picLocks noChangeAspect="1"/>
        </xdr:cNvPicPr>
      </xdr:nvPicPr>
      <xdr:blipFill rotWithShape="1">
        <a:blip xmlns:r="http://schemas.openxmlformats.org/officeDocument/2006/relationships" r:embed="rId46">
          <a:extLst>
            <a:ext uri="{28A0092B-C50C-407E-A947-70E740481C1C}">
              <a14:useLocalDpi xmlns:a14="http://schemas.microsoft.com/office/drawing/2010/main" val="0"/>
            </a:ext>
          </a:extLst>
        </a:blip>
        <a:srcRect l="13559" b="16023"/>
        <a:stretch/>
      </xdr:blipFill>
      <xdr:spPr>
        <a:xfrm>
          <a:off x="4218214" y="42685608"/>
          <a:ext cx="530678" cy="34924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428340</xdr:colOff>
      <xdr:row>7</xdr:row>
      <xdr:rowOff>108409</xdr:rowOff>
    </xdr:from>
    <xdr:to>
      <xdr:col>4</xdr:col>
      <xdr:colOff>1617658</xdr:colOff>
      <xdr:row>7</xdr:row>
      <xdr:rowOff>670227</xdr:rowOff>
    </xdr:to>
    <xdr:pic>
      <xdr:nvPicPr>
        <xdr:cNvPr id="2" name="Picture 1">
          <a:extLst>
            <a:ext uri="{FF2B5EF4-FFF2-40B4-BE49-F238E27FC236}">
              <a16:creationId xmlns:a16="http://schemas.microsoft.com/office/drawing/2014/main" id="{67C1B9BD-06C7-4C61-8466-89E2172F67A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31940" y="2242009"/>
          <a:ext cx="1204558" cy="571343"/>
        </a:xfrm>
        <a:prstGeom prst="rect">
          <a:avLst/>
        </a:prstGeom>
      </xdr:spPr>
    </xdr:pic>
    <xdr:clientData/>
  </xdr:twoCellAnchor>
  <xdr:twoCellAnchor editAs="oneCell">
    <xdr:from>
      <xdr:col>4</xdr:col>
      <xdr:colOff>598714</xdr:colOff>
      <xdr:row>31</xdr:row>
      <xdr:rowOff>149676</xdr:rowOff>
    </xdr:from>
    <xdr:to>
      <xdr:col>4</xdr:col>
      <xdr:colOff>1292679</xdr:colOff>
      <xdr:row>31</xdr:row>
      <xdr:rowOff>779279</xdr:rowOff>
    </xdr:to>
    <xdr:pic>
      <xdr:nvPicPr>
        <xdr:cNvPr id="9" name="Picture 8">
          <a:extLst>
            <a:ext uri="{FF2B5EF4-FFF2-40B4-BE49-F238E27FC236}">
              <a16:creationId xmlns:a16="http://schemas.microsoft.com/office/drawing/2014/main" id="{753EB84E-E4FF-47A3-ABD3-019806AC543D}"/>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9812" t="11393" r="12268" b="8861"/>
        <a:stretch/>
      </xdr:blipFill>
      <xdr:spPr>
        <a:xfrm>
          <a:off x="3903889" y="19028226"/>
          <a:ext cx="693965" cy="642938"/>
        </a:xfrm>
        <a:prstGeom prst="rect">
          <a:avLst/>
        </a:prstGeom>
      </xdr:spPr>
    </xdr:pic>
    <xdr:clientData/>
  </xdr:twoCellAnchor>
  <xdr:twoCellAnchor editAs="oneCell">
    <xdr:from>
      <xdr:col>4</xdr:col>
      <xdr:colOff>617121</xdr:colOff>
      <xdr:row>32</xdr:row>
      <xdr:rowOff>273505</xdr:rowOff>
    </xdr:from>
    <xdr:to>
      <xdr:col>4</xdr:col>
      <xdr:colOff>1352181</xdr:colOff>
      <xdr:row>32</xdr:row>
      <xdr:rowOff>763833</xdr:rowOff>
    </xdr:to>
    <xdr:pic>
      <xdr:nvPicPr>
        <xdr:cNvPr id="10" name="Picture 9">
          <a:extLst>
            <a:ext uri="{FF2B5EF4-FFF2-40B4-BE49-F238E27FC236}">
              <a16:creationId xmlns:a16="http://schemas.microsoft.com/office/drawing/2014/main" id="{6D2AFA4B-F1F0-4E77-B352-602F3AE4B3D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922856" y="19547623"/>
          <a:ext cx="748395" cy="490328"/>
        </a:xfrm>
        <a:prstGeom prst="rect">
          <a:avLst/>
        </a:prstGeom>
      </xdr:spPr>
    </xdr:pic>
    <xdr:clientData/>
  </xdr:twoCellAnchor>
  <xdr:twoCellAnchor editAs="oneCell">
    <xdr:from>
      <xdr:col>4</xdr:col>
      <xdr:colOff>476251</xdr:colOff>
      <xdr:row>101</xdr:row>
      <xdr:rowOff>173054</xdr:rowOff>
    </xdr:from>
    <xdr:to>
      <xdr:col>4</xdr:col>
      <xdr:colOff>1541689</xdr:colOff>
      <xdr:row>101</xdr:row>
      <xdr:rowOff>1277336</xdr:rowOff>
    </xdr:to>
    <xdr:pic>
      <xdr:nvPicPr>
        <xdr:cNvPr id="12" name="Picture 11">
          <a:extLst>
            <a:ext uri="{FF2B5EF4-FFF2-40B4-BE49-F238E27FC236}">
              <a16:creationId xmlns:a16="http://schemas.microsoft.com/office/drawing/2014/main" id="{5F782647-F02C-4506-9821-486EC372AA89}"/>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3781426" y="27100229"/>
          <a:ext cx="1074963" cy="1123332"/>
        </a:xfrm>
        <a:prstGeom prst="rect">
          <a:avLst/>
        </a:prstGeom>
      </xdr:spPr>
    </xdr:pic>
    <xdr:clientData/>
  </xdr:twoCellAnchor>
  <xdr:twoCellAnchor editAs="oneCell">
    <xdr:from>
      <xdr:col>4</xdr:col>
      <xdr:colOff>449036</xdr:colOff>
      <xdr:row>102</xdr:row>
      <xdr:rowOff>27214</xdr:rowOff>
    </xdr:from>
    <xdr:to>
      <xdr:col>4</xdr:col>
      <xdr:colOff>1393915</xdr:colOff>
      <xdr:row>102</xdr:row>
      <xdr:rowOff>857077</xdr:rowOff>
    </xdr:to>
    <xdr:pic>
      <xdr:nvPicPr>
        <xdr:cNvPr id="13" name="Picture 12">
          <a:extLst>
            <a:ext uri="{FF2B5EF4-FFF2-40B4-BE49-F238E27FC236}">
              <a16:creationId xmlns:a16="http://schemas.microsoft.com/office/drawing/2014/main" id="{B90590B3-D26A-4177-BAF5-B8E41D6E37C4}"/>
            </a:ext>
          </a:extLst>
        </xdr:cNvPr>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5729" t="4646" r="6924" b="11742"/>
        <a:stretch/>
      </xdr:blipFill>
      <xdr:spPr>
        <a:xfrm>
          <a:off x="3754211" y="28345039"/>
          <a:ext cx="952499" cy="843198"/>
        </a:xfrm>
        <a:prstGeom prst="rect">
          <a:avLst/>
        </a:prstGeom>
      </xdr:spPr>
    </xdr:pic>
    <xdr:clientData/>
  </xdr:twoCellAnchor>
  <xdr:twoCellAnchor editAs="oneCell">
    <xdr:from>
      <xdr:col>4</xdr:col>
      <xdr:colOff>602301</xdr:colOff>
      <xdr:row>104</xdr:row>
      <xdr:rowOff>14729</xdr:rowOff>
    </xdr:from>
    <xdr:to>
      <xdr:col>4</xdr:col>
      <xdr:colOff>1305374</xdr:colOff>
      <xdr:row>104</xdr:row>
      <xdr:rowOff>722557</xdr:rowOff>
    </xdr:to>
    <xdr:pic>
      <xdr:nvPicPr>
        <xdr:cNvPr id="70" name="Picture 14">
          <a:extLst>
            <a:ext uri="{FF2B5EF4-FFF2-40B4-BE49-F238E27FC236}">
              <a16:creationId xmlns:a16="http://schemas.microsoft.com/office/drawing/2014/main" id="{B58B7557-9938-4F86-91AA-D6897CB20F86}"/>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17844" r="22677" b="1205"/>
        <a:stretch/>
      </xdr:blipFill>
      <xdr:spPr>
        <a:xfrm>
          <a:off x="4000821" y="64815209"/>
          <a:ext cx="701168" cy="707828"/>
        </a:xfrm>
        <a:prstGeom prst="rect">
          <a:avLst/>
        </a:prstGeom>
      </xdr:spPr>
    </xdr:pic>
    <xdr:clientData/>
  </xdr:twoCellAnchor>
  <xdr:twoCellAnchor editAs="oneCell">
    <xdr:from>
      <xdr:col>4</xdr:col>
      <xdr:colOff>340180</xdr:colOff>
      <xdr:row>106</xdr:row>
      <xdr:rowOff>115389</xdr:rowOff>
    </xdr:from>
    <xdr:to>
      <xdr:col>4</xdr:col>
      <xdr:colOff>1616760</xdr:colOff>
      <xdr:row>106</xdr:row>
      <xdr:rowOff>1182733</xdr:rowOff>
    </xdr:to>
    <xdr:pic>
      <xdr:nvPicPr>
        <xdr:cNvPr id="16" name="Picture 15">
          <a:extLst>
            <a:ext uri="{FF2B5EF4-FFF2-40B4-BE49-F238E27FC236}">
              <a16:creationId xmlns:a16="http://schemas.microsoft.com/office/drawing/2014/main" id="{612EA2C0-9538-4DBD-82F0-B66B99DE9208}"/>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3807280" y="68352489"/>
          <a:ext cx="1280390" cy="1067344"/>
        </a:xfrm>
        <a:prstGeom prst="rect">
          <a:avLst/>
        </a:prstGeom>
      </xdr:spPr>
    </xdr:pic>
    <xdr:clientData/>
  </xdr:twoCellAnchor>
  <xdr:twoCellAnchor editAs="oneCell">
    <xdr:from>
      <xdr:col>4</xdr:col>
      <xdr:colOff>326573</xdr:colOff>
      <xdr:row>119</xdr:row>
      <xdr:rowOff>190501</xdr:rowOff>
    </xdr:from>
    <xdr:to>
      <xdr:col>4</xdr:col>
      <xdr:colOff>1541417</xdr:colOff>
      <xdr:row>119</xdr:row>
      <xdr:rowOff>765742</xdr:rowOff>
    </xdr:to>
    <xdr:pic>
      <xdr:nvPicPr>
        <xdr:cNvPr id="24" name="Picture 23">
          <a:extLst>
            <a:ext uri="{FF2B5EF4-FFF2-40B4-BE49-F238E27FC236}">
              <a16:creationId xmlns:a16="http://schemas.microsoft.com/office/drawing/2014/main" id="{365B924A-E8FE-4A10-A16B-04AFF48D2095}"/>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3631748" y="41367076"/>
          <a:ext cx="1211034" cy="575241"/>
        </a:xfrm>
        <a:prstGeom prst="rect">
          <a:avLst/>
        </a:prstGeom>
      </xdr:spPr>
    </xdr:pic>
    <xdr:clientData/>
  </xdr:twoCellAnchor>
  <xdr:twoCellAnchor editAs="oneCell">
    <xdr:from>
      <xdr:col>4</xdr:col>
      <xdr:colOff>285752</xdr:colOff>
      <xdr:row>120</xdr:row>
      <xdr:rowOff>163285</xdr:rowOff>
    </xdr:from>
    <xdr:to>
      <xdr:col>4</xdr:col>
      <xdr:colOff>1506584</xdr:colOff>
      <xdr:row>120</xdr:row>
      <xdr:rowOff>817686</xdr:rowOff>
    </xdr:to>
    <xdr:pic>
      <xdr:nvPicPr>
        <xdr:cNvPr id="25" name="Picture 24">
          <a:extLst>
            <a:ext uri="{FF2B5EF4-FFF2-40B4-BE49-F238E27FC236}">
              <a16:creationId xmlns:a16="http://schemas.microsoft.com/office/drawing/2014/main" id="{F10C4E17-08B8-42C5-BED7-66B1AFC9B629}"/>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3590927" y="42225685"/>
          <a:ext cx="1224642" cy="650591"/>
        </a:xfrm>
        <a:prstGeom prst="rect">
          <a:avLst/>
        </a:prstGeom>
      </xdr:spPr>
    </xdr:pic>
    <xdr:clientData/>
  </xdr:twoCellAnchor>
  <xdr:twoCellAnchor editAs="oneCell">
    <xdr:from>
      <xdr:col>4</xdr:col>
      <xdr:colOff>782908</xdr:colOff>
      <xdr:row>131</xdr:row>
      <xdr:rowOff>889091</xdr:rowOff>
    </xdr:from>
    <xdr:to>
      <xdr:col>4</xdr:col>
      <xdr:colOff>1315491</xdr:colOff>
      <xdr:row>131</xdr:row>
      <xdr:rowOff>1234526</xdr:rowOff>
    </xdr:to>
    <xdr:pic>
      <xdr:nvPicPr>
        <xdr:cNvPr id="71" name="Picture 42">
          <a:extLst>
            <a:ext uri="{FF2B5EF4-FFF2-40B4-BE49-F238E27FC236}">
              <a16:creationId xmlns:a16="http://schemas.microsoft.com/office/drawing/2014/main" id="{440AEB15-F087-4F0F-ACA9-56877CF6638B}"/>
            </a:ext>
          </a:extLst>
        </xdr:cNvPr>
        <xdr:cNvPicPr>
          <a:picLocks noChangeAspect="1"/>
        </xdr:cNvPicPr>
      </xdr:nvPicPr>
      <xdr:blipFill rotWithShape="1">
        <a:blip xmlns:r="http://schemas.openxmlformats.org/officeDocument/2006/relationships" r:embed="rId10">
          <a:extLst>
            <a:ext uri="{28A0092B-C50C-407E-A947-70E740481C1C}">
              <a14:useLocalDpi xmlns:a14="http://schemas.microsoft.com/office/drawing/2010/main" val="0"/>
            </a:ext>
          </a:extLst>
        </a:blip>
        <a:srcRect l="13559" b="16023"/>
        <a:stretch/>
      </xdr:blipFill>
      <xdr:spPr>
        <a:xfrm>
          <a:off x="4181428" y="85661591"/>
          <a:ext cx="536393" cy="349245"/>
        </a:xfrm>
        <a:prstGeom prst="rect">
          <a:avLst/>
        </a:prstGeom>
      </xdr:spPr>
    </xdr:pic>
    <xdr:clientData/>
  </xdr:twoCellAnchor>
  <xdr:twoCellAnchor editAs="oneCell">
    <xdr:from>
      <xdr:col>4</xdr:col>
      <xdr:colOff>774809</xdr:colOff>
      <xdr:row>130</xdr:row>
      <xdr:rowOff>136074</xdr:rowOff>
    </xdr:from>
    <xdr:to>
      <xdr:col>4</xdr:col>
      <xdr:colOff>1350116</xdr:colOff>
      <xdr:row>130</xdr:row>
      <xdr:rowOff>513262</xdr:rowOff>
    </xdr:to>
    <xdr:pic>
      <xdr:nvPicPr>
        <xdr:cNvPr id="44" name="Picture 43">
          <a:extLst>
            <a:ext uri="{FF2B5EF4-FFF2-40B4-BE49-F238E27FC236}">
              <a16:creationId xmlns:a16="http://schemas.microsoft.com/office/drawing/2014/main" id="{5D12CEDF-A8C0-44BD-8D92-E658422521B2}"/>
            </a:ext>
          </a:extLst>
        </xdr:cNvPr>
        <xdr:cNvPicPr>
          <a:picLocks noChangeAspect="1"/>
        </xdr:cNvPicPr>
      </xdr:nvPicPr>
      <xdr:blipFill rotWithShape="1">
        <a:blip xmlns:r="http://schemas.openxmlformats.org/officeDocument/2006/relationships" r:embed="rId11">
          <a:extLst>
            <a:ext uri="{28A0092B-C50C-407E-A947-70E740481C1C}">
              <a14:useLocalDpi xmlns:a14="http://schemas.microsoft.com/office/drawing/2010/main" val="0"/>
            </a:ext>
          </a:extLst>
        </a:blip>
        <a:srcRect l="16818" t="-1" r="15908" b="8755"/>
        <a:stretch/>
      </xdr:blipFill>
      <xdr:spPr>
        <a:xfrm>
          <a:off x="4080544" y="85244750"/>
          <a:ext cx="571497" cy="380998"/>
        </a:xfrm>
        <a:prstGeom prst="rect">
          <a:avLst/>
        </a:prstGeom>
      </xdr:spPr>
    </xdr:pic>
    <xdr:clientData/>
  </xdr:twoCellAnchor>
  <xdr:twoCellAnchor editAs="oneCell">
    <xdr:from>
      <xdr:col>4</xdr:col>
      <xdr:colOff>462645</xdr:colOff>
      <xdr:row>107</xdr:row>
      <xdr:rowOff>136071</xdr:rowOff>
    </xdr:from>
    <xdr:to>
      <xdr:col>4</xdr:col>
      <xdr:colOff>1617075</xdr:colOff>
      <xdr:row>107</xdr:row>
      <xdr:rowOff>1352353</xdr:rowOff>
    </xdr:to>
    <xdr:pic>
      <xdr:nvPicPr>
        <xdr:cNvPr id="45" name="Picture 44">
          <a:extLst>
            <a:ext uri="{FF2B5EF4-FFF2-40B4-BE49-F238E27FC236}">
              <a16:creationId xmlns:a16="http://schemas.microsoft.com/office/drawing/2014/main" id="{46064437-A201-4835-B53E-8E3AB909C9E9}"/>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3767820" y="33397371"/>
          <a:ext cx="1143000" cy="1220092"/>
        </a:xfrm>
        <a:prstGeom prst="rect">
          <a:avLst/>
        </a:prstGeom>
      </xdr:spPr>
    </xdr:pic>
    <xdr:clientData/>
  </xdr:twoCellAnchor>
  <xdr:twoCellAnchor editAs="oneCell">
    <xdr:from>
      <xdr:col>4</xdr:col>
      <xdr:colOff>394606</xdr:colOff>
      <xdr:row>108</xdr:row>
      <xdr:rowOff>190501</xdr:rowOff>
    </xdr:from>
    <xdr:to>
      <xdr:col>4</xdr:col>
      <xdr:colOff>1506310</xdr:colOff>
      <xdr:row>108</xdr:row>
      <xdr:rowOff>742663</xdr:rowOff>
    </xdr:to>
    <xdr:pic>
      <xdr:nvPicPr>
        <xdr:cNvPr id="46" name="Picture 45">
          <a:extLst>
            <a:ext uri="{FF2B5EF4-FFF2-40B4-BE49-F238E27FC236}">
              <a16:creationId xmlns:a16="http://schemas.microsoft.com/office/drawing/2014/main" id="{99AA2E4B-0A93-4566-8B97-D817B9DC5629}"/>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3699781" y="34842451"/>
          <a:ext cx="1102179" cy="561687"/>
        </a:xfrm>
        <a:prstGeom prst="rect">
          <a:avLst/>
        </a:prstGeom>
      </xdr:spPr>
    </xdr:pic>
    <xdr:clientData/>
  </xdr:twoCellAnchor>
  <xdr:twoCellAnchor editAs="oneCell">
    <xdr:from>
      <xdr:col>4</xdr:col>
      <xdr:colOff>598714</xdr:colOff>
      <xdr:row>33</xdr:row>
      <xdr:rowOff>204107</xdr:rowOff>
    </xdr:from>
    <xdr:to>
      <xdr:col>4</xdr:col>
      <xdr:colOff>1374323</xdr:colOff>
      <xdr:row>33</xdr:row>
      <xdr:rowOff>686707</xdr:rowOff>
    </xdr:to>
    <xdr:pic>
      <xdr:nvPicPr>
        <xdr:cNvPr id="53" name="Picture 52">
          <a:extLst>
            <a:ext uri="{FF2B5EF4-FFF2-40B4-BE49-F238E27FC236}">
              <a16:creationId xmlns:a16="http://schemas.microsoft.com/office/drawing/2014/main" id="{B91A7F0E-5648-4051-B8BF-8875BE7C6E3A}"/>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3903889" y="20854307"/>
          <a:ext cx="775609" cy="482600"/>
        </a:xfrm>
        <a:prstGeom prst="rect">
          <a:avLst/>
        </a:prstGeom>
      </xdr:spPr>
    </xdr:pic>
    <xdr:clientData/>
  </xdr:twoCellAnchor>
  <xdr:twoCellAnchor editAs="oneCell">
    <xdr:from>
      <xdr:col>4</xdr:col>
      <xdr:colOff>449035</xdr:colOff>
      <xdr:row>116</xdr:row>
      <xdr:rowOff>13608</xdr:rowOff>
    </xdr:from>
    <xdr:to>
      <xdr:col>4</xdr:col>
      <xdr:colOff>1374320</xdr:colOff>
      <xdr:row>116</xdr:row>
      <xdr:rowOff>802822</xdr:rowOff>
    </xdr:to>
    <xdr:pic>
      <xdr:nvPicPr>
        <xdr:cNvPr id="54" name="Picture 53">
          <a:extLst>
            <a:ext uri="{FF2B5EF4-FFF2-40B4-BE49-F238E27FC236}">
              <a16:creationId xmlns:a16="http://schemas.microsoft.com/office/drawing/2014/main" id="{B78C0D02-0F7F-4A8B-A62F-5A2D0B79663E}"/>
            </a:ext>
          </a:extLst>
        </xdr:cNvPr>
        <xdr:cNvPicPr>
          <a:picLocks noChangeAspect="1"/>
        </xdr:cNvPicPr>
      </xdr:nvPicPr>
      <xdr:blipFill rotWithShape="1">
        <a:blip xmlns:r="http://schemas.openxmlformats.org/officeDocument/2006/relationships" r:embed="rId15"/>
        <a:srcRect b="9804"/>
        <a:stretch/>
      </xdr:blipFill>
      <xdr:spPr>
        <a:xfrm>
          <a:off x="3754210" y="38532708"/>
          <a:ext cx="925285" cy="789214"/>
        </a:xfrm>
        <a:prstGeom prst="rect">
          <a:avLst/>
        </a:prstGeom>
      </xdr:spPr>
    </xdr:pic>
    <xdr:clientData/>
  </xdr:twoCellAnchor>
  <xdr:twoCellAnchor editAs="oneCell">
    <xdr:from>
      <xdr:col>4</xdr:col>
      <xdr:colOff>517074</xdr:colOff>
      <xdr:row>115</xdr:row>
      <xdr:rowOff>108857</xdr:rowOff>
    </xdr:from>
    <xdr:to>
      <xdr:col>4</xdr:col>
      <xdr:colOff>1483180</xdr:colOff>
      <xdr:row>115</xdr:row>
      <xdr:rowOff>1082518</xdr:rowOff>
    </xdr:to>
    <xdr:pic>
      <xdr:nvPicPr>
        <xdr:cNvPr id="55" name="Picture 54">
          <a:extLst>
            <a:ext uri="{FF2B5EF4-FFF2-40B4-BE49-F238E27FC236}">
              <a16:creationId xmlns:a16="http://schemas.microsoft.com/office/drawing/2014/main" id="{9F8551CE-CE70-4D88-80AB-4FF8D56C694C}"/>
            </a:ext>
          </a:extLst>
        </xdr:cNvPr>
        <xdr:cNvPicPr>
          <a:picLocks noChangeAspect="1"/>
        </xdr:cNvPicPr>
      </xdr:nvPicPr>
      <xdr:blipFill>
        <a:blip xmlns:r="http://schemas.openxmlformats.org/officeDocument/2006/relationships" r:embed="rId16"/>
        <a:stretch>
          <a:fillRect/>
        </a:stretch>
      </xdr:blipFill>
      <xdr:spPr>
        <a:xfrm>
          <a:off x="3822249" y="36532457"/>
          <a:ext cx="966106" cy="981281"/>
        </a:xfrm>
        <a:prstGeom prst="rect">
          <a:avLst/>
        </a:prstGeom>
      </xdr:spPr>
    </xdr:pic>
    <xdr:clientData/>
  </xdr:twoCellAnchor>
  <xdr:twoCellAnchor editAs="oneCell">
    <xdr:from>
      <xdr:col>4</xdr:col>
      <xdr:colOff>585107</xdr:colOff>
      <xdr:row>117</xdr:row>
      <xdr:rowOff>95250</xdr:rowOff>
    </xdr:from>
    <xdr:to>
      <xdr:col>4</xdr:col>
      <xdr:colOff>1275262</xdr:colOff>
      <xdr:row>117</xdr:row>
      <xdr:rowOff>820239</xdr:rowOff>
    </xdr:to>
    <xdr:pic>
      <xdr:nvPicPr>
        <xdr:cNvPr id="57" name="Picture 56">
          <a:extLst>
            <a:ext uri="{FF2B5EF4-FFF2-40B4-BE49-F238E27FC236}">
              <a16:creationId xmlns:a16="http://schemas.microsoft.com/office/drawing/2014/main" id="{86E46F08-D9AE-4C2C-813E-B0942244E672}"/>
            </a:ext>
          </a:extLst>
        </xdr:cNvPr>
        <xdr:cNvPicPr>
          <a:picLocks noChangeAspect="1"/>
        </xdr:cNvPicPr>
      </xdr:nvPicPr>
      <xdr:blipFill rotWithShape="1">
        <a:blip xmlns:r="http://schemas.openxmlformats.org/officeDocument/2006/relationships" r:embed="rId17">
          <a:extLst>
            <a:ext uri="{28A0092B-C50C-407E-A947-70E740481C1C}">
              <a14:useLocalDpi xmlns:a14="http://schemas.microsoft.com/office/drawing/2010/main" val="0"/>
            </a:ext>
          </a:extLst>
        </a:blip>
        <a:srcRect l="11291" t="8016" r="6451" b="8193"/>
        <a:stretch/>
      </xdr:blipFill>
      <xdr:spPr>
        <a:xfrm>
          <a:off x="3890282" y="39500175"/>
          <a:ext cx="693965" cy="721179"/>
        </a:xfrm>
        <a:prstGeom prst="rect">
          <a:avLst/>
        </a:prstGeom>
      </xdr:spPr>
    </xdr:pic>
    <xdr:clientData/>
  </xdr:twoCellAnchor>
  <xdr:twoCellAnchor editAs="oneCell">
    <xdr:from>
      <xdr:col>4</xdr:col>
      <xdr:colOff>557893</xdr:colOff>
      <xdr:row>118</xdr:row>
      <xdr:rowOff>54427</xdr:rowOff>
    </xdr:from>
    <xdr:to>
      <xdr:col>4</xdr:col>
      <xdr:colOff>1318177</xdr:colOff>
      <xdr:row>118</xdr:row>
      <xdr:rowOff>859426</xdr:rowOff>
    </xdr:to>
    <xdr:pic>
      <xdr:nvPicPr>
        <xdr:cNvPr id="58" name="Picture 57">
          <a:extLst>
            <a:ext uri="{FF2B5EF4-FFF2-40B4-BE49-F238E27FC236}">
              <a16:creationId xmlns:a16="http://schemas.microsoft.com/office/drawing/2014/main" id="{BBDE56FF-848A-462E-9DBE-1AC30C281AA4}"/>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3863068" y="40345177"/>
          <a:ext cx="764094" cy="816429"/>
        </a:xfrm>
        <a:prstGeom prst="rect">
          <a:avLst/>
        </a:prstGeom>
      </xdr:spPr>
    </xdr:pic>
    <xdr:clientData/>
  </xdr:twoCellAnchor>
  <xdr:oneCellAnchor>
    <xdr:from>
      <xdr:col>4</xdr:col>
      <xdr:colOff>422122</xdr:colOff>
      <xdr:row>121</xdr:row>
      <xdr:rowOff>116422</xdr:rowOff>
    </xdr:from>
    <xdr:ext cx="1228877" cy="1261076"/>
    <xdr:pic>
      <xdr:nvPicPr>
        <xdr:cNvPr id="59" name="Picture 58">
          <a:extLst>
            <a:ext uri="{FF2B5EF4-FFF2-40B4-BE49-F238E27FC236}">
              <a16:creationId xmlns:a16="http://schemas.microsoft.com/office/drawing/2014/main" id="{F3244C2C-11C4-464F-A32F-039018AFF26B}"/>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3825722" y="78661689"/>
          <a:ext cx="1228877" cy="1261076"/>
        </a:xfrm>
        <a:prstGeom prst="rect">
          <a:avLst/>
        </a:prstGeom>
      </xdr:spPr>
    </xdr:pic>
    <xdr:clientData/>
  </xdr:oneCellAnchor>
  <xdr:oneCellAnchor>
    <xdr:from>
      <xdr:col>4</xdr:col>
      <xdr:colOff>648341</xdr:colOff>
      <xdr:row>122</xdr:row>
      <xdr:rowOff>193703</xdr:rowOff>
    </xdr:from>
    <xdr:ext cx="583406" cy="380999"/>
    <xdr:pic>
      <xdr:nvPicPr>
        <xdr:cNvPr id="60" name="Picture 59">
          <a:extLst>
            <a:ext uri="{FF2B5EF4-FFF2-40B4-BE49-F238E27FC236}">
              <a16:creationId xmlns:a16="http://schemas.microsoft.com/office/drawing/2014/main" id="{4B3F055F-40FB-4691-B043-2516CEC86BD0}"/>
            </a:ext>
          </a:extLst>
        </xdr:cNvPr>
        <xdr:cNvPicPr>
          <a:picLocks noChangeAspect="1"/>
        </xdr:cNvPicPr>
      </xdr:nvPicPr>
      <xdr:blipFill rotWithShape="1">
        <a:blip xmlns:r="http://schemas.openxmlformats.org/officeDocument/2006/relationships" r:embed="rId20">
          <a:extLst>
            <a:ext uri="{28A0092B-C50C-407E-A947-70E740481C1C}">
              <a14:useLocalDpi xmlns:a14="http://schemas.microsoft.com/office/drawing/2010/main" val="0"/>
            </a:ext>
          </a:extLst>
        </a:blip>
        <a:srcRect t="1" r="10909" b="10573"/>
        <a:stretch/>
      </xdr:blipFill>
      <xdr:spPr>
        <a:xfrm>
          <a:off x="3954076" y="83419791"/>
          <a:ext cx="583406" cy="380999"/>
        </a:xfrm>
        <a:prstGeom prst="rect">
          <a:avLst/>
        </a:prstGeom>
      </xdr:spPr>
    </xdr:pic>
    <xdr:clientData/>
  </xdr:oneCellAnchor>
  <xdr:oneCellAnchor>
    <xdr:from>
      <xdr:col>4</xdr:col>
      <xdr:colOff>650741</xdr:colOff>
      <xdr:row>123</xdr:row>
      <xdr:rowOff>159282</xdr:rowOff>
    </xdr:from>
    <xdr:ext cx="639535" cy="381478"/>
    <xdr:pic>
      <xdr:nvPicPr>
        <xdr:cNvPr id="61" name="Picture 60">
          <a:extLst>
            <a:ext uri="{FF2B5EF4-FFF2-40B4-BE49-F238E27FC236}">
              <a16:creationId xmlns:a16="http://schemas.microsoft.com/office/drawing/2014/main" id="{E6776AEB-D1E3-40DB-80B8-61CB821EAEB9}"/>
            </a:ext>
          </a:extLst>
        </xdr:cNvPr>
        <xdr:cNvPicPr>
          <a:picLocks noChangeAspect="1"/>
        </xdr:cNvPicPr>
      </xdr:nvPicPr>
      <xdr:blipFill rotWithShape="1">
        <a:blip xmlns:r="http://schemas.openxmlformats.org/officeDocument/2006/relationships" r:embed="rId21">
          <a:extLst>
            <a:ext uri="{28A0092B-C50C-407E-A947-70E740481C1C}">
              <a14:useLocalDpi xmlns:a14="http://schemas.microsoft.com/office/drawing/2010/main" val="0"/>
            </a:ext>
          </a:extLst>
        </a:blip>
        <a:srcRect l="23163" t="1984" r="3488" b="30565"/>
        <a:stretch/>
      </xdr:blipFill>
      <xdr:spPr>
        <a:xfrm>
          <a:off x="3956476" y="84012900"/>
          <a:ext cx="639535" cy="381478"/>
        </a:xfrm>
        <a:prstGeom prst="rect">
          <a:avLst/>
        </a:prstGeom>
      </xdr:spPr>
    </xdr:pic>
    <xdr:clientData/>
  </xdr:oneCellAnchor>
  <xdr:twoCellAnchor>
    <xdr:from>
      <xdr:col>4</xdr:col>
      <xdr:colOff>476250</xdr:colOff>
      <xdr:row>20</xdr:row>
      <xdr:rowOff>228600</xdr:rowOff>
    </xdr:from>
    <xdr:to>
      <xdr:col>4</xdr:col>
      <xdr:colOff>1537606</xdr:colOff>
      <xdr:row>20</xdr:row>
      <xdr:rowOff>789316</xdr:rowOff>
    </xdr:to>
    <xdr:pic>
      <xdr:nvPicPr>
        <xdr:cNvPr id="74" name="Picture 73">
          <a:extLst>
            <a:ext uri="{FF2B5EF4-FFF2-40B4-BE49-F238E27FC236}">
              <a16:creationId xmlns:a16="http://schemas.microsoft.com/office/drawing/2014/main" id="{5884BDCC-1951-4DAA-985A-325293F74AD9}"/>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3933825" y="12830175"/>
          <a:ext cx="1061356" cy="560716"/>
        </a:xfrm>
        <a:prstGeom prst="rect">
          <a:avLst/>
        </a:prstGeom>
      </xdr:spPr>
    </xdr:pic>
    <xdr:clientData fLocksWithSheet="0"/>
  </xdr:twoCellAnchor>
  <xdr:oneCellAnchor>
    <xdr:from>
      <xdr:col>4</xdr:col>
      <xdr:colOff>750795</xdr:colOff>
      <xdr:row>134</xdr:row>
      <xdr:rowOff>185700</xdr:rowOff>
    </xdr:from>
    <xdr:ext cx="530678" cy="349245"/>
    <xdr:pic>
      <xdr:nvPicPr>
        <xdr:cNvPr id="77" name="Picture 76">
          <a:extLst>
            <a:ext uri="{FF2B5EF4-FFF2-40B4-BE49-F238E27FC236}">
              <a16:creationId xmlns:a16="http://schemas.microsoft.com/office/drawing/2014/main" id="{C78C417D-5F9D-46F4-97FC-A0F23521629A}"/>
            </a:ext>
          </a:extLst>
        </xdr:cNvPr>
        <xdr:cNvPicPr>
          <a:picLocks noChangeAspect="1"/>
        </xdr:cNvPicPr>
      </xdr:nvPicPr>
      <xdr:blipFill rotWithShape="1">
        <a:blip xmlns:r="http://schemas.openxmlformats.org/officeDocument/2006/relationships" r:embed="rId10">
          <a:extLst>
            <a:ext uri="{28A0092B-C50C-407E-A947-70E740481C1C}">
              <a14:useLocalDpi xmlns:a14="http://schemas.microsoft.com/office/drawing/2010/main" val="0"/>
            </a:ext>
          </a:extLst>
        </a:blip>
        <a:srcRect l="13559" b="16023"/>
        <a:stretch/>
      </xdr:blipFill>
      <xdr:spPr>
        <a:xfrm>
          <a:off x="4056530" y="87804494"/>
          <a:ext cx="530678" cy="349245"/>
        </a:xfrm>
        <a:prstGeom prst="rect">
          <a:avLst/>
        </a:prstGeom>
      </xdr:spPr>
    </xdr:pic>
    <xdr:clientData/>
  </xdr:oneCellAnchor>
  <xdr:oneCellAnchor>
    <xdr:from>
      <xdr:col>4</xdr:col>
      <xdr:colOff>394607</xdr:colOff>
      <xdr:row>47</xdr:row>
      <xdr:rowOff>186268</xdr:rowOff>
    </xdr:from>
    <xdr:ext cx="1188555" cy="631754"/>
    <xdr:pic>
      <xdr:nvPicPr>
        <xdr:cNvPr id="80" name="Picture 79">
          <a:extLst>
            <a:ext uri="{FF2B5EF4-FFF2-40B4-BE49-F238E27FC236}">
              <a16:creationId xmlns:a16="http://schemas.microsoft.com/office/drawing/2014/main" id="{D01C8E4D-E915-470C-B34A-FB1300536B4C}"/>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3798207" y="27305001"/>
          <a:ext cx="1188555" cy="631754"/>
        </a:xfrm>
        <a:prstGeom prst="rect">
          <a:avLst/>
        </a:prstGeom>
      </xdr:spPr>
    </xdr:pic>
    <xdr:clientData/>
  </xdr:oneCellAnchor>
  <xdr:oneCellAnchor>
    <xdr:from>
      <xdr:col>4</xdr:col>
      <xdr:colOff>518583</xdr:colOff>
      <xdr:row>48</xdr:row>
      <xdr:rowOff>41125</xdr:rowOff>
    </xdr:from>
    <xdr:ext cx="886883" cy="591255"/>
    <xdr:pic>
      <xdr:nvPicPr>
        <xdr:cNvPr id="81" name="Picture 80">
          <a:extLst>
            <a:ext uri="{FF2B5EF4-FFF2-40B4-BE49-F238E27FC236}">
              <a16:creationId xmlns:a16="http://schemas.microsoft.com/office/drawing/2014/main" id="{D49FFD7F-7B69-474A-9F63-7CAF8457E449}"/>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3922183" y="27066725"/>
          <a:ext cx="886883" cy="591255"/>
        </a:xfrm>
        <a:prstGeom prst="rect">
          <a:avLst/>
        </a:prstGeom>
      </xdr:spPr>
    </xdr:pic>
    <xdr:clientData/>
  </xdr:oneCellAnchor>
  <xdr:oneCellAnchor>
    <xdr:from>
      <xdr:col>4</xdr:col>
      <xdr:colOff>421820</xdr:colOff>
      <xdr:row>39</xdr:row>
      <xdr:rowOff>263434</xdr:rowOff>
    </xdr:from>
    <xdr:ext cx="1156608" cy="508509"/>
    <xdr:pic>
      <xdr:nvPicPr>
        <xdr:cNvPr id="4" name="Picture 81">
          <a:extLst>
            <a:ext uri="{FF2B5EF4-FFF2-40B4-BE49-F238E27FC236}">
              <a16:creationId xmlns:a16="http://schemas.microsoft.com/office/drawing/2014/main" id="{C1606BE7-7601-4D16-AF2F-0BC77AEC2E5B}"/>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3820340" y="22849114"/>
          <a:ext cx="1156608" cy="508509"/>
        </a:xfrm>
        <a:prstGeom prst="rect">
          <a:avLst/>
        </a:prstGeom>
      </xdr:spPr>
    </xdr:pic>
    <xdr:clientData/>
  </xdr:oneCellAnchor>
  <xdr:oneCellAnchor>
    <xdr:from>
      <xdr:col>4</xdr:col>
      <xdr:colOff>608995</xdr:colOff>
      <xdr:row>40</xdr:row>
      <xdr:rowOff>49894</xdr:rowOff>
    </xdr:from>
    <xdr:ext cx="830035" cy="538402"/>
    <xdr:pic>
      <xdr:nvPicPr>
        <xdr:cNvPr id="83" name="Picture 82">
          <a:extLst>
            <a:ext uri="{FF2B5EF4-FFF2-40B4-BE49-F238E27FC236}">
              <a16:creationId xmlns:a16="http://schemas.microsoft.com/office/drawing/2014/main" id="{89005B3E-06AB-40FA-9F65-2DBBE19BB247}"/>
            </a:ext>
          </a:extLst>
        </xdr:cNvPr>
        <xdr:cNvPicPr>
          <a:picLocks noChangeAspect="1"/>
        </xdr:cNvPicPr>
      </xdr:nvPicPr>
      <xdr:blipFill rotWithShape="1">
        <a:blip xmlns:r="http://schemas.openxmlformats.org/officeDocument/2006/relationships" r:embed="rId26">
          <a:extLst>
            <a:ext uri="{28A0092B-C50C-407E-A947-70E740481C1C}">
              <a14:useLocalDpi xmlns:a14="http://schemas.microsoft.com/office/drawing/2010/main" val="0"/>
            </a:ext>
          </a:extLst>
        </a:blip>
        <a:srcRect r="-2415" b="12727"/>
        <a:stretch/>
      </xdr:blipFill>
      <xdr:spPr>
        <a:xfrm>
          <a:off x="4012595" y="22926827"/>
          <a:ext cx="830035" cy="538402"/>
        </a:xfrm>
        <a:prstGeom prst="rect">
          <a:avLst/>
        </a:prstGeom>
      </xdr:spPr>
    </xdr:pic>
    <xdr:clientData/>
  </xdr:oneCellAnchor>
  <xdr:oneCellAnchor>
    <xdr:from>
      <xdr:col>4</xdr:col>
      <xdr:colOff>476251</xdr:colOff>
      <xdr:row>86</xdr:row>
      <xdr:rowOff>228600</xdr:rowOff>
    </xdr:from>
    <xdr:ext cx="1143445" cy="531665"/>
    <xdr:pic>
      <xdr:nvPicPr>
        <xdr:cNvPr id="94" name="Picture 93">
          <a:extLst>
            <a:ext uri="{FF2B5EF4-FFF2-40B4-BE49-F238E27FC236}">
              <a16:creationId xmlns:a16="http://schemas.microsoft.com/office/drawing/2014/main" id="{A96C7106-DC26-4C5A-AAFE-A5348A172E2D}"/>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tretch>
          <a:fillRect/>
        </a:stretch>
      </xdr:blipFill>
      <xdr:spPr>
        <a:xfrm>
          <a:off x="3879851" y="49106667"/>
          <a:ext cx="1143445" cy="531665"/>
        </a:xfrm>
        <a:prstGeom prst="rect">
          <a:avLst/>
        </a:prstGeom>
      </xdr:spPr>
    </xdr:pic>
    <xdr:clientData/>
  </xdr:oneCellAnchor>
  <xdr:oneCellAnchor>
    <xdr:from>
      <xdr:col>4</xdr:col>
      <xdr:colOff>381001</xdr:colOff>
      <xdr:row>69</xdr:row>
      <xdr:rowOff>190500</xdr:rowOff>
    </xdr:from>
    <xdr:ext cx="1156605" cy="578303"/>
    <xdr:pic>
      <xdr:nvPicPr>
        <xdr:cNvPr id="102" name="Picture 101">
          <a:extLst>
            <a:ext uri="{FF2B5EF4-FFF2-40B4-BE49-F238E27FC236}">
              <a16:creationId xmlns:a16="http://schemas.microsoft.com/office/drawing/2014/main" id="{86F8EBE3-2113-4453-A76D-39A51E12305F}"/>
            </a:ext>
          </a:extLst>
        </xdr:cNvPr>
        <xdr:cNvPicPr>
          <a:picLocks noChangeAspect="1"/>
        </xdr:cNvPicPr>
      </xdr:nvPicPr>
      <xdr:blipFill rotWithShape="1">
        <a:blip xmlns:r="http://schemas.openxmlformats.org/officeDocument/2006/relationships" r:embed="rId28">
          <a:extLst>
            <a:ext uri="{28A0092B-C50C-407E-A947-70E740481C1C}">
              <a14:useLocalDpi xmlns:a14="http://schemas.microsoft.com/office/drawing/2010/main" val="0"/>
            </a:ext>
          </a:extLst>
        </a:blip>
        <a:srcRect t="1" r="8000" b="-5143"/>
        <a:stretch/>
      </xdr:blipFill>
      <xdr:spPr>
        <a:xfrm>
          <a:off x="3686736" y="83663118"/>
          <a:ext cx="1156605" cy="578303"/>
        </a:xfrm>
        <a:prstGeom prst="rect">
          <a:avLst/>
        </a:prstGeom>
      </xdr:spPr>
    </xdr:pic>
    <xdr:clientData/>
  </xdr:oneCellAnchor>
  <xdr:twoCellAnchor editAs="oneCell">
    <xdr:from>
      <xdr:col>4</xdr:col>
      <xdr:colOff>439821</xdr:colOff>
      <xdr:row>8</xdr:row>
      <xdr:rowOff>50800</xdr:rowOff>
    </xdr:from>
    <xdr:to>
      <xdr:col>4</xdr:col>
      <xdr:colOff>1622218</xdr:colOff>
      <xdr:row>8</xdr:row>
      <xdr:rowOff>822189</xdr:rowOff>
    </xdr:to>
    <xdr:pic>
      <xdr:nvPicPr>
        <xdr:cNvPr id="19" name="Picture 18">
          <a:extLst>
            <a:ext uri="{FF2B5EF4-FFF2-40B4-BE49-F238E27FC236}">
              <a16:creationId xmlns:a16="http://schemas.microsoft.com/office/drawing/2014/main" id="{96C3ECAF-64C8-49E6-8A23-EDD0C121D2C4}"/>
            </a:ext>
          </a:extLst>
        </xdr:cNvPr>
        <xdr:cNvPicPr>
          <a:picLocks noChangeAspect="1"/>
        </xdr:cNvPicPr>
      </xdr:nvPicPr>
      <xdr:blipFill>
        <a:blip xmlns:r="http://schemas.openxmlformats.org/officeDocument/2006/relationships" r:embed="rId29"/>
        <a:stretch>
          <a:fillRect/>
        </a:stretch>
      </xdr:blipFill>
      <xdr:spPr>
        <a:xfrm>
          <a:off x="3843421" y="3064933"/>
          <a:ext cx="1191922" cy="780914"/>
        </a:xfrm>
        <a:prstGeom prst="rect">
          <a:avLst/>
        </a:prstGeom>
      </xdr:spPr>
    </xdr:pic>
    <xdr:clientData/>
  </xdr:twoCellAnchor>
  <xdr:twoCellAnchor editAs="oneCell">
    <xdr:from>
      <xdr:col>4</xdr:col>
      <xdr:colOff>331530</xdr:colOff>
      <xdr:row>9</xdr:row>
      <xdr:rowOff>127000</xdr:rowOff>
    </xdr:from>
    <xdr:to>
      <xdr:col>4</xdr:col>
      <xdr:colOff>1581171</xdr:colOff>
      <xdr:row>9</xdr:row>
      <xdr:rowOff>822219</xdr:rowOff>
    </xdr:to>
    <xdr:pic>
      <xdr:nvPicPr>
        <xdr:cNvPr id="20" name="Picture 19">
          <a:extLst>
            <a:ext uri="{FF2B5EF4-FFF2-40B4-BE49-F238E27FC236}">
              <a16:creationId xmlns:a16="http://schemas.microsoft.com/office/drawing/2014/main" id="{693AA1E5-2EA1-4CA3-817E-564114BBF5C4}"/>
            </a:ext>
          </a:extLst>
        </xdr:cNvPr>
        <xdr:cNvPicPr>
          <a:picLocks noChangeAspect="1"/>
        </xdr:cNvPicPr>
      </xdr:nvPicPr>
      <xdr:blipFill>
        <a:blip xmlns:r="http://schemas.openxmlformats.org/officeDocument/2006/relationships" r:embed="rId30"/>
        <a:stretch>
          <a:fillRect/>
        </a:stretch>
      </xdr:blipFill>
      <xdr:spPr>
        <a:xfrm>
          <a:off x="3735130" y="4021667"/>
          <a:ext cx="1242021" cy="695219"/>
        </a:xfrm>
        <a:prstGeom prst="rect">
          <a:avLst/>
        </a:prstGeom>
      </xdr:spPr>
    </xdr:pic>
    <xdr:clientData/>
  </xdr:twoCellAnchor>
  <xdr:twoCellAnchor editAs="oneCell">
    <xdr:from>
      <xdr:col>4</xdr:col>
      <xdr:colOff>550057</xdr:colOff>
      <xdr:row>12</xdr:row>
      <xdr:rowOff>101600</xdr:rowOff>
    </xdr:from>
    <xdr:to>
      <xdr:col>4</xdr:col>
      <xdr:colOff>1316639</xdr:colOff>
      <xdr:row>12</xdr:row>
      <xdr:rowOff>1295181</xdr:rowOff>
    </xdr:to>
    <xdr:pic>
      <xdr:nvPicPr>
        <xdr:cNvPr id="21" name="Picture 20">
          <a:extLst>
            <a:ext uri="{FF2B5EF4-FFF2-40B4-BE49-F238E27FC236}">
              <a16:creationId xmlns:a16="http://schemas.microsoft.com/office/drawing/2014/main" id="{BC1C4C81-22D9-41E3-AB33-26CC719E86AC}"/>
            </a:ext>
          </a:extLst>
        </xdr:cNvPr>
        <xdr:cNvPicPr>
          <a:picLocks noChangeAspect="1"/>
        </xdr:cNvPicPr>
      </xdr:nvPicPr>
      <xdr:blipFill>
        <a:blip xmlns:r="http://schemas.openxmlformats.org/officeDocument/2006/relationships" r:embed="rId31"/>
        <a:stretch>
          <a:fillRect/>
        </a:stretch>
      </xdr:blipFill>
      <xdr:spPr>
        <a:xfrm>
          <a:off x="3953657" y="5266267"/>
          <a:ext cx="758962" cy="1193581"/>
        </a:xfrm>
        <a:prstGeom prst="rect">
          <a:avLst/>
        </a:prstGeom>
      </xdr:spPr>
    </xdr:pic>
    <xdr:clientData/>
  </xdr:twoCellAnchor>
  <xdr:twoCellAnchor editAs="oneCell">
    <xdr:from>
      <xdr:col>4</xdr:col>
      <xdr:colOff>388206</xdr:colOff>
      <xdr:row>13</xdr:row>
      <xdr:rowOff>101600</xdr:rowOff>
    </xdr:from>
    <xdr:to>
      <xdr:col>4</xdr:col>
      <xdr:colOff>1578848</xdr:colOff>
      <xdr:row>13</xdr:row>
      <xdr:rowOff>819038</xdr:rowOff>
    </xdr:to>
    <xdr:pic>
      <xdr:nvPicPr>
        <xdr:cNvPr id="22" name="Picture 21">
          <a:extLst>
            <a:ext uri="{FF2B5EF4-FFF2-40B4-BE49-F238E27FC236}">
              <a16:creationId xmlns:a16="http://schemas.microsoft.com/office/drawing/2014/main" id="{018CD002-1962-4955-99C1-7BEFF8B2AFFD}"/>
            </a:ext>
          </a:extLst>
        </xdr:cNvPr>
        <xdr:cNvPicPr>
          <a:picLocks noChangeAspect="1"/>
        </xdr:cNvPicPr>
      </xdr:nvPicPr>
      <xdr:blipFill>
        <a:blip xmlns:r="http://schemas.openxmlformats.org/officeDocument/2006/relationships" r:embed="rId32"/>
        <a:stretch>
          <a:fillRect/>
        </a:stretch>
      </xdr:blipFill>
      <xdr:spPr>
        <a:xfrm>
          <a:off x="3791806" y="6663267"/>
          <a:ext cx="1190642" cy="717438"/>
        </a:xfrm>
        <a:prstGeom prst="rect">
          <a:avLst/>
        </a:prstGeom>
      </xdr:spPr>
    </xdr:pic>
    <xdr:clientData/>
  </xdr:twoCellAnchor>
  <xdr:twoCellAnchor editAs="oneCell">
    <xdr:from>
      <xdr:col>4</xdr:col>
      <xdr:colOff>693885</xdr:colOff>
      <xdr:row>16</xdr:row>
      <xdr:rowOff>42332</xdr:rowOff>
    </xdr:from>
    <xdr:to>
      <xdr:col>4</xdr:col>
      <xdr:colOff>1621946</xdr:colOff>
      <xdr:row>16</xdr:row>
      <xdr:rowOff>1430019</xdr:rowOff>
    </xdr:to>
    <xdr:pic>
      <xdr:nvPicPr>
        <xdr:cNvPr id="23" name="Picture 22">
          <a:extLst>
            <a:ext uri="{FF2B5EF4-FFF2-40B4-BE49-F238E27FC236}">
              <a16:creationId xmlns:a16="http://schemas.microsoft.com/office/drawing/2014/main" id="{7DAFDF3D-93D2-4CA0-A882-949635F57FBF}"/>
            </a:ext>
          </a:extLst>
        </xdr:cNvPr>
        <xdr:cNvPicPr>
          <a:picLocks noChangeAspect="1"/>
        </xdr:cNvPicPr>
      </xdr:nvPicPr>
      <xdr:blipFill>
        <a:blip xmlns:r="http://schemas.openxmlformats.org/officeDocument/2006/relationships" r:embed="rId33"/>
        <a:stretch>
          <a:fillRect/>
        </a:stretch>
      </xdr:blipFill>
      <xdr:spPr>
        <a:xfrm>
          <a:off x="4097485" y="7857065"/>
          <a:ext cx="933776" cy="1380067"/>
        </a:xfrm>
        <a:prstGeom prst="rect">
          <a:avLst/>
        </a:prstGeom>
      </xdr:spPr>
    </xdr:pic>
    <xdr:clientData/>
  </xdr:twoCellAnchor>
  <xdr:twoCellAnchor editAs="oneCell">
    <xdr:from>
      <xdr:col>4</xdr:col>
      <xdr:colOff>431801</xdr:colOff>
      <xdr:row>17</xdr:row>
      <xdr:rowOff>101599</xdr:rowOff>
    </xdr:from>
    <xdr:to>
      <xdr:col>4</xdr:col>
      <xdr:colOff>1698465</xdr:colOff>
      <xdr:row>17</xdr:row>
      <xdr:rowOff>781896</xdr:rowOff>
    </xdr:to>
    <xdr:pic>
      <xdr:nvPicPr>
        <xdr:cNvPr id="26" name="Picture 25">
          <a:extLst>
            <a:ext uri="{FF2B5EF4-FFF2-40B4-BE49-F238E27FC236}">
              <a16:creationId xmlns:a16="http://schemas.microsoft.com/office/drawing/2014/main" id="{DCD2E69B-AA41-429A-B0AF-C0765CF53F0A}"/>
            </a:ext>
          </a:extLst>
        </xdr:cNvPr>
        <xdr:cNvPicPr>
          <a:picLocks noChangeAspect="1"/>
        </xdr:cNvPicPr>
      </xdr:nvPicPr>
      <xdr:blipFill>
        <a:blip xmlns:r="http://schemas.openxmlformats.org/officeDocument/2006/relationships" r:embed="rId34"/>
        <a:stretch>
          <a:fillRect/>
        </a:stretch>
      </xdr:blipFill>
      <xdr:spPr>
        <a:xfrm>
          <a:off x="3835401" y="9381066"/>
          <a:ext cx="1259044" cy="668867"/>
        </a:xfrm>
        <a:prstGeom prst="rect">
          <a:avLst/>
        </a:prstGeom>
      </xdr:spPr>
    </xdr:pic>
    <xdr:clientData/>
  </xdr:twoCellAnchor>
  <xdr:twoCellAnchor editAs="oneCell">
    <xdr:from>
      <xdr:col>4</xdr:col>
      <xdr:colOff>421365</xdr:colOff>
      <xdr:row>18</xdr:row>
      <xdr:rowOff>84667</xdr:rowOff>
    </xdr:from>
    <xdr:to>
      <xdr:col>4</xdr:col>
      <xdr:colOff>1657774</xdr:colOff>
      <xdr:row>18</xdr:row>
      <xdr:rowOff>799093</xdr:rowOff>
    </xdr:to>
    <xdr:pic>
      <xdr:nvPicPr>
        <xdr:cNvPr id="27" name="Picture 26">
          <a:extLst>
            <a:ext uri="{FF2B5EF4-FFF2-40B4-BE49-F238E27FC236}">
              <a16:creationId xmlns:a16="http://schemas.microsoft.com/office/drawing/2014/main" id="{3CFEB6C6-9750-4B08-AE88-7B65B5AD6FA1}"/>
            </a:ext>
          </a:extLst>
        </xdr:cNvPr>
        <xdr:cNvPicPr>
          <a:picLocks noChangeAspect="1"/>
        </xdr:cNvPicPr>
      </xdr:nvPicPr>
      <xdr:blipFill>
        <a:blip xmlns:r="http://schemas.openxmlformats.org/officeDocument/2006/relationships" r:embed="rId35"/>
        <a:stretch>
          <a:fillRect/>
        </a:stretch>
      </xdr:blipFill>
      <xdr:spPr>
        <a:xfrm>
          <a:off x="3824965" y="10253134"/>
          <a:ext cx="1221169" cy="714426"/>
        </a:xfrm>
        <a:prstGeom prst="rect">
          <a:avLst/>
        </a:prstGeom>
      </xdr:spPr>
    </xdr:pic>
    <xdr:clientData/>
  </xdr:twoCellAnchor>
  <xdr:twoCellAnchor editAs="oneCell">
    <xdr:from>
      <xdr:col>4</xdr:col>
      <xdr:colOff>550333</xdr:colOff>
      <xdr:row>19</xdr:row>
      <xdr:rowOff>76200</xdr:rowOff>
    </xdr:from>
    <xdr:to>
      <xdr:col>4</xdr:col>
      <xdr:colOff>1463308</xdr:colOff>
      <xdr:row>19</xdr:row>
      <xdr:rowOff>820296</xdr:rowOff>
    </xdr:to>
    <xdr:pic>
      <xdr:nvPicPr>
        <xdr:cNvPr id="28" name="Picture 27">
          <a:extLst>
            <a:ext uri="{FF2B5EF4-FFF2-40B4-BE49-F238E27FC236}">
              <a16:creationId xmlns:a16="http://schemas.microsoft.com/office/drawing/2014/main" id="{15198BBB-04F3-41FB-8C81-19A52434E4BE}"/>
            </a:ext>
          </a:extLst>
        </xdr:cNvPr>
        <xdr:cNvPicPr>
          <a:picLocks noChangeAspect="1"/>
        </xdr:cNvPicPr>
      </xdr:nvPicPr>
      <xdr:blipFill>
        <a:blip xmlns:r="http://schemas.openxmlformats.org/officeDocument/2006/relationships" r:embed="rId36"/>
        <a:stretch>
          <a:fillRect/>
        </a:stretch>
      </xdr:blipFill>
      <xdr:spPr>
        <a:xfrm>
          <a:off x="3953933" y="11125200"/>
          <a:ext cx="920595" cy="736476"/>
        </a:xfrm>
        <a:prstGeom prst="rect">
          <a:avLst/>
        </a:prstGeom>
      </xdr:spPr>
    </xdr:pic>
    <xdr:clientData/>
  </xdr:twoCellAnchor>
  <xdr:twoCellAnchor editAs="oneCell">
    <xdr:from>
      <xdr:col>4</xdr:col>
      <xdr:colOff>457200</xdr:colOff>
      <xdr:row>27</xdr:row>
      <xdr:rowOff>43087</xdr:rowOff>
    </xdr:from>
    <xdr:to>
      <xdr:col>4</xdr:col>
      <xdr:colOff>1583267</xdr:colOff>
      <xdr:row>27</xdr:row>
      <xdr:rowOff>818303</xdr:rowOff>
    </xdr:to>
    <xdr:pic>
      <xdr:nvPicPr>
        <xdr:cNvPr id="29" name="Picture 28">
          <a:extLst>
            <a:ext uri="{FF2B5EF4-FFF2-40B4-BE49-F238E27FC236}">
              <a16:creationId xmlns:a16="http://schemas.microsoft.com/office/drawing/2014/main" id="{3DFC4AFF-1615-4A36-AC42-B58E0225DDC9}"/>
            </a:ext>
          </a:extLst>
        </xdr:cNvPr>
        <xdr:cNvPicPr>
          <a:picLocks noChangeAspect="1"/>
        </xdr:cNvPicPr>
      </xdr:nvPicPr>
      <xdr:blipFill rotWithShape="1">
        <a:blip xmlns:r="http://schemas.openxmlformats.org/officeDocument/2006/relationships" r:embed="rId37"/>
        <a:srcRect b="11918"/>
        <a:stretch/>
      </xdr:blipFill>
      <xdr:spPr>
        <a:xfrm>
          <a:off x="3860800" y="13979220"/>
          <a:ext cx="1126067" cy="786646"/>
        </a:xfrm>
        <a:prstGeom prst="rect">
          <a:avLst/>
        </a:prstGeom>
      </xdr:spPr>
    </xdr:pic>
    <xdr:clientData/>
  </xdr:twoCellAnchor>
  <xdr:twoCellAnchor editAs="oneCell">
    <xdr:from>
      <xdr:col>4</xdr:col>
      <xdr:colOff>408343</xdr:colOff>
      <xdr:row>29</xdr:row>
      <xdr:rowOff>59267</xdr:rowOff>
    </xdr:from>
    <xdr:to>
      <xdr:col>4</xdr:col>
      <xdr:colOff>1542027</xdr:colOff>
      <xdr:row>29</xdr:row>
      <xdr:rowOff>895008</xdr:rowOff>
    </xdr:to>
    <xdr:pic>
      <xdr:nvPicPr>
        <xdr:cNvPr id="31" name="Picture 30">
          <a:extLst>
            <a:ext uri="{FF2B5EF4-FFF2-40B4-BE49-F238E27FC236}">
              <a16:creationId xmlns:a16="http://schemas.microsoft.com/office/drawing/2014/main" id="{FE6B5775-D761-4E43-9A57-7767916E6725}"/>
            </a:ext>
          </a:extLst>
        </xdr:cNvPr>
        <xdr:cNvPicPr>
          <a:picLocks noChangeAspect="1"/>
        </xdr:cNvPicPr>
      </xdr:nvPicPr>
      <xdr:blipFill>
        <a:blip xmlns:r="http://schemas.openxmlformats.org/officeDocument/2006/relationships" r:embed="rId38"/>
        <a:stretch>
          <a:fillRect/>
        </a:stretch>
      </xdr:blipFill>
      <xdr:spPr>
        <a:xfrm>
          <a:off x="3811943" y="15824200"/>
          <a:ext cx="1145114" cy="843361"/>
        </a:xfrm>
        <a:prstGeom prst="rect">
          <a:avLst/>
        </a:prstGeom>
      </xdr:spPr>
    </xdr:pic>
    <xdr:clientData/>
  </xdr:twoCellAnchor>
  <xdr:twoCellAnchor editAs="oneCell">
    <xdr:from>
      <xdr:col>4</xdr:col>
      <xdr:colOff>415599</xdr:colOff>
      <xdr:row>30</xdr:row>
      <xdr:rowOff>93133</xdr:rowOff>
    </xdr:from>
    <xdr:to>
      <xdr:col>4</xdr:col>
      <xdr:colOff>1579914</xdr:colOff>
      <xdr:row>30</xdr:row>
      <xdr:rowOff>894379</xdr:rowOff>
    </xdr:to>
    <xdr:pic>
      <xdr:nvPicPr>
        <xdr:cNvPr id="32" name="Picture 31">
          <a:extLst>
            <a:ext uri="{FF2B5EF4-FFF2-40B4-BE49-F238E27FC236}">
              <a16:creationId xmlns:a16="http://schemas.microsoft.com/office/drawing/2014/main" id="{DEB6EB22-F6BE-4926-B85E-FCAE980472A9}"/>
            </a:ext>
          </a:extLst>
        </xdr:cNvPr>
        <xdr:cNvPicPr>
          <a:picLocks noChangeAspect="1"/>
        </xdr:cNvPicPr>
      </xdr:nvPicPr>
      <xdr:blipFill>
        <a:blip xmlns:r="http://schemas.openxmlformats.org/officeDocument/2006/relationships" r:embed="rId39"/>
        <a:stretch>
          <a:fillRect/>
        </a:stretch>
      </xdr:blipFill>
      <xdr:spPr>
        <a:xfrm>
          <a:off x="3819199" y="16814800"/>
          <a:ext cx="1164315" cy="812676"/>
        </a:xfrm>
        <a:prstGeom prst="rect">
          <a:avLst/>
        </a:prstGeom>
      </xdr:spPr>
    </xdr:pic>
    <xdr:clientData/>
  </xdr:twoCellAnchor>
  <xdr:twoCellAnchor editAs="oneCell">
    <xdr:from>
      <xdr:col>4</xdr:col>
      <xdr:colOff>435609</xdr:colOff>
      <xdr:row>38</xdr:row>
      <xdr:rowOff>20449</xdr:rowOff>
    </xdr:from>
    <xdr:to>
      <xdr:col>4</xdr:col>
      <xdr:colOff>1579911</xdr:colOff>
      <xdr:row>38</xdr:row>
      <xdr:rowOff>789623</xdr:rowOff>
    </xdr:to>
    <xdr:pic>
      <xdr:nvPicPr>
        <xdr:cNvPr id="5" name="Picture 32">
          <a:extLst>
            <a:ext uri="{FF2B5EF4-FFF2-40B4-BE49-F238E27FC236}">
              <a16:creationId xmlns:a16="http://schemas.microsoft.com/office/drawing/2014/main" id="{20051CBD-BEC4-4602-BB52-E90726AD681B}"/>
            </a:ext>
          </a:extLst>
        </xdr:cNvPr>
        <xdr:cNvPicPr>
          <a:picLocks noChangeAspect="1"/>
        </xdr:cNvPicPr>
      </xdr:nvPicPr>
      <xdr:blipFill>
        <a:blip xmlns:r="http://schemas.openxmlformats.org/officeDocument/2006/relationships" r:embed="rId40"/>
        <a:stretch>
          <a:fillRect/>
        </a:stretch>
      </xdr:blipFill>
      <xdr:spPr>
        <a:xfrm>
          <a:off x="3834129" y="21790789"/>
          <a:ext cx="1148112" cy="771079"/>
        </a:xfrm>
        <a:prstGeom prst="rect">
          <a:avLst/>
        </a:prstGeom>
      </xdr:spPr>
    </xdr:pic>
    <xdr:clientData/>
  </xdr:twoCellAnchor>
  <xdr:twoCellAnchor editAs="oneCell">
    <xdr:from>
      <xdr:col>4</xdr:col>
      <xdr:colOff>352514</xdr:colOff>
      <xdr:row>46</xdr:row>
      <xdr:rowOff>33867</xdr:rowOff>
    </xdr:from>
    <xdr:to>
      <xdr:col>4</xdr:col>
      <xdr:colOff>1539695</xdr:colOff>
      <xdr:row>46</xdr:row>
      <xdr:rowOff>875115</xdr:rowOff>
    </xdr:to>
    <xdr:pic>
      <xdr:nvPicPr>
        <xdr:cNvPr id="34" name="Picture 33">
          <a:extLst>
            <a:ext uri="{FF2B5EF4-FFF2-40B4-BE49-F238E27FC236}">
              <a16:creationId xmlns:a16="http://schemas.microsoft.com/office/drawing/2014/main" id="{3BEE08F0-9D53-4A42-ACFB-1E3B4160214B}"/>
            </a:ext>
          </a:extLst>
        </xdr:cNvPr>
        <xdr:cNvPicPr>
          <a:picLocks noChangeAspect="1"/>
        </xdr:cNvPicPr>
      </xdr:nvPicPr>
      <xdr:blipFill>
        <a:blip xmlns:r="http://schemas.openxmlformats.org/officeDocument/2006/relationships" r:embed="rId41"/>
        <a:stretch>
          <a:fillRect/>
        </a:stretch>
      </xdr:blipFill>
      <xdr:spPr>
        <a:xfrm>
          <a:off x="3756114" y="26272067"/>
          <a:ext cx="1187181" cy="841248"/>
        </a:xfrm>
        <a:prstGeom prst="rect">
          <a:avLst/>
        </a:prstGeom>
      </xdr:spPr>
    </xdr:pic>
    <xdr:clientData/>
  </xdr:twoCellAnchor>
  <xdr:twoCellAnchor editAs="oneCell">
    <xdr:from>
      <xdr:col>4</xdr:col>
      <xdr:colOff>321732</xdr:colOff>
      <xdr:row>70</xdr:row>
      <xdr:rowOff>81247</xdr:rowOff>
    </xdr:from>
    <xdr:to>
      <xdr:col>4</xdr:col>
      <xdr:colOff>1640637</xdr:colOff>
      <xdr:row>70</xdr:row>
      <xdr:rowOff>745067</xdr:rowOff>
    </xdr:to>
    <xdr:pic>
      <xdr:nvPicPr>
        <xdr:cNvPr id="35" name="Picture 34">
          <a:extLst>
            <a:ext uri="{FF2B5EF4-FFF2-40B4-BE49-F238E27FC236}">
              <a16:creationId xmlns:a16="http://schemas.microsoft.com/office/drawing/2014/main" id="{D6B6ED89-CB48-49B3-80AF-73ED928BC303}"/>
            </a:ext>
          </a:extLst>
        </xdr:cNvPr>
        <xdr:cNvPicPr>
          <a:picLocks noChangeAspect="1"/>
        </xdr:cNvPicPr>
      </xdr:nvPicPr>
      <xdr:blipFill>
        <a:blip xmlns:r="http://schemas.openxmlformats.org/officeDocument/2006/relationships" r:embed="rId42"/>
        <a:stretch>
          <a:fillRect/>
        </a:stretch>
      </xdr:blipFill>
      <xdr:spPr>
        <a:xfrm>
          <a:off x="3725332" y="38613047"/>
          <a:ext cx="1318905" cy="663820"/>
        </a:xfrm>
        <a:prstGeom prst="rect">
          <a:avLst/>
        </a:prstGeom>
      </xdr:spPr>
    </xdr:pic>
    <xdr:clientData/>
  </xdr:twoCellAnchor>
  <xdr:oneCellAnchor>
    <xdr:from>
      <xdr:col>4</xdr:col>
      <xdr:colOff>414867</xdr:colOff>
      <xdr:row>71</xdr:row>
      <xdr:rowOff>84667</xdr:rowOff>
    </xdr:from>
    <xdr:ext cx="992057" cy="661371"/>
    <xdr:pic>
      <xdr:nvPicPr>
        <xdr:cNvPr id="107" name="Picture 106">
          <a:extLst>
            <a:ext uri="{FF2B5EF4-FFF2-40B4-BE49-F238E27FC236}">
              <a16:creationId xmlns:a16="http://schemas.microsoft.com/office/drawing/2014/main" id="{AEBE4566-D4F1-41FD-919B-95912EBC9A39}"/>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3818467" y="39497000"/>
          <a:ext cx="992057" cy="661371"/>
        </a:xfrm>
        <a:prstGeom prst="rect">
          <a:avLst/>
        </a:prstGeom>
      </xdr:spPr>
    </xdr:pic>
    <xdr:clientData/>
  </xdr:oneCellAnchor>
  <xdr:twoCellAnchor editAs="oneCell">
    <xdr:from>
      <xdr:col>4</xdr:col>
      <xdr:colOff>321733</xdr:colOff>
      <xdr:row>72</xdr:row>
      <xdr:rowOff>50801</xdr:rowOff>
    </xdr:from>
    <xdr:to>
      <xdr:col>4</xdr:col>
      <xdr:colOff>1618827</xdr:colOff>
      <xdr:row>72</xdr:row>
      <xdr:rowOff>746196</xdr:rowOff>
    </xdr:to>
    <xdr:pic>
      <xdr:nvPicPr>
        <xdr:cNvPr id="36" name="Picture 35">
          <a:extLst>
            <a:ext uri="{FF2B5EF4-FFF2-40B4-BE49-F238E27FC236}">
              <a16:creationId xmlns:a16="http://schemas.microsoft.com/office/drawing/2014/main" id="{2E0C4791-CC91-4FC3-9DF2-61015DC7DE86}"/>
            </a:ext>
          </a:extLst>
        </xdr:cNvPr>
        <xdr:cNvPicPr>
          <a:picLocks noChangeAspect="1"/>
        </xdr:cNvPicPr>
      </xdr:nvPicPr>
      <xdr:blipFill>
        <a:blip xmlns:r="http://schemas.openxmlformats.org/officeDocument/2006/relationships" r:embed="rId43"/>
        <a:stretch>
          <a:fillRect/>
        </a:stretch>
      </xdr:blipFill>
      <xdr:spPr>
        <a:xfrm>
          <a:off x="3725333" y="40343668"/>
          <a:ext cx="1312334" cy="701110"/>
        </a:xfrm>
        <a:prstGeom prst="rect">
          <a:avLst/>
        </a:prstGeom>
      </xdr:spPr>
    </xdr:pic>
    <xdr:clientData/>
  </xdr:twoCellAnchor>
  <xdr:twoCellAnchor editAs="oneCell">
    <xdr:from>
      <xdr:col>4</xdr:col>
      <xdr:colOff>409146</xdr:colOff>
      <xdr:row>73</xdr:row>
      <xdr:rowOff>118533</xdr:rowOff>
    </xdr:from>
    <xdr:to>
      <xdr:col>4</xdr:col>
      <xdr:colOff>1616963</xdr:colOff>
      <xdr:row>73</xdr:row>
      <xdr:rowOff>746248</xdr:rowOff>
    </xdr:to>
    <xdr:pic>
      <xdr:nvPicPr>
        <xdr:cNvPr id="37" name="Picture 36">
          <a:extLst>
            <a:ext uri="{FF2B5EF4-FFF2-40B4-BE49-F238E27FC236}">
              <a16:creationId xmlns:a16="http://schemas.microsoft.com/office/drawing/2014/main" id="{4E161FC3-16DF-4076-9E63-B2554FD0BAEB}"/>
            </a:ext>
          </a:extLst>
        </xdr:cNvPr>
        <xdr:cNvPicPr>
          <a:picLocks noChangeAspect="1"/>
        </xdr:cNvPicPr>
      </xdr:nvPicPr>
      <xdr:blipFill>
        <a:blip xmlns:r="http://schemas.openxmlformats.org/officeDocument/2006/relationships" r:embed="rId44"/>
        <a:stretch>
          <a:fillRect/>
        </a:stretch>
      </xdr:blipFill>
      <xdr:spPr>
        <a:xfrm>
          <a:off x="3812746" y="41291933"/>
          <a:ext cx="1198292" cy="620095"/>
        </a:xfrm>
        <a:prstGeom prst="rect">
          <a:avLst/>
        </a:prstGeom>
      </xdr:spPr>
    </xdr:pic>
    <xdr:clientData/>
  </xdr:twoCellAnchor>
  <xdr:twoCellAnchor editAs="oneCell">
    <xdr:from>
      <xdr:col>4</xdr:col>
      <xdr:colOff>372533</xdr:colOff>
      <xdr:row>74</xdr:row>
      <xdr:rowOff>97963</xdr:rowOff>
    </xdr:from>
    <xdr:to>
      <xdr:col>4</xdr:col>
      <xdr:colOff>1621401</xdr:colOff>
      <xdr:row>74</xdr:row>
      <xdr:rowOff>722752</xdr:rowOff>
    </xdr:to>
    <xdr:pic>
      <xdr:nvPicPr>
        <xdr:cNvPr id="38" name="Picture 37">
          <a:extLst>
            <a:ext uri="{FF2B5EF4-FFF2-40B4-BE49-F238E27FC236}">
              <a16:creationId xmlns:a16="http://schemas.microsoft.com/office/drawing/2014/main" id="{C107C8BE-5224-476F-8583-81A70FE2A9D4}"/>
            </a:ext>
          </a:extLst>
        </xdr:cNvPr>
        <xdr:cNvPicPr>
          <a:picLocks noChangeAspect="1"/>
        </xdr:cNvPicPr>
      </xdr:nvPicPr>
      <xdr:blipFill>
        <a:blip xmlns:r="http://schemas.openxmlformats.org/officeDocument/2006/relationships" r:embed="rId45"/>
        <a:stretch>
          <a:fillRect/>
        </a:stretch>
      </xdr:blipFill>
      <xdr:spPr>
        <a:xfrm>
          <a:off x="3776133" y="42151896"/>
          <a:ext cx="1241248" cy="624789"/>
        </a:xfrm>
        <a:prstGeom prst="rect">
          <a:avLst/>
        </a:prstGeom>
      </xdr:spPr>
    </xdr:pic>
    <xdr:clientData/>
  </xdr:twoCellAnchor>
  <xdr:twoCellAnchor editAs="oneCell">
    <xdr:from>
      <xdr:col>4</xdr:col>
      <xdr:colOff>355598</xdr:colOff>
      <xdr:row>75</xdr:row>
      <xdr:rowOff>91003</xdr:rowOff>
    </xdr:from>
    <xdr:to>
      <xdr:col>4</xdr:col>
      <xdr:colOff>1619275</xdr:colOff>
      <xdr:row>75</xdr:row>
      <xdr:rowOff>706877</xdr:rowOff>
    </xdr:to>
    <xdr:pic>
      <xdr:nvPicPr>
        <xdr:cNvPr id="39" name="Picture 38">
          <a:extLst>
            <a:ext uri="{FF2B5EF4-FFF2-40B4-BE49-F238E27FC236}">
              <a16:creationId xmlns:a16="http://schemas.microsoft.com/office/drawing/2014/main" id="{02F265D0-9816-4BCE-8F2B-E5AF841B51BC}"/>
            </a:ext>
          </a:extLst>
        </xdr:cNvPr>
        <xdr:cNvPicPr>
          <a:picLocks noChangeAspect="1"/>
        </xdr:cNvPicPr>
      </xdr:nvPicPr>
      <xdr:blipFill>
        <a:blip xmlns:r="http://schemas.openxmlformats.org/officeDocument/2006/relationships" r:embed="rId46"/>
        <a:stretch>
          <a:fillRect/>
        </a:stretch>
      </xdr:blipFill>
      <xdr:spPr>
        <a:xfrm>
          <a:off x="3759198" y="43025470"/>
          <a:ext cx="1256057" cy="615874"/>
        </a:xfrm>
        <a:prstGeom prst="rect">
          <a:avLst/>
        </a:prstGeom>
      </xdr:spPr>
    </xdr:pic>
    <xdr:clientData/>
  </xdr:twoCellAnchor>
  <xdr:twoCellAnchor editAs="oneCell">
    <xdr:from>
      <xdr:col>4</xdr:col>
      <xdr:colOff>296333</xdr:colOff>
      <xdr:row>76</xdr:row>
      <xdr:rowOff>80926</xdr:rowOff>
    </xdr:from>
    <xdr:to>
      <xdr:col>4</xdr:col>
      <xdr:colOff>1697361</xdr:colOff>
      <xdr:row>76</xdr:row>
      <xdr:rowOff>1013324</xdr:rowOff>
    </xdr:to>
    <xdr:pic>
      <xdr:nvPicPr>
        <xdr:cNvPr id="40" name="Picture 39">
          <a:extLst>
            <a:ext uri="{FF2B5EF4-FFF2-40B4-BE49-F238E27FC236}">
              <a16:creationId xmlns:a16="http://schemas.microsoft.com/office/drawing/2014/main" id="{D7FD86DE-2F3E-4CE3-9CDC-F780F346A984}"/>
            </a:ext>
          </a:extLst>
        </xdr:cNvPr>
        <xdr:cNvPicPr>
          <a:picLocks noChangeAspect="1"/>
        </xdr:cNvPicPr>
      </xdr:nvPicPr>
      <xdr:blipFill>
        <a:blip xmlns:r="http://schemas.openxmlformats.org/officeDocument/2006/relationships" r:embed="rId47"/>
        <a:stretch>
          <a:fillRect/>
        </a:stretch>
      </xdr:blipFill>
      <xdr:spPr>
        <a:xfrm>
          <a:off x="3699933" y="43895926"/>
          <a:ext cx="1401028" cy="928588"/>
        </a:xfrm>
        <a:prstGeom prst="rect">
          <a:avLst/>
        </a:prstGeom>
      </xdr:spPr>
    </xdr:pic>
    <xdr:clientData/>
  </xdr:twoCellAnchor>
  <xdr:twoCellAnchor editAs="oneCell">
    <xdr:from>
      <xdr:col>4</xdr:col>
      <xdr:colOff>355599</xdr:colOff>
      <xdr:row>77</xdr:row>
      <xdr:rowOff>248797</xdr:rowOff>
    </xdr:from>
    <xdr:to>
      <xdr:col>4</xdr:col>
      <xdr:colOff>1716418</xdr:colOff>
      <xdr:row>77</xdr:row>
      <xdr:rowOff>1158743</xdr:rowOff>
    </xdr:to>
    <xdr:pic>
      <xdr:nvPicPr>
        <xdr:cNvPr id="41" name="Picture 40">
          <a:extLst>
            <a:ext uri="{FF2B5EF4-FFF2-40B4-BE49-F238E27FC236}">
              <a16:creationId xmlns:a16="http://schemas.microsoft.com/office/drawing/2014/main" id="{722ECD8F-CE94-49B6-A655-1C6A0BB25E01}"/>
            </a:ext>
          </a:extLst>
        </xdr:cNvPr>
        <xdr:cNvPicPr>
          <a:picLocks noChangeAspect="1"/>
        </xdr:cNvPicPr>
      </xdr:nvPicPr>
      <xdr:blipFill>
        <a:blip xmlns:r="http://schemas.openxmlformats.org/officeDocument/2006/relationships" r:embed="rId48"/>
        <a:stretch>
          <a:fillRect/>
        </a:stretch>
      </xdr:blipFill>
      <xdr:spPr>
        <a:xfrm>
          <a:off x="3759199" y="45164464"/>
          <a:ext cx="1360819" cy="909946"/>
        </a:xfrm>
        <a:prstGeom prst="rect">
          <a:avLst/>
        </a:prstGeom>
      </xdr:spPr>
    </xdr:pic>
    <xdr:clientData/>
  </xdr:twoCellAnchor>
  <xdr:twoCellAnchor editAs="oneCell">
    <xdr:from>
      <xdr:col>4</xdr:col>
      <xdr:colOff>337428</xdr:colOff>
      <xdr:row>78</xdr:row>
      <xdr:rowOff>127000</xdr:rowOff>
    </xdr:from>
    <xdr:to>
      <xdr:col>4</xdr:col>
      <xdr:colOff>1789438</xdr:colOff>
      <xdr:row>78</xdr:row>
      <xdr:rowOff>1165714</xdr:rowOff>
    </xdr:to>
    <xdr:pic>
      <xdr:nvPicPr>
        <xdr:cNvPr id="42" name="Picture 41">
          <a:extLst>
            <a:ext uri="{FF2B5EF4-FFF2-40B4-BE49-F238E27FC236}">
              <a16:creationId xmlns:a16="http://schemas.microsoft.com/office/drawing/2014/main" id="{62EFFABB-1E48-4791-A8C7-5AF864D38167}"/>
            </a:ext>
          </a:extLst>
        </xdr:cNvPr>
        <xdr:cNvPicPr>
          <a:picLocks noChangeAspect="1"/>
        </xdr:cNvPicPr>
      </xdr:nvPicPr>
      <xdr:blipFill>
        <a:blip xmlns:r="http://schemas.openxmlformats.org/officeDocument/2006/relationships" r:embed="rId49"/>
        <a:stretch>
          <a:fillRect/>
        </a:stretch>
      </xdr:blipFill>
      <xdr:spPr>
        <a:xfrm>
          <a:off x="3741028" y="46439667"/>
          <a:ext cx="1452010" cy="1044429"/>
        </a:xfrm>
        <a:prstGeom prst="rect">
          <a:avLst/>
        </a:prstGeom>
      </xdr:spPr>
    </xdr:pic>
    <xdr:clientData/>
  </xdr:twoCellAnchor>
  <xdr:twoCellAnchor editAs="oneCell">
    <xdr:from>
      <xdr:col>4</xdr:col>
      <xdr:colOff>368406</xdr:colOff>
      <xdr:row>87</xdr:row>
      <xdr:rowOff>118534</xdr:rowOff>
    </xdr:from>
    <xdr:to>
      <xdr:col>4</xdr:col>
      <xdr:colOff>1659068</xdr:colOff>
      <xdr:row>87</xdr:row>
      <xdr:rowOff>781802</xdr:rowOff>
    </xdr:to>
    <xdr:pic>
      <xdr:nvPicPr>
        <xdr:cNvPr id="47" name="Picture 46">
          <a:extLst>
            <a:ext uri="{FF2B5EF4-FFF2-40B4-BE49-F238E27FC236}">
              <a16:creationId xmlns:a16="http://schemas.microsoft.com/office/drawing/2014/main" id="{C24062DB-EF33-4EC4-BF47-55BA55FC1550}"/>
            </a:ext>
          </a:extLst>
        </xdr:cNvPr>
        <xdr:cNvPicPr>
          <a:picLocks noChangeAspect="1"/>
        </xdr:cNvPicPr>
      </xdr:nvPicPr>
      <xdr:blipFill>
        <a:blip xmlns:r="http://schemas.openxmlformats.org/officeDocument/2006/relationships" r:embed="rId50"/>
        <a:stretch>
          <a:fillRect/>
        </a:stretch>
      </xdr:blipFill>
      <xdr:spPr>
        <a:xfrm>
          <a:off x="3772006" y="49877134"/>
          <a:ext cx="1279232" cy="651838"/>
        </a:xfrm>
        <a:prstGeom prst="rect">
          <a:avLst/>
        </a:prstGeom>
      </xdr:spPr>
    </xdr:pic>
    <xdr:clientData/>
  </xdr:twoCellAnchor>
  <xdr:twoCellAnchor editAs="oneCell">
    <xdr:from>
      <xdr:col>4</xdr:col>
      <xdr:colOff>592667</xdr:colOff>
      <xdr:row>88</xdr:row>
      <xdr:rowOff>194734</xdr:rowOff>
    </xdr:from>
    <xdr:to>
      <xdr:col>4</xdr:col>
      <xdr:colOff>1259334</xdr:colOff>
      <xdr:row>88</xdr:row>
      <xdr:rowOff>781403</xdr:rowOff>
    </xdr:to>
    <xdr:pic>
      <xdr:nvPicPr>
        <xdr:cNvPr id="48" name="Picture 47">
          <a:extLst>
            <a:ext uri="{FF2B5EF4-FFF2-40B4-BE49-F238E27FC236}">
              <a16:creationId xmlns:a16="http://schemas.microsoft.com/office/drawing/2014/main" id="{57817EB7-738C-4498-84F9-36D66287F683}"/>
            </a:ext>
          </a:extLst>
        </xdr:cNvPr>
        <xdr:cNvPicPr>
          <a:picLocks noChangeAspect="1"/>
        </xdr:cNvPicPr>
      </xdr:nvPicPr>
      <xdr:blipFill>
        <a:blip xmlns:r="http://schemas.openxmlformats.org/officeDocument/2006/relationships" r:embed="rId51"/>
        <a:stretch>
          <a:fillRect/>
        </a:stretch>
      </xdr:blipFill>
      <xdr:spPr>
        <a:xfrm>
          <a:off x="3996267" y="50833867"/>
          <a:ext cx="666667" cy="571429"/>
        </a:xfrm>
        <a:prstGeom prst="rect">
          <a:avLst/>
        </a:prstGeom>
      </xdr:spPr>
    </xdr:pic>
    <xdr:clientData/>
  </xdr:twoCellAnchor>
  <xdr:twoCellAnchor editAs="oneCell">
    <xdr:from>
      <xdr:col>4</xdr:col>
      <xdr:colOff>440267</xdr:colOff>
      <xdr:row>89</xdr:row>
      <xdr:rowOff>94170</xdr:rowOff>
    </xdr:from>
    <xdr:to>
      <xdr:col>4</xdr:col>
      <xdr:colOff>1578647</xdr:colOff>
      <xdr:row>89</xdr:row>
      <xdr:rowOff>702427</xdr:rowOff>
    </xdr:to>
    <xdr:pic>
      <xdr:nvPicPr>
        <xdr:cNvPr id="49" name="Picture 48">
          <a:extLst>
            <a:ext uri="{FF2B5EF4-FFF2-40B4-BE49-F238E27FC236}">
              <a16:creationId xmlns:a16="http://schemas.microsoft.com/office/drawing/2014/main" id="{0192747E-7B6D-4D1E-BB4E-2C46DD809772}"/>
            </a:ext>
          </a:extLst>
        </xdr:cNvPr>
        <xdr:cNvPicPr>
          <a:picLocks noChangeAspect="1"/>
        </xdr:cNvPicPr>
      </xdr:nvPicPr>
      <xdr:blipFill>
        <a:blip xmlns:r="http://schemas.openxmlformats.org/officeDocument/2006/relationships" r:embed="rId52"/>
        <a:stretch>
          <a:fillRect/>
        </a:stretch>
      </xdr:blipFill>
      <xdr:spPr>
        <a:xfrm>
          <a:off x="3843867" y="51613837"/>
          <a:ext cx="1146000" cy="615877"/>
        </a:xfrm>
        <a:prstGeom prst="rect">
          <a:avLst/>
        </a:prstGeom>
      </xdr:spPr>
    </xdr:pic>
    <xdr:clientData/>
  </xdr:twoCellAnchor>
  <xdr:twoCellAnchor editAs="oneCell">
    <xdr:from>
      <xdr:col>4</xdr:col>
      <xdr:colOff>406400</xdr:colOff>
      <xdr:row>90</xdr:row>
      <xdr:rowOff>122902</xdr:rowOff>
    </xdr:from>
    <xdr:to>
      <xdr:col>4</xdr:col>
      <xdr:colOff>1622875</xdr:colOff>
      <xdr:row>90</xdr:row>
      <xdr:rowOff>708570</xdr:rowOff>
    </xdr:to>
    <xdr:pic>
      <xdr:nvPicPr>
        <xdr:cNvPr id="62" name="Picture 61">
          <a:extLst>
            <a:ext uri="{FF2B5EF4-FFF2-40B4-BE49-F238E27FC236}">
              <a16:creationId xmlns:a16="http://schemas.microsoft.com/office/drawing/2014/main" id="{88DE040A-D628-4E0C-B0D6-61860F2B558C}"/>
            </a:ext>
          </a:extLst>
        </xdr:cNvPr>
        <xdr:cNvPicPr>
          <a:picLocks noChangeAspect="1"/>
        </xdr:cNvPicPr>
      </xdr:nvPicPr>
      <xdr:blipFill>
        <a:blip xmlns:r="http://schemas.openxmlformats.org/officeDocument/2006/relationships" r:embed="rId53"/>
        <a:stretch>
          <a:fillRect/>
        </a:stretch>
      </xdr:blipFill>
      <xdr:spPr>
        <a:xfrm>
          <a:off x="3810000" y="52413035"/>
          <a:ext cx="1222190" cy="591383"/>
        </a:xfrm>
        <a:prstGeom prst="rect">
          <a:avLst/>
        </a:prstGeom>
      </xdr:spPr>
    </xdr:pic>
    <xdr:clientData/>
  </xdr:twoCellAnchor>
  <xdr:twoCellAnchor editAs="oneCell">
    <xdr:from>
      <xdr:col>4</xdr:col>
      <xdr:colOff>423333</xdr:colOff>
      <xdr:row>91</xdr:row>
      <xdr:rowOff>79789</xdr:rowOff>
    </xdr:from>
    <xdr:to>
      <xdr:col>4</xdr:col>
      <xdr:colOff>1660980</xdr:colOff>
      <xdr:row>91</xdr:row>
      <xdr:rowOff>704973</xdr:rowOff>
    </xdr:to>
    <xdr:pic>
      <xdr:nvPicPr>
        <xdr:cNvPr id="63" name="Picture 62">
          <a:extLst>
            <a:ext uri="{FF2B5EF4-FFF2-40B4-BE49-F238E27FC236}">
              <a16:creationId xmlns:a16="http://schemas.microsoft.com/office/drawing/2014/main" id="{FDED4243-0DAD-467F-87C0-1268E0781341}"/>
            </a:ext>
          </a:extLst>
        </xdr:cNvPr>
        <xdr:cNvPicPr>
          <a:picLocks noChangeAspect="1"/>
        </xdr:cNvPicPr>
      </xdr:nvPicPr>
      <xdr:blipFill>
        <a:blip xmlns:r="http://schemas.openxmlformats.org/officeDocument/2006/relationships" r:embed="rId54"/>
        <a:stretch>
          <a:fillRect/>
        </a:stretch>
      </xdr:blipFill>
      <xdr:spPr>
        <a:xfrm>
          <a:off x="3826933" y="53174256"/>
          <a:ext cx="1243362" cy="617564"/>
        </a:xfrm>
        <a:prstGeom prst="rect">
          <a:avLst/>
        </a:prstGeom>
      </xdr:spPr>
    </xdr:pic>
    <xdr:clientData/>
  </xdr:twoCellAnchor>
  <xdr:twoCellAnchor editAs="oneCell">
    <xdr:from>
      <xdr:col>4</xdr:col>
      <xdr:colOff>462157</xdr:colOff>
      <xdr:row>92</xdr:row>
      <xdr:rowOff>287867</xdr:rowOff>
    </xdr:from>
    <xdr:to>
      <xdr:col>4</xdr:col>
      <xdr:colOff>1640210</xdr:colOff>
      <xdr:row>92</xdr:row>
      <xdr:rowOff>1126344</xdr:rowOff>
    </xdr:to>
    <xdr:pic>
      <xdr:nvPicPr>
        <xdr:cNvPr id="64" name="Picture 63">
          <a:extLst>
            <a:ext uri="{FF2B5EF4-FFF2-40B4-BE49-F238E27FC236}">
              <a16:creationId xmlns:a16="http://schemas.microsoft.com/office/drawing/2014/main" id="{ED6FE425-50A4-47CD-9DD4-DAEC5A4E5A67}"/>
            </a:ext>
          </a:extLst>
        </xdr:cNvPr>
        <xdr:cNvPicPr>
          <a:picLocks noChangeAspect="1"/>
        </xdr:cNvPicPr>
      </xdr:nvPicPr>
      <xdr:blipFill>
        <a:blip xmlns:r="http://schemas.openxmlformats.org/officeDocument/2006/relationships" r:embed="rId55"/>
        <a:stretch>
          <a:fillRect/>
        </a:stretch>
      </xdr:blipFill>
      <xdr:spPr>
        <a:xfrm>
          <a:off x="3865757" y="54186667"/>
          <a:ext cx="1178053" cy="832762"/>
        </a:xfrm>
        <a:prstGeom prst="rect">
          <a:avLst/>
        </a:prstGeom>
      </xdr:spPr>
    </xdr:pic>
    <xdr:clientData/>
  </xdr:twoCellAnchor>
  <xdr:twoCellAnchor editAs="oneCell">
    <xdr:from>
      <xdr:col>4</xdr:col>
      <xdr:colOff>389466</xdr:colOff>
      <xdr:row>100</xdr:row>
      <xdr:rowOff>32185</xdr:rowOff>
    </xdr:from>
    <xdr:to>
      <xdr:col>4</xdr:col>
      <xdr:colOff>1561913</xdr:colOff>
      <xdr:row>100</xdr:row>
      <xdr:rowOff>896697</xdr:rowOff>
    </xdr:to>
    <xdr:pic>
      <xdr:nvPicPr>
        <xdr:cNvPr id="65" name="Picture 64">
          <a:extLst>
            <a:ext uri="{FF2B5EF4-FFF2-40B4-BE49-F238E27FC236}">
              <a16:creationId xmlns:a16="http://schemas.microsoft.com/office/drawing/2014/main" id="{BF7D5FB1-23D3-4230-A6E1-4F44CDC2C1AB}"/>
            </a:ext>
          </a:extLst>
        </xdr:cNvPr>
        <xdr:cNvPicPr>
          <a:picLocks noChangeAspect="1"/>
        </xdr:cNvPicPr>
      </xdr:nvPicPr>
      <xdr:blipFill>
        <a:blip xmlns:r="http://schemas.openxmlformats.org/officeDocument/2006/relationships" r:embed="rId56"/>
        <a:stretch>
          <a:fillRect/>
        </a:stretch>
      </xdr:blipFill>
      <xdr:spPr>
        <a:xfrm>
          <a:off x="3793066" y="56496385"/>
          <a:ext cx="1172447" cy="849272"/>
        </a:xfrm>
        <a:prstGeom prst="rect">
          <a:avLst/>
        </a:prstGeom>
      </xdr:spPr>
    </xdr:pic>
    <xdr:clientData/>
  </xdr:twoCellAnchor>
  <xdr:twoCellAnchor editAs="oneCell">
    <xdr:from>
      <xdr:col>4</xdr:col>
      <xdr:colOff>333916</xdr:colOff>
      <xdr:row>105</xdr:row>
      <xdr:rowOff>50800</xdr:rowOff>
    </xdr:from>
    <xdr:to>
      <xdr:col>4</xdr:col>
      <xdr:colOff>1622227</xdr:colOff>
      <xdr:row>105</xdr:row>
      <xdr:rowOff>1126113</xdr:rowOff>
    </xdr:to>
    <xdr:pic>
      <xdr:nvPicPr>
        <xdr:cNvPr id="66" name="Picture 65">
          <a:extLst>
            <a:ext uri="{FF2B5EF4-FFF2-40B4-BE49-F238E27FC236}">
              <a16:creationId xmlns:a16="http://schemas.microsoft.com/office/drawing/2014/main" id="{6A24873D-AFCE-4AD9-8AB9-BA360BA213EF}"/>
            </a:ext>
          </a:extLst>
        </xdr:cNvPr>
        <xdr:cNvPicPr>
          <a:picLocks noChangeAspect="1"/>
        </xdr:cNvPicPr>
      </xdr:nvPicPr>
      <xdr:blipFill>
        <a:blip xmlns:r="http://schemas.openxmlformats.org/officeDocument/2006/relationships" r:embed="rId57"/>
        <a:stretch>
          <a:fillRect/>
        </a:stretch>
      </xdr:blipFill>
      <xdr:spPr>
        <a:xfrm>
          <a:off x="3737516" y="70620467"/>
          <a:ext cx="1297836" cy="1086743"/>
        </a:xfrm>
        <a:prstGeom prst="rect">
          <a:avLst/>
        </a:prstGeom>
      </xdr:spPr>
    </xdr:pic>
    <xdr:clientData/>
  </xdr:twoCellAnchor>
  <xdr:twoCellAnchor editAs="oneCell">
    <xdr:from>
      <xdr:col>4</xdr:col>
      <xdr:colOff>364067</xdr:colOff>
      <xdr:row>109</xdr:row>
      <xdr:rowOff>189944</xdr:rowOff>
    </xdr:from>
    <xdr:to>
      <xdr:col>4</xdr:col>
      <xdr:colOff>1600019</xdr:colOff>
      <xdr:row>109</xdr:row>
      <xdr:rowOff>1049953</xdr:rowOff>
    </xdr:to>
    <xdr:pic>
      <xdr:nvPicPr>
        <xdr:cNvPr id="67" name="Picture 66">
          <a:extLst>
            <a:ext uri="{FF2B5EF4-FFF2-40B4-BE49-F238E27FC236}">
              <a16:creationId xmlns:a16="http://schemas.microsoft.com/office/drawing/2014/main" id="{20DE55C1-4287-4F4E-B299-44AEA4D99C4B}"/>
            </a:ext>
          </a:extLst>
        </xdr:cNvPr>
        <xdr:cNvPicPr>
          <a:picLocks noChangeAspect="1"/>
        </xdr:cNvPicPr>
      </xdr:nvPicPr>
      <xdr:blipFill>
        <a:blip xmlns:r="http://schemas.openxmlformats.org/officeDocument/2006/relationships" r:embed="rId58"/>
        <a:stretch>
          <a:fillRect/>
        </a:stretch>
      </xdr:blipFill>
      <xdr:spPr>
        <a:xfrm>
          <a:off x="3767667" y="70658011"/>
          <a:ext cx="1235952" cy="861914"/>
        </a:xfrm>
        <a:prstGeom prst="rect">
          <a:avLst/>
        </a:prstGeom>
      </xdr:spPr>
    </xdr:pic>
    <xdr:clientData/>
  </xdr:twoCellAnchor>
  <xdr:oneCellAnchor>
    <xdr:from>
      <xdr:col>4</xdr:col>
      <xdr:colOff>394607</xdr:colOff>
      <xdr:row>57</xdr:row>
      <xdr:rowOff>186268</xdr:rowOff>
    </xdr:from>
    <xdr:ext cx="1188555" cy="631754"/>
    <xdr:pic>
      <xdr:nvPicPr>
        <xdr:cNvPr id="108" name="Picture 107">
          <a:extLst>
            <a:ext uri="{FF2B5EF4-FFF2-40B4-BE49-F238E27FC236}">
              <a16:creationId xmlns:a16="http://schemas.microsoft.com/office/drawing/2014/main" id="{46FDEBFC-6CAE-4551-B5D8-7DA20A640AA3}"/>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3798207" y="26331335"/>
          <a:ext cx="1188555" cy="631754"/>
        </a:xfrm>
        <a:prstGeom prst="rect">
          <a:avLst/>
        </a:prstGeom>
      </xdr:spPr>
    </xdr:pic>
    <xdr:clientData/>
  </xdr:oneCellAnchor>
  <xdr:twoCellAnchor editAs="oneCell">
    <xdr:from>
      <xdr:col>4</xdr:col>
      <xdr:colOff>330199</xdr:colOff>
      <xdr:row>54</xdr:row>
      <xdr:rowOff>33865</xdr:rowOff>
    </xdr:from>
    <xdr:to>
      <xdr:col>4</xdr:col>
      <xdr:colOff>1657048</xdr:colOff>
      <xdr:row>54</xdr:row>
      <xdr:rowOff>1008591</xdr:rowOff>
    </xdr:to>
    <xdr:pic>
      <xdr:nvPicPr>
        <xdr:cNvPr id="68" name="Picture 67">
          <a:extLst>
            <a:ext uri="{FF2B5EF4-FFF2-40B4-BE49-F238E27FC236}">
              <a16:creationId xmlns:a16="http://schemas.microsoft.com/office/drawing/2014/main" id="{7FEE6081-4AAE-4F76-9DFE-FF3278BFD4E0}"/>
            </a:ext>
          </a:extLst>
        </xdr:cNvPr>
        <xdr:cNvPicPr>
          <a:picLocks noChangeAspect="1"/>
        </xdr:cNvPicPr>
      </xdr:nvPicPr>
      <xdr:blipFill>
        <a:blip xmlns:r="http://schemas.openxmlformats.org/officeDocument/2006/relationships" r:embed="rId59"/>
        <a:stretch>
          <a:fillRect/>
        </a:stretch>
      </xdr:blipFill>
      <xdr:spPr>
        <a:xfrm>
          <a:off x="3733799" y="30454598"/>
          <a:ext cx="1342089" cy="965201"/>
        </a:xfrm>
        <a:prstGeom prst="rect">
          <a:avLst/>
        </a:prstGeom>
      </xdr:spPr>
    </xdr:pic>
    <xdr:clientData/>
  </xdr:twoCellAnchor>
  <xdr:twoCellAnchor editAs="oneCell">
    <xdr:from>
      <xdr:col>4</xdr:col>
      <xdr:colOff>457885</xdr:colOff>
      <xdr:row>53</xdr:row>
      <xdr:rowOff>25399</xdr:rowOff>
    </xdr:from>
    <xdr:to>
      <xdr:col>4</xdr:col>
      <xdr:colOff>1542446</xdr:colOff>
      <xdr:row>53</xdr:row>
      <xdr:rowOff>822828</xdr:rowOff>
    </xdr:to>
    <xdr:pic>
      <xdr:nvPicPr>
        <xdr:cNvPr id="76" name="Picture 75">
          <a:extLst>
            <a:ext uri="{FF2B5EF4-FFF2-40B4-BE49-F238E27FC236}">
              <a16:creationId xmlns:a16="http://schemas.microsoft.com/office/drawing/2014/main" id="{9E4018E6-3C8C-4050-8EDE-365BD22CF8B2}"/>
            </a:ext>
          </a:extLst>
        </xdr:cNvPr>
        <xdr:cNvPicPr>
          <a:picLocks noChangeAspect="1"/>
        </xdr:cNvPicPr>
      </xdr:nvPicPr>
      <xdr:blipFill>
        <a:blip xmlns:r="http://schemas.openxmlformats.org/officeDocument/2006/relationships" r:embed="rId60"/>
        <a:stretch>
          <a:fillRect/>
        </a:stretch>
      </xdr:blipFill>
      <xdr:spPr>
        <a:xfrm>
          <a:off x="3861485" y="29590999"/>
          <a:ext cx="1099801" cy="803144"/>
        </a:xfrm>
        <a:prstGeom prst="rect">
          <a:avLst/>
        </a:prstGeom>
      </xdr:spPr>
    </xdr:pic>
    <xdr:clientData/>
  </xdr:twoCellAnchor>
  <xdr:oneCellAnchor>
    <xdr:from>
      <xdr:col>4</xdr:col>
      <xdr:colOff>467783</xdr:colOff>
      <xdr:row>55</xdr:row>
      <xdr:rowOff>74993</xdr:rowOff>
    </xdr:from>
    <xdr:ext cx="1005111" cy="670074"/>
    <xdr:pic>
      <xdr:nvPicPr>
        <xdr:cNvPr id="113" name="Picture 112">
          <a:extLst>
            <a:ext uri="{FF2B5EF4-FFF2-40B4-BE49-F238E27FC236}">
              <a16:creationId xmlns:a16="http://schemas.microsoft.com/office/drawing/2014/main" id="{F98B0255-4DA6-48ED-B3CF-5E8B0D205304}"/>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3871383" y="31232326"/>
          <a:ext cx="1005111" cy="670074"/>
        </a:xfrm>
        <a:prstGeom prst="rect">
          <a:avLst/>
        </a:prstGeom>
      </xdr:spPr>
    </xdr:pic>
    <xdr:clientData/>
  </xdr:oneCellAnchor>
  <xdr:twoCellAnchor editAs="oneCell">
    <xdr:from>
      <xdr:col>4</xdr:col>
      <xdr:colOff>618067</xdr:colOff>
      <xdr:row>56</xdr:row>
      <xdr:rowOff>169334</xdr:rowOff>
    </xdr:from>
    <xdr:to>
      <xdr:col>4</xdr:col>
      <xdr:colOff>1353821</xdr:colOff>
      <xdr:row>56</xdr:row>
      <xdr:rowOff>630014</xdr:rowOff>
    </xdr:to>
    <xdr:pic>
      <xdr:nvPicPr>
        <xdr:cNvPr id="114" name="Picture 113">
          <a:extLst>
            <a:ext uri="{FF2B5EF4-FFF2-40B4-BE49-F238E27FC236}">
              <a16:creationId xmlns:a16="http://schemas.microsoft.com/office/drawing/2014/main" id="{5F5F21A5-6E31-429D-8DAD-475022F2EF82}"/>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4021667" y="31885467"/>
          <a:ext cx="728134" cy="453060"/>
        </a:xfrm>
        <a:prstGeom prst="rect">
          <a:avLst/>
        </a:prstGeom>
      </xdr:spPr>
    </xdr:pic>
    <xdr:clientData/>
  </xdr:twoCellAnchor>
  <xdr:oneCellAnchor>
    <xdr:from>
      <xdr:col>4</xdr:col>
      <xdr:colOff>457885</xdr:colOff>
      <xdr:row>57</xdr:row>
      <xdr:rowOff>25399</xdr:rowOff>
    </xdr:from>
    <xdr:ext cx="1099801" cy="803144"/>
    <xdr:pic>
      <xdr:nvPicPr>
        <xdr:cNvPr id="115" name="Picture 114">
          <a:extLst>
            <a:ext uri="{FF2B5EF4-FFF2-40B4-BE49-F238E27FC236}">
              <a16:creationId xmlns:a16="http://schemas.microsoft.com/office/drawing/2014/main" id="{B8F3B5EF-7C02-4865-BD95-E041AD27117E}"/>
            </a:ext>
          </a:extLst>
        </xdr:cNvPr>
        <xdr:cNvPicPr>
          <a:picLocks noChangeAspect="1"/>
        </xdr:cNvPicPr>
      </xdr:nvPicPr>
      <xdr:blipFill>
        <a:blip xmlns:r="http://schemas.openxmlformats.org/officeDocument/2006/relationships" r:embed="rId60"/>
        <a:stretch>
          <a:fillRect/>
        </a:stretch>
      </xdr:blipFill>
      <xdr:spPr>
        <a:xfrm>
          <a:off x="3861485" y="29590999"/>
          <a:ext cx="1099801" cy="803144"/>
        </a:xfrm>
        <a:prstGeom prst="rect">
          <a:avLst/>
        </a:prstGeom>
      </xdr:spPr>
    </xdr:pic>
    <xdr:clientData/>
  </xdr:oneCellAnchor>
  <xdr:twoCellAnchor editAs="oneCell">
    <xdr:from>
      <xdr:col>4</xdr:col>
      <xdr:colOff>328879</xdr:colOff>
      <xdr:row>58</xdr:row>
      <xdr:rowOff>42334</xdr:rowOff>
    </xdr:from>
    <xdr:to>
      <xdr:col>4</xdr:col>
      <xdr:colOff>1542323</xdr:colOff>
      <xdr:row>58</xdr:row>
      <xdr:rowOff>1048809</xdr:rowOff>
    </xdr:to>
    <xdr:pic>
      <xdr:nvPicPr>
        <xdr:cNvPr id="78" name="Picture 77">
          <a:extLst>
            <a:ext uri="{FF2B5EF4-FFF2-40B4-BE49-F238E27FC236}">
              <a16:creationId xmlns:a16="http://schemas.microsoft.com/office/drawing/2014/main" id="{52D92488-0A7D-42C6-BBB8-17D007700EC5}"/>
            </a:ext>
          </a:extLst>
        </xdr:cNvPr>
        <xdr:cNvPicPr>
          <a:picLocks noChangeAspect="1"/>
        </xdr:cNvPicPr>
      </xdr:nvPicPr>
      <xdr:blipFill>
        <a:blip xmlns:r="http://schemas.openxmlformats.org/officeDocument/2006/relationships" r:embed="rId61"/>
        <a:stretch>
          <a:fillRect/>
        </a:stretch>
      </xdr:blipFill>
      <xdr:spPr>
        <a:xfrm>
          <a:off x="3732479" y="33993667"/>
          <a:ext cx="1221064" cy="1016000"/>
        </a:xfrm>
        <a:prstGeom prst="rect">
          <a:avLst/>
        </a:prstGeom>
      </xdr:spPr>
    </xdr:pic>
    <xdr:clientData/>
  </xdr:twoCellAnchor>
  <xdr:oneCellAnchor>
    <xdr:from>
      <xdr:col>4</xdr:col>
      <xdr:colOff>476250</xdr:colOff>
      <xdr:row>59</xdr:row>
      <xdr:rowOff>108858</xdr:rowOff>
    </xdr:from>
    <xdr:ext cx="992057" cy="661371"/>
    <xdr:pic>
      <xdr:nvPicPr>
        <xdr:cNvPr id="116" name="Picture 115">
          <a:extLst>
            <a:ext uri="{FF2B5EF4-FFF2-40B4-BE49-F238E27FC236}">
              <a16:creationId xmlns:a16="http://schemas.microsoft.com/office/drawing/2014/main" id="{EBE214A5-CD1C-4C54-8D54-2D72DBE17014}"/>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3879850" y="31570991"/>
          <a:ext cx="992057" cy="661371"/>
        </a:xfrm>
        <a:prstGeom prst="rect">
          <a:avLst/>
        </a:prstGeom>
      </xdr:spPr>
    </xdr:pic>
    <xdr:clientData/>
  </xdr:oneCellAnchor>
  <xdr:oneCellAnchor>
    <xdr:from>
      <xdr:col>4</xdr:col>
      <xdr:colOff>601133</xdr:colOff>
      <xdr:row>60</xdr:row>
      <xdr:rowOff>186267</xdr:rowOff>
    </xdr:from>
    <xdr:ext cx="775609" cy="482600"/>
    <xdr:pic>
      <xdr:nvPicPr>
        <xdr:cNvPr id="117" name="Picture 116">
          <a:extLst>
            <a:ext uri="{FF2B5EF4-FFF2-40B4-BE49-F238E27FC236}">
              <a16:creationId xmlns:a16="http://schemas.microsoft.com/office/drawing/2014/main" id="{7CBDA388-ADEF-491F-AFB1-013E7A171743}"/>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4004733" y="32478134"/>
          <a:ext cx="775609" cy="482600"/>
        </a:xfrm>
        <a:prstGeom prst="rect">
          <a:avLst/>
        </a:prstGeom>
      </xdr:spPr>
    </xdr:pic>
    <xdr:clientData/>
  </xdr:oneCellAnchor>
  <xdr:twoCellAnchor editAs="oneCell">
    <xdr:from>
      <xdr:col>4</xdr:col>
      <xdr:colOff>418552</xdr:colOff>
      <xdr:row>28</xdr:row>
      <xdr:rowOff>45720</xdr:rowOff>
    </xdr:from>
    <xdr:to>
      <xdr:col>4</xdr:col>
      <xdr:colOff>1545134</xdr:colOff>
      <xdr:row>28</xdr:row>
      <xdr:rowOff>821055</xdr:rowOff>
    </xdr:to>
    <xdr:pic>
      <xdr:nvPicPr>
        <xdr:cNvPr id="3" name="Picture 2">
          <a:extLst>
            <a:ext uri="{FF2B5EF4-FFF2-40B4-BE49-F238E27FC236}">
              <a16:creationId xmlns:a16="http://schemas.microsoft.com/office/drawing/2014/main" id="{466064B3-6EDE-4230-8489-6D9BE4E6C3A8}"/>
            </a:ext>
          </a:extLst>
        </xdr:cNvPr>
        <xdr:cNvPicPr>
          <a:picLocks noChangeAspect="1"/>
        </xdr:cNvPicPr>
      </xdr:nvPicPr>
      <xdr:blipFill rotWithShape="1">
        <a:blip xmlns:r="http://schemas.openxmlformats.org/officeDocument/2006/relationships" r:embed="rId62"/>
        <a:srcRect b="15611"/>
        <a:stretch/>
      </xdr:blipFill>
      <xdr:spPr>
        <a:xfrm>
          <a:off x="3817072" y="14866620"/>
          <a:ext cx="1136107" cy="784860"/>
        </a:xfrm>
        <a:prstGeom prst="rect">
          <a:avLst/>
        </a:prstGeom>
      </xdr:spPr>
    </xdr:pic>
    <xdr:clientData/>
  </xdr:twoCellAnchor>
  <xdr:twoCellAnchor editAs="oneCell">
    <xdr:from>
      <xdr:col>4</xdr:col>
      <xdr:colOff>274320</xdr:colOff>
      <xdr:row>103</xdr:row>
      <xdr:rowOff>91440</xdr:rowOff>
    </xdr:from>
    <xdr:to>
      <xdr:col>4</xdr:col>
      <xdr:colOff>1581150</xdr:colOff>
      <xdr:row>103</xdr:row>
      <xdr:rowOff>627097</xdr:rowOff>
    </xdr:to>
    <xdr:pic>
      <xdr:nvPicPr>
        <xdr:cNvPr id="56" name="Picture 4">
          <a:extLst>
            <a:ext uri="{FF2B5EF4-FFF2-40B4-BE49-F238E27FC236}">
              <a16:creationId xmlns:a16="http://schemas.microsoft.com/office/drawing/2014/main" id="{8D39B3EF-3F4F-14A4-DC9C-9EAA3B0A85FF}"/>
            </a:ext>
          </a:extLst>
        </xdr:cNvPr>
        <xdr:cNvPicPr>
          <a:picLocks noChangeAspect="1"/>
        </xdr:cNvPicPr>
      </xdr:nvPicPr>
      <xdr:blipFill>
        <a:blip xmlns:r="http://schemas.openxmlformats.org/officeDocument/2006/relationships" r:embed="rId63">
          <a:extLst>
            <a:ext uri="{28A0092B-C50C-407E-A947-70E740481C1C}">
              <a14:useLocalDpi xmlns:a14="http://schemas.microsoft.com/office/drawing/2010/main" val="0"/>
            </a:ext>
          </a:extLst>
        </a:blip>
        <a:stretch>
          <a:fillRect/>
        </a:stretch>
      </xdr:blipFill>
      <xdr:spPr>
        <a:xfrm>
          <a:off x="3672840" y="64122300"/>
          <a:ext cx="1303020" cy="539467"/>
        </a:xfrm>
        <a:prstGeom prst="rect">
          <a:avLst/>
        </a:prstGeom>
      </xdr:spPr>
    </xdr:pic>
    <xdr:clientData/>
  </xdr:twoCellAnchor>
  <xdr:oneCellAnchor>
    <xdr:from>
      <xdr:col>4</xdr:col>
      <xdr:colOff>777240</xdr:colOff>
      <xdr:row>136</xdr:row>
      <xdr:rowOff>190500</xdr:rowOff>
    </xdr:from>
    <xdr:ext cx="530678" cy="349245"/>
    <xdr:pic>
      <xdr:nvPicPr>
        <xdr:cNvPr id="72" name="Picture 78">
          <a:extLst>
            <a:ext uri="{FF2B5EF4-FFF2-40B4-BE49-F238E27FC236}">
              <a16:creationId xmlns:a16="http://schemas.microsoft.com/office/drawing/2014/main" id="{C1E5103C-0797-4F82-8CCF-B3846B4E9489}"/>
            </a:ext>
          </a:extLst>
        </xdr:cNvPr>
        <xdr:cNvPicPr>
          <a:picLocks noChangeAspect="1"/>
        </xdr:cNvPicPr>
      </xdr:nvPicPr>
      <xdr:blipFill rotWithShape="1">
        <a:blip xmlns:r="http://schemas.openxmlformats.org/officeDocument/2006/relationships" r:embed="rId10">
          <a:extLst>
            <a:ext uri="{28A0092B-C50C-407E-A947-70E740481C1C}">
              <a14:useLocalDpi xmlns:a14="http://schemas.microsoft.com/office/drawing/2010/main" val="0"/>
            </a:ext>
          </a:extLst>
        </a:blip>
        <a:srcRect l="13559" b="16023"/>
        <a:stretch/>
      </xdr:blipFill>
      <xdr:spPr>
        <a:xfrm>
          <a:off x="4175760" y="90030300"/>
          <a:ext cx="530678" cy="349245"/>
        </a:xfrm>
        <a:prstGeom prst="rect">
          <a:avLst/>
        </a:prstGeom>
      </xdr:spPr>
    </xdr:pic>
    <xdr:clientData/>
  </xdr:oneCellAnchor>
  <xdr:oneCellAnchor>
    <xdr:from>
      <xdr:col>4</xdr:col>
      <xdr:colOff>762000</xdr:colOff>
      <xdr:row>137</xdr:row>
      <xdr:rowOff>228600</xdr:rowOff>
    </xdr:from>
    <xdr:ext cx="530678" cy="349245"/>
    <xdr:pic>
      <xdr:nvPicPr>
        <xdr:cNvPr id="73" name="Picture 83">
          <a:extLst>
            <a:ext uri="{FF2B5EF4-FFF2-40B4-BE49-F238E27FC236}">
              <a16:creationId xmlns:a16="http://schemas.microsoft.com/office/drawing/2014/main" id="{CA86E0B4-ADA0-41B9-A59F-5F195286FED5}"/>
            </a:ext>
          </a:extLst>
        </xdr:cNvPr>
        <xdr:cNvPicPr>
          <a:picLocks noChangeAspect="1"/>
        </xdr:cNvPicPr>
      </xdr:nvPicPr>
      <xdr:blipFill rotWithShape="1">
        <a:blip xmlns:r="http://schemas.openxmlformats.org/officeDocument/2006/relationships" r:embed="rId10">
          <a:extLst>
            <a:ext uri="{28A0092B-C50C-407E-A947-70E740481C1C}">
              <a14:useLocalDpi xmlns:a14="http://schemas.microsoft.com/office/drawing/2010/main" val="0"/>
            </a:ext>
          </a:extLst>
        </a:blip>
        <a:srcRect l="13559" b="16023"/>
        <a:stretch/>
      </xdr:blipFill>
      <xdr:spPr>
        <a:xfrm>
          <a:off x="4160520" y="90738960"/>
          <a:ext cx="530678" cy="349245"/>
        </a:xfrm>
        <a:prstGeom prst="rect">
          <a:avLst/>
        </a:prstGeom>
      </xdr:spPr>
    </xdr:pic>
    <xdr:clientData/>
  </xdr:oneCellAnchor>
  <xdr:oneCellAnchor>
    <xdr:from>
      <xdr:col>4</xdr:col>
      <xdr:colOff>746760</xdr:colOff>
      <xdr:row>138</xdr:row>
      <xdr:rowOff>76200</xdr:rowOff>
    </xdr:from>
    <xdr:ext cx="530678" cy="349245"/>
    <xdr:pic>
      <xdr:nvPicPr>
        <xdr:cNvPr id="75" name="Picture 84">
          <a:extLst>
            <a:ext uri="{FF2B5EF4-FFF2-40B4-BE49-F238E27FC236}">
              <a16:creationId xmlns:a16="http://schemas.microsoft.com/office/drawing/2014/main" id="{8210C0BF-2AE0-4249-ACAF-0AA7940B1097}"/>
            </a:ext>
          </a:extLst>
        </xdr:cNvPr>
        <xdr:cNvPicPr>
          <a:picLocks noChangeAspect="1"/>
        </xdr:cNvPicPr>
      </xdr:nvPicPr>
      <xdr:blipFill rotWithShape="1">
        <a:blip xmlns:r="http://schemas.openxmlformats.org/officeDocument/2006/relationships" r:embed="rId10">
          <a:extLst>
            <a:ext uri="{28A0092B-C50C-407E-A947-70E740481C1C}">
              <a14:useLocalDpi xmlns:a14="http://schemas.microsoft.com/office/drawing/2010/main" val="0"/>
            </a:ext>
          </a:extLst>
        </a:blip>
        <a:srcRect l="13559" b="16023"/>
        <a:stretch/>
      </xdr:blipFill>
      <xdr:spPr>
        <a:xfrm>
          <a:off x="4145280" y="91257120"/>
          <a:ext cx="530678" cy="34924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zitholeleonline-my.sharepoint.com/Projects/13214%20-%20Carlswald%20Reservoir/6%20Tender%20&amp;%20Contract/61%20Quantities%20&amp;%20Costs/DDR/SSMM%2013214-61-Est-005-Bill%20of%20Quantities%20DDR%20(S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Summary &amp; Master Rates"/>
      <sheetName val="2. Site Prep &amp; Fencing"/>
      <sheetName val="3. Roads &amp; Stormwater"/>
      <sheetName val="7. Guard House"/>
      <sheetName val="8. Telemetry Hut"/>
    </sheetNames>
    <sheetDataSet>
      <sheetData sheetId="0">
        <row r="23">
          <cell r="C23">
            <v>0.55000000000000004</v>
          </cell>
        </row>
        <row r="24">
          <cell r="C24">
            <v>0.22500000000000001</v>
          </cell>
        </row>
        <row r="25">
          <cell r="C25">
            <v>0.22500000000000001</v>
          </cell>
        </row>
      </sheetData>
      <sheetData sheetId="1"/>
      <sheetData sheetId="2"/>
      <sheetData sheetId="3"/>
      <sheetData sheetId="4"/>
    </sheetDataSet>
  </externalBook>
</externalLink>
</file>

<file path=xl/persons/person.xml><?xml version="1.0" encoding="utf-8"?>
<personList xmlns="http://schemas.microsoft.com/office/spreadsheetml/2018/threadedcomments" xmlns:x="http://schemas.openxmlformats.org/spreadsheetml/2006/main">
  <person displayName="Genni Kvevli" id="{6FA536A2-3A33-4BA2-9798-F3E7D35968CB}" userId="S::gennik@zitholele.co.za::d1798609-9932-4b83-b10e-86abac9e2a47" providerId="AD"/>
  <person displayName="Lyndell Captain" id="{A370042B-5159-4BF0-A9E4-C160E9901B6B}" userId="S::lyndellc@zitholele.co.za::bee58fd7-1466-453a-9715-cecbd3bef108" providerId="AD"/>
  <person displayName="Sehlodi Mamogobo" id="{C958EE13-B436-42B2-B798-BC8AB27B9125}" userId="S::sehlodim@zitholele.co.za::6fed2a29-bee7-4a1f-ad35-6f52f099781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4" dT="2021-04-09T06:43:30.96" personId="{C958EE13-B436-42B2-B798-BC8AB27B9125}" id="{58DBC82C-1182-4B9C-994B-6E6F58F89AA6}">
    <text>LC BOQ - EPOXY MILD STEEL</text>
  </threadedComment>
</ThreadedComments>
</file>

<file path=xl/threadedComments/threadedComment10.xml><?xml version="1.0" encoding="utf-8"?>
<ThreadedComments xmlns="http://schemas.microsoft.com/office/spreadsheetml/2018/threadedcomments" xmlns:x="http://schemas.openxmlformats.org/spreadsheetml/2006/main">
  <threadedComment ref="C124" dT="2021-08-17T10:12:47.84" personId="{6FA536A2-3A33-4BA2-9798-F3E7D35968CB}" id="{7620A470-4D7C-4981-8044-5C058613AD64}" done="1">
    <text>strength , type - eg 14MPa face or 7MPa stock</text>
  </threadedComment>
  <threadedComment ref="C124" dT="2021-08-23T19:10:31.79" personId="{A370042B-5159-4BF0-A9E4-C160E9901B6B}" id="{BDF0E2B5-5003-47E7-B880-F4B91463E355}" parentId="{7620A470-4D7C-4981-8044-5C058613AD64}">
    <text>I'm assuming 14Mpa since facebrick? not included in spec</text>
  </threadedComment>
</ThreadedComments>
</file>

<file path=xl/threadedComments/threadedComment2.xml><?xml version="1.0" encoding="utf-8"?>
<ThreadedComments xmlns="http://schemas.microsoft.com/office/spreadsheetml/2018/threadedcomments" xmlns:x="http://schemas.openxmlformats.org/spreadsheetml/2006/main">
  <threadedComment ref="F17" dT="2021-04-08T17:49:03.24" personId="{C958EE13-B436-42B2-B798-BC8AB27B9125}" id="{3D4BA0C6-309E-42C3-926E-C79285648131}">
    <text>2</text>
  </threadedComment>
</ThreadedComments>
</file>

<file path=xl/threadedComments/threadedComment3.xml><?xml version="1.0" encoding="utf-8"?>
<ThreadedComments xmlns="http://schemas.microsoft.com/office/spreadsheetml/2018/threadedcomments" xmlns:x="http://schemas.openxmlformats.org/spreadsheetml/2006/main">
  <threadedComment ref="F86" dT="2021-04-08T17:49:03.24" personId="{C958EE13-B436-42B2-B798-BC8AB27B9125}" id="{01427011-8782-49B5-A296-FDCF43A89701}">
    <text>2</text>
  </threadedComment>
  <threadedComment ref="C209" dT="2021-04-09T06:43:30.96" personId="{C958EE13-B436-42B2-B798-BC8AB27B9125}" id="{894FE007-55A4-4EF3-895F-6D5164D3CF72}">
    <text>LC BOQ - EPOXY MILD STEEL</text>
  </threadedComment>
</ThreadedComments>
</file>

<file path=xl/threadedComments/threadedComment4.xml><?xml version="1.0" encoding="utf-8"?>
<ThreadedComments xmlns="http://schemas.microsoft.com/office/spreadsheetml/2018/threadedcomments" xmlns:x="http://schemas.openxmlformats.org/spreadsheetml/2006/main">
  <threadedComment ref="C21" dT="2021-08-17T06:40:21.61" personId="{6FA536A2-3A33-4BA2-9798-F3E7D35968CB}" id="{B5BAE61D-4546-4B71-AF56-B63FFB3D7305}">
    <text>Distance specified somewhere?</text>
  </threadedComment>
  <threadedComment ref="C21" dT="2021-08-23T18:02:41.85" personId="{A370042B-5159-4BF0-A9E4-C160E9901B6B}" id="{E7584CC8-4D89-4E9D-9B36-5637C3F1CE3F}" parentId="{B5BAE61D-4546-4B71-AF56-B63FFB3D7305}">
    <text>Yes, in the doc. anything greater than 1km is overhaul</text>
  </threadedComment>
</ThreadedComments>
</file>

<file path=xl/threadedComments/threadedComment5.xml><?xml version="1.0" encoding="utf-8"?>
<ThreadedComments xmlns="http://schemas.microsoft.com/office/spreadsheetml/2018/threadedcomments" xmlns:x="http://schemas.openxmlformats.org/spreadsheetml/2006/main">
  <threadedComment ref="C29" dT="2021-08-17T06:51:01.88" personId="{6FA536A2-3A33-4BA2-9798-F3E7D35968CB}" id="{D53D5771-3C66-4E3D-B2DB-B33E4D58FE74}">
    <text>Specify whether G5, G6, G7 or G8 - might get G10 otherwise</text>
  </threadedComment>
  <threadedComment ref="C115" dT="2021-08-17T06:57:28.08" personId="{6FA536A2-3A33-4BA2-9798-F3E7D35968CB}" id="{0E9B57FD-300C-491E-A6BD-ED295AB60137}" done="1">
    <text>specify grade eg G6...</text>
  </threadedComment>
  <threadedComment ref="C115" dT="2021-08-23T18:17:42.46" personId="{A370042B-5159-4BF0-A9E4-C160E9901B6B}" id="{B509625D-E970-47EC-AB89-41491390E3F4}" parentId="{0E9B57FD-300C-491E-A6BD-ED295AB60137}">
    <text>NG to assist</text>
  </threadedComment>
  <threadedComment ref="C147" dT="2021-08-17T06:59:00.90" personId="{6FA536A2-3A33-4BA2-9798-F3E7D35968CB}" id="{EFF38630-B16B-46E5-A7DB-1911F32F7FE7}">
    <text>20/19?</text>
  </threadedComment>
</ThreadedComments>
</file>

<file path=xl/threadedComments/threadedComment6.xml><?xml version="1.0" encoding="utf-8"?>
<ThreadedComments xmlns="http://schemas.microsoft.com/office/spreadsheetml/2018/threadedcomments" xmlns:x="http://schemas.openxmlformats.org/spreadsheetml/2006/main">
  <threadedComment ref="G191" dT="2021-04-07T14:19:25.31" personId="{C958EE13-B436-42B2-B798-BC8AB27B9125}" id="{DE60FD79-1864-4AA4-B057-658A52883F20}">
    <text>Removed - this is one of the hiding of money items lol.</text>
  </threadedComment>
</ThreadedComments>
</file>

<file path=xl/threadedComments/threadedComment7.xml><?xml version="1.0" encoding="utf-8"?>
<ThreadedComments xmlns="http://schemas.microsoft.com/office/spreadsheetml/2018/threadedcomments" xmlns:x="http://schemas.openxmlformats.org/spreadsheetml/2006/main">
  <threadedComment ref="C170" dT="2021-08-17T07:14:50.79" personId="{6FA536A2-3A33-4BA2-9798-F3E7D35968CB}" id="{F7907364-8524-4839-9305-2E396BD19051}">
    <text>water tightness not a problem? No cast in flanges?</text>
  </threadedComment>
  <threadedComment ref="C170" dT="2021-08-23T18:29:21.25" personId="{A370042B-5159-4BF0-A9E4-C160E9901B6B}" id="{713F3B5A-D230-4579-8BE9-D7361EE9B11F}" parentId="{F7907364-8524-4839-9305-2E396BD19051}">
    <text>There are cast in flanges. Must we make the diameter bigger to account for this?</text>
  </threadedComment>
</ThreadedComments>
</file>

<file path=xl/threadedComments/threadedComment8.xml><?xml version="1.0" encoding="utf-8"?>
<ThreadedComments xmlns="http://schemas.microsoft.com/office/spreadsheetml/2018/threadedcomments" xmlns:x="http://schemas.openxmlformats.org/spreadsheetml/2006/main">
  <threadedComment ref="C12" dT="2021-08-17T10:02:54.44" personId="{6FA536A2-3A33-4BA2-9798-F3E7D35968CB}" id="{E6E47254-B374-4360-960A-0F134A22480D}" done="1">
    <text>Shoring included?</text>
  </threadedComment>
  <threadedComment ref="C12" dT="2021-08-23T18:38:58.58" personId="{A370042B-5159-4BF0-A9E4-C160E9901B6B}" id="{6776CFBF-9F5A-47D7-8538-66CC23629A24}" parentId="{E6E47254-B374-4360-960A-0F134A22480D}">
    <text>This is covered in SANS 1200D, 5.1. The contractor is instructed to include brace the sides of excavations in this clause so i believe it is covered. Clause 8.3.2 of SANS1200DB refrences CLause 5.1 which in turn refrences SANS 1200D, 5.1</text>
  </threadedComment>
</ThreadedComments>
</file>

<file path=xl/threadedComments/threadedComment9.xml><?xml version="1.0" encoding="utf-8"?>
<ThreadedComments xmlns="http://schemas.microsoft.com/office/spreadsheetml/2018/threadedcomments" xmlns:x="http://schemas.openxmlformats.org/spreadsheetml/2006/main">
  <threadedComment ref="C34" dT="2021-08-17T10:05:49.68" personId="{6FA536A2-3A33-4BA2-9798-F3E7D35968CB}" id="{0A5EE5ED-F349-4839-B2B9-C2EB93B7EB3C}">
    <text>What about formwork for slab joints eg apron slab?</text>
  </threadedComment>
  <threadedComment ref="C34" dT="2021-08-23T18:44:56.70" personId="{A370042B-5159-4BF0-A9E4-C160E9901B6B}" id="{E0D93A69-BA9A-4492-BD60-E0AFC7BE002F}" parentId="{0A5EE5ED-F349-4839-B2B9-C2EB93B7EB3C}">
    <text>doesn't appear to be included. drawing doesnt include apron slab, hence it was not measured.</text>
  </threadedComment>
  <threadedComment ref="C36" dT="2021-08-17T10:04:49.57" personId="{6FA536A2-3A33-4BA2-9798-F3E7D35968CB}" id="{29FE9187-AF6F-4C7B-826B-795355AF54C2}" done="1">
    <text>Not cast against?</text>
  </threadedComment>
  <threadedComment ref="C36" dT="2021-08-23T18:54:49.63" personId="{A370042B-5159-4BF0-A9E4-C160E9901B6B}" id="{59ED4917-2223-4463-B67A-97398C79BCAE}" parentId="{29FE9187-AF6F-4C7B-826B-795355AF54C2}">
    <text>Should i remove this?</text>
  </threadedComment>
  <threadedComment ref="C64" dT="2021-08-17T10:06:09.81" personId="{6FA536A2-3A33-4BA2-9798-F3E7D35968CB}" id="{DBF6753F-D4F6-45D4-BB39-3720F5688E29}" done="1">
    <text>19mm stone ie 15/19</text>
  </threadedComment>
  <threadedComment ref="C104" dT="2021-08-17T10:09:37.61" personId="{6FA536A2-3A33-4BA2-9798-F3E7D35968CB}" id="{43F7ED1E-98F2-4B80-BDA1-A769C996736E}" done="1">
    <text>doors, windows not structural steel</text>
  </threadedComment>
  <threadedComment ref="C104" dT="2021-08-23T19:00:37.28" personId="{A370042B-5159-4BF0-A9E4-C160E9901B6B}" id="{EFEC48A0-79A0-4CBE-9C6B-8E7597180360}" parentId="{43F7ED1E-98F2-4B80-BDA1-A769C996736E}">
    <text>Replaced with PSU 8.8</text>
  </threadedComment>
  <threadedComment ref="C106" dT="2021-08-17T10:08:57.31" personId="{6FA536A2-3A33-4BA2-9798-F3E7D35968CB}" id="{45D7EE81-3AA5-4E5A-8465-F5A30E66EA1C}" done="1">
    <text>doors and windows are not classed as structural steel. they fall under iron mongery</text>
  </threadedComment>
  <threadedComment ref="C106" dT="2021-08-23T19:01:21.50" personId="{A370042B-5159-4BF0-A9E4-C160E9901B6B}" id="{EAFB7340-3811-49F6-9D0C-B01469B27C79}" parentId="{45D7EE81-3AA5-4E5A-8465-F5A30E66EA1C}">
    <text>As above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6.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3.bin"/><Relationship Id="rId5" Type="http://schemas.microsoft.com/office/2017/10/relationships/threadedComment" Target="../threadedComments/threadedComment4.xml"/><Relationship Id="rId4" Type="http://schemas.openxmlformats.org/officeDocument/2006/relationships/comments" Target="../comments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14.bin"/><Relationship Id="rId5" Type="http://schemas.microsoft.com/office/2017/10/relationships/threadedComment" Target="../threadedComments/threadedComment5.xml"/><Relationship Id="rId4" Type="http://schemas.openxmlformats.org/officeDocument/2006/relationships/comments" Target="../comments6.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microsoft.com/office/2017/10/relationships/threadedComment" Target="../threadedComments/threadedComment6.xml"/><Relationship Id="rId4" Type="http://schemas.openxmlformats.org/officeDocument/2006/relationships/comments" Target="../comments7.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17.bin"/><Relationship Id="rId5" Type="http://schemas.microsoft.com/office/2017/10/relationships/threadedComment" Target="../threadedComments/threadedComment7.xml"/><Relationship Id="rId4" Type="http://schemas.openxmlformats.org/officeDocument/2006/relationships/comments" Target="../comments8.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vmlDrawing" Target="../drawings/vmlDrawing15.vml"/><Relationship Id="rId1" Type="http://schemas.openxmlformats.org/officeDocument/2006/relationships/printerSettings" Target="../printerSettings/printerSettings18.bin"/><Relationship Id="rId5" Type="http://schemas.microsoft.com/office/2017/10/relationships/threadedComment" Target="../threadedComments/threadedComment8.xml"/><Relationship Id="rId4" Type="http://schemas.openxmlformats.org/officeDocument/2006/relationships/comments" Target="../comments9.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vmlDrawing" Target="../drawings/vmlDrawing17.vml"/><Relationship Id="rId1" Type="http://schemas.openxmlformats.org/officeDocument/2006/relationships/printerSettings" Target="../printerSettings/printerSettings19.bin"/><Relationship Id="rId5" Type="http://schemas.microsoft.com/office/2017/10/relationships/threadedComment" Target="../threadedComments/threadedComment9.xml"/><Relationship Id="rId4" Type="http://schemas.openxmlformats.org/officeDocument/2006/relationships/comments" Target="../comments1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vmlDrawing" Target="../drawings/vmlDrawing19.vml"/><Relationship Id="rId1" Type="http://schemas.openxmlformats.org/officeDocument/2006/relationships/printerSettings" Target="../printerSettings/printerSettings20.bin"/><Relationship Id="rId5" Type="http://schemas.microsoft.com/office/2017/10/relationships/threadedComment" Target="../threadedComments/threadedComment10.xml"/><Relationship Id="rId4" Type="http://schemas.openxmlformats.org/officeDocument/2006/relationships/comments" Target="../comments11.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7.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8.xml"/><Relationship Id="rId1" Type="http://schemas.openxmlformats.org/officeDocument/2006/relationships/printerSettings" Target="../printerSettings/printerSettings9.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0837F-0C77-4D76-8A49-F862EC31F6B2}">
  <sheetPr>
    <pageSetUpPr fitToPage="1"/>
  </sheetPr>
  <dimension ref="B2:D20"/>
  <sheetViews>
    <sheetView view="pageLayout" topLeftCell="A4" zoomScaleNormal="82" workbookViewId="0">
      <selection activeCell="C16" sqref="C16"/>
    </sheetView>
  </sheetViews>
  <sheetFormatPr defaultRowHeight="15"/>
  <cols>
    <col min="2" max="2" width="26.42578125" customWidth="1"/>
    <col min="3" max="3" width="19.140625" style="17" customWidth="1"/>
  </cols>
  <sheetData>
    <row r="2" spans="2:4">
      <c r="B2" s="71" t="s">
        <v>0</v>
      </c>
      <c r="C2" s="72" t="s">
        <v>1</v>
      </c>
    </row>
    <row r="3" spans="2:4">
      <c r="B3" s="1450"/>
      <c r="C3" s="1451"/>
    </row>
    <row r="4" spans="2:4">
      <c r="B4" s="36" t="s">
        <v>2</v>
      </c>
      <c r="C4" s="73">
        <f>CEILING('2. Site Prep &amp; Fencing '!G162,1)</f>
        <v>0</v>
      </c>
    </row>
    <row r="5" spans="2:4">
      <c r="B5" s="36" t="s">
        <v>3</v>
      </c>
      <c r="C5" s="73">
        <f>CEILING('3. Roads &amp; Stormwater'!G233,1)</f>
        <v>0</v>
      </c>
    </row>
    <row r="6" spans="2:4">
      <c r="B6" s="36" t="s">
        <v>4</v>
      </c>
      <c r="C6" s="73">
        <f>CEILING('4.Reservoir'!G299,1)</f>
        <v>0</v>
      </c>
    </row>
    <row r="7" spans="2:4">
      <c r="B7" s="36" t="s">
        <v>5</v>
      </c>
      <c r="C7" s="73">
        <f>CEILING('5.Chambers &amp; Boxes'!G559,1)</f>
        <v>0</v>
      </c>
    </row>
    <row r="8" spans="2:4">
      <c r="B8" s="36" t="s">
        <v>6</v>
      </c>
      <c r="C8" s="176">
        <f>'Pipe Schedule00'!H308</f>
        <v>12936500</v>
      </c>
    </row>
    <row r="9" spans="2:4">
      <c r="B9" s="36" t="s">
        <v>7</v>
      </c>
      <c r="C9" s="73">
        <f>CEILING('7. Guard House'!G153,1)</f>
        <v>0</v>
      </c>
    </row>
    <row r="10" spans="2:4">
      <c r="B10" s="36" t="s">
        <v>8</v>
      </c>
      <c r="C10" s="73">
        <f>CEILING('8. Telemetry Hut'!G153,1)</f>
        <v>0</v>
      </c>
    </row>
    <row r="11" spans="2:4">
      <c r="B11" s="36" t="s">
        <v>9</v>
      </c>
      <c r="C11" s="73">
        <f>CEILING('9. Valve Building'!G232,1)</f>
        <v>0</v>
      </c>
    </row>
    <row r="12" spans="2:4">
      <c r="B12" s="36" t="s">
        <v>10</v>
      </c>
      <c r="C12" s="176" t="e">
        <f>CEILING(#REF!,1)</f>
        <v>#REF!</v>
      </c>
    </row>
    <row r="13" spans="2:4">
      <c r="B13" s="1450"/>
      <c r="C13" s="1451"/>
      <c r="D13" s="396"/>
    </row>
    <row r="14" spans="2:4">
      <c r="B14" s="42" t="s">
        <v>11</v>
      </c>
      <c r="C14" s="74" t="e">
        <f>CEILING(SUM(C4:C12),1)</f>
        <v>#REF!</v>
      </c>
    </row>
    <row r="15" spans="2:4">
      <c r="B15" s="36" t="s">
        <v>12</v>
      </c>
      <c r="C15" s="73" t="e">
        <f>CEILING(C14*0.2,1)</f>
        <v>#REF!</v>
      </c>
    </row>
    <row r="16" spans="2:4">
      <c r="B16" s="42" t="s">
        <v>11</v>
      </c>
      <c r="C16" s="74" t="e">
        <f>CEILING(C14+C15,1)</f>
        <v>#REF!</v>
      </c>
    </row>
    <row r="17" spans="2:3">
      <c r="B17" s="36" t="s">
        <v>13</v>
      </c>
      <c r="C17" s="73" t="e">
        <f>CEILING(C16*0.1,1)</f>
        <v>#REF!</v>
      </c>
    </row>
    <row r="18" spans="2:3">
      <c r="B18" s="42" t="s">
        <v>11</v>
      </c>
      <c r="C18" s="74" t="e">
        <f>CEILING(C16+C17,1)</f>
        <v>#REF!</v>
      </c>
    </row>
    <row r="19" spans="2:3">
      <c r="B19" s="36" t="s">
        <v>14</v>
      </c>
      <c r="C19" s="73" t="e">
        <f>CEILING(C18*0.1,1)</f>
        <v>#REF!</v>
      </c>
    </row>
    <row r="20" spans="2:3">
      <c r="B20" s="42" t="s">
        <v>15</v>
      </c>
      <c r="C20" s="74" t="e">
        <f>C18+C19</f>
        <v>#REF!</v>
      </c>
    </row>
  </sheetData>
  <mergeCells count="2">
    <mergeCell ref="B3:C3"/>
    <mergeCell ref="B13:C13"/>
  </mergeCells>
  <pageMargins left="0.70866141732283472" right="0.70866141732283472" top="0.74803149606299213" bottom="0.74803149606299213" header="0.31496062992125984" footer="0.31496062992125984"/>
  <pageSetup paperSize="9" orientation="portrait" horizont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BB484-8429-4961-AE65-12A72FEE25E1}">
  <dimension ref="A1:I147"/>
  <sheetViews>
    <sheetView view="pageBreakPreview" topLeftCell="A20" zoomScaleNormal="100" zoomScaleSheetLayoutView="100" zoomScalePageLayoutView="50" workbookViewId="0">
      <selection activeCell="H22" sqref="H22:H23"/>
    </sheetView>
  </sheetViews>
  <sheetFormatPr defaultColWidth="9.140625" defaultRowHeight="12.75"/>
  <cols>
    <col min="1" max="1" width="8.5703125" style="173" customWidth="1"/>
    <col min="2" max="2" width="5.85546875" style="173" customWidth="1"/>
    <col min="3" max="3" width="9.42578125" style="173" customWidth="1"/>
    <col min="4" max="4" width="25.7109375" style="625" customWidth="1"/>
    <col min="5" max="5" width="28.7109375" style="173" customWidth="1"/>
    <col min="6" max="6" width="7.28515625" style="173" customWidth="1"/>
    <col min="7" max="7" width="15.7109375" style="173" customWidth="1"/>
    <col min="8" max="8" width="20.7109375" style="173" customWidth="1"/>
    <col min="9" max="9" width="22" style="233" customWidth="1"/>
    <col min="10" max="16384" width="9.140625" style="173"/>
  </cols>
  <sheetData>
    <row r="1" spans="1:9" s="172" customFormat="1">
      <c r="C1" s="1466" t="s">
        <v>230</v>
      </c>
      <c r="D1" s="1466"/>
      <c r="E1" s="1466"/>
      <c r="F1" s="1466"/>
      <c r="G1" s="1466"/>
      <c r="H1" s="1466"/>
      <c r="I1" s="234"/>
    </row>
    <row r="2" spans="1:9" s="171" customFormat="1">
      <c r="D2" s="623"/>
      <c r="F2" s="180"/>
      <c r="G2" s="519"/>
      <c r="I2" s="233"/>
    </row>
    <row r="3" spans="1:9" s="526" customFormat="1" ht="25.5">
      <c r="A3" s="527" t="s">
        <v>65</v>
      </c>
      <c r="B3" s="527" t="s">
        <v>66</v>
      </c>
      <c r="C3" s="527" t="s">
        <v>67</v>
      </c>
      <c r="D3" s="624" t="s">
        <v>68</v>
      </c>
      <c r="E3" s="528" t="s">
        <v>69</v>
      </c>
      <c r="F3" s="528" t="s">
        <v>70</v>
      </c>
      <c r="G3" s="528" t="s">
        <v>71</v>
      </c>
      <c r="H3" s="528" t="s">
        <v>1</v>
      </c>
      <c r="I3" s="525"/>
    </row>
    <row r="4" spans="1:9" ht="15" customHeight="1">
      <c r="A4" s="1050"/>
      <c r="H4" s="1051"/>
    </row>
    <row r="5" spans="1:9" s="526" customFormat="1" ht="15" customHeight="1">
      <c r="A5" s="1498" t="s">
        <v>231</v>
      </c>
      <c r="B5" s="1499"/>
      <c r="C5" s="1499"/>
      <c r="D5" s="1499"/>
      <c r="E5" s="1499"/>
      <c r="F5" s="1499"/>
      <c r="G5" s="1499"/>
      <c r="H5" s="1500"/>
      <c r="I5" s="525"/>
    </row>
    <row r="6" spans="1:9" ht="15" customHeight="1">
      <c r="A6" s="1050"/>
      <c r="H6" s="1051"/>
    </row>
    <row r="7" spans="1:9" s="526" customFormat="1" ht="15" customHeight="1">
      <c r="A7" s="1498" t="s">
        <v>232</v>
      </c>
      <c r="B7" s="1499"/>
      <c r="C7" s="1499"/>
      <c r="D7" s="1499"/>
      <c r="E7" s="1499"/>
      <c r="F7" s="1499"/>
      <c r="G7" s="1499"/>
      <c r="H7" s="1500"/>
      <c r="I7" s="525"/>
    </row>
    <row r="8" spans="1:9" ht="69.95" customHeight="1">
      <c r="A8" s="182" t="s">
        <v>79</v>
      </c>
      <c r="B8" s="182">
        <v>350</v>
      </c>
      <c r="C8" s="181" t="s">
        <v>233</v>
      </c>
      <c r="D8" s="195" t="s">
        <v>234</v>
      </c>
      <c r="E8" s="182"/>
      <c r="F8" s="182">
        <v>1</v>
      </c>
      <c r="G8" s="1353"/>
      <c r="H8" s="1354">
        <f>ROUND(F8*G8,2)</f>
        <v>0</v>
      </c>
    </row>
    <row r="9" spans="1:9" ht="69.95" customHeight="1">
      <c r="A9" s="182" t="s">
        <v>81</v>
      </c>
      <c r="B9" s="182">
        <v>350</v>
      </c>
      <c r="C9" s="181" t="s">
        <v>233</v>
      </c>
      <c r="D9" s="671" t="s">
        <v>235</v>
      </c>
      <c r="E9" s="182"/>
      <c r="F9" s="182">
        <v>1</v>
      </c>
      <c r="G9" s="1353"/>
      <c r="H9" s="1354">
        <f t="shared" ref="H9:H10" si="0">ROUND(F9*G9,2)</f>
        <v>0</v>
      </c>
    </row>
    <row r="10" spans="1:9" ht="69.95" customHeight="1">
      <c r="A10" s="182" t="s">
        <v>83</v>
      </c>
      <c r="B10" s="182">
        <v>350</v>
      </c>
      <c r="C10" s="181" t="s">
        <v>233</v>
      </c>
      <c r="D10" s="195" t="s">
        <v>236</v>
      </c>
      <c r="E10" s="182"/>
      <c r="F10" s="182">
        <v>1</v>
      </c>
      <c r="G10" s="1354"/>
      <c r="H10" s="1354">
        <f t="shared" si="0"/>
        <v>0</v>
      </c>
    </row>
    <row r="11" spans="1:9" ht="15" customHeight="1">
      <c r="A11" s="1052"/>
      <c r="B11" s="1053"/>
      <c r="C11" s="1054"/>
      <c r="D11" s="1055"/>
      <c r="E11" s="1056"/>
      <c r="F11" s="1057"/>
      <c r="G11" s="1058"/>
      <c r="H11" s="1059"/>
    </row>
    <row r="12" spans="1:9" s="526" customFormat="1" ht="15" customHeight="1">
      <c r="A12" s="1504" t="s">
        <v>221</v>
      </c>
      <c r="B12" s="1505"/>
      <c r="C12" s="1505"/>
      <c r="D12" s="1505"/>
      <c r="E12" s="1505"/>
      <c r="F12" s="1505"/>
      <c r="G12" s="1505"/>
      <c r="H12" s="1506"/>
      <c r="I12" s="525"/>
    </row>
    <row r="13" spans="1:9" ht="110.1" customHeight="1">
      <c r="A13" s="181" t="s">
        <v>72</v>
      </c>
      <c r="B13" s="181">
        <v>150</v>
      </c>
      <c r="C13" s="181" t="s">
        <v>233</v>
      </c>
      <c r="D13" s="195" t="s">
        <v>237</v>
      </c>
      <c r="E13" s="181"/>
      <c r="F13" s="181">
        <v>1</v>
      </c>
      <c r="G13" s="1355"/>
      <c r="H13" s="1354">
        <f t="shared" ref="H13:H14" si="1">ROUND(F13*G13,2)</f>
        <v>0</v>
      </c>
    </row>
    <row r="14" spans="1:9" ht="69.95" customHeight="1">
      <c r="A14" s="181" t="s">
        <v>75</v>
      </c>
      <c r="B14" s="181">
        <v>150</v>
      </c>
      <c r="C14" s="181" t="s">
        <v>233</v>
      </c>
      <c r="D14" s="195" t="s">
        <v>238</v>
      </c>
      <c r="E14" s="181"/>
      <c r="F14" s="181">
        <v>1</v>
      </c>
      <c r="G14" s="1355"/>
      <c r="H14" s="1356">
        <f t="shared" si="1"/>
        <v>0</v>
      </c>
    </row>
    <row r="15" spans="1:9" ht="15" customHeight="1">
      <c r="A15" s="1060"/>
      <c r="B15" s="166"/>
      <c r="C15" s="167"/>
      <c r="D15" s="1061"/>
      <c r="E15" s="168"/>
      <c r="F15" s="169"/>
      <c r="G15" s="170"/>
      <c r="H15" s="1062"/>
    </row>
    <row r="16" spans="1:9" s="526" customFormat="1" ht="14.25" customHeight="1">
      <c r="A16" s="1504" t="s">
        <v>224</v>
      </c>
      <c r="B16" s="1505"/>
      <c r="C16" s="1505"/>
      <c r="D16" s="1505"/>
      <c r="E16" s="1505"/>
      <c r="F16" s="1505"/>
      <c r="G16" s="1505"/>
      <c r="H16" s="1506"/>
      <c r="I16" s="525"/>
    </row>
    <row r="17" spans="1:9" ht="115.15" customHeight="1">
      <c r="A17" s="181" t="s">
        <v>86</v>
      </c>
      <c r="B17" s="181">
        <v>150</v>
      </c>
      <c r="C17" s="181" t="s">
        <v>233</v>
      </c>
      <c r="D17" s="195" t="s">
        <v>239</v>
      </c>
      <c r="E17" s="181"/>
      <c r="F17" s="181">
        <v>1</v>
      </c>
      <c r="G17" s="1354"/>
      <c r="H17" s="1354">
        <f t="shared" ref="H17:H21" si="2">ROUND(F17*G17,2)</f>
        <v>0</v>
      </c>
    </row>
    <row r="18" spans="1:9" ht="70.150000000000006" customHeight="1">
      <c r="A18" s="181" t="s">
        <v>88</v>
      </c>
      <c r="B18" s="181">
        <v>150</v>
      </c>
      <c r="C18" s="181" t="s">
        <v>233</v>
      </c>
      <c r="D18" s="195" t="s">
        <v>93</v>
      </c>
      <c r="E18" s="181"/>
      <c r="F18" s="181">
        <v>2</v>
      </c>
      <c r="G18" s="1354"/>
      <c r="H18" s="1354">
        <f t="shared" si="2"/>
        <v>0</v>
      </c>
    </row>
    <row r="19" spans="1:9" ht="69.95" customHeight="1">
      <c r="A19" s="181" t="s">
        <v>90</v>
      </c>
      <c r="B19" s="181">
        <v>150</v>
      </c>
      <c r="C19" s="181" t="s">
        <v>233</v>
      </c>
      <c r="D19" s="195" t="s">
        <v>240</v>
      </c>
      <c r="E19" s="182"/>
      <c r="F19" s="182">
        <v>1</v>
      </c>
      <c r="G19" s="1354"/>
      <c r="H19" s="1354">
        <f t="shared" si="2"/>
        <v>0</v>
      </c>
    </row>
    <row r="20" spans="1:9" ht="68.45" customHeight="1">
      <c r="A20" s="181" t="s">
        <v>92</v>
      </c>
      <c r="B20" s="181">
        <v>150</v>
      </c>
      <c r="C20" s="181" t="s">
        <v>233</v>
      </c>
      <c r="D20" s="195" t="s">
        <v>241</v>
      </c>
      <c r="E20" s="182"/>
      <c r="F20" s="182">
        <v>1</v>
      </c>
      <c r="G20" s="1354"/>
      <c r="H20" s="1354">
        <f t="shared" si="2"/>
        <v>0</v>
      </c>
    </row>
    <row r="21" spans="1:9" ht="66.599999999999994" customHeight="1">
      <c r="A21" s="181" t="s">
        <v>94</v>
      </c>
      <c r="B21" s="181">
        <v>150</v>
      </c>
      <c r="C21" s="181" t="s">
        <v>233</v>
      </c>
      <c r="D21" s="195" t="s">
        <v>242</v>
      </c>
      <c r="E21" s="182"/>
      <c r="F21" s="182">
        <v>1</v>
      </c>
      <c r="G21" s="1354"/>
      <c r="H21" s="1354">
        <f t="shared" si="2"/>
        <v>0</v>
      </c>
    </row>
    <row r="22" spans="1:9" s="526" customFormat="1" ht="15" customHeight="1">
      <c r="A22" s="1490" t="s">
        <v>243</v>
      </c>
      <c r="B22" s="1491"/>
      <c r="C22" s="1491"/>
      <c r="D22" s="1491"/>
      <c r="E22" s="1491"/>
      <c r="F22" s="1491"/>
      <c r="G22" s="1492"/>
      <c r="H22" s="1496">
        <f>SUM(H17:H21)+SUM(H13:H14)+SUM(H8:H10)</f>
        <v>0</v>
      </c>
      <c r="I22" s="525"/>
    </row>
    <row r="23" spans="1:9" s="526" customFormat="1" ht="15" customHeight="1">
      <c r="A23" s="1493"/>
      <c r="B23" s="1494"/>
      <c r="C23" s="1494"/>
      <c r="D23" s="1494"/>
      <c r="E23" s="1494"/>
      <c r="F23" s="1494"/>
      <c r="G23" s="1495"/>
      <c r="H23" s="1497"/>
      <c r="I23" s="525"/>
    </row>
    <row r="24" spans="1:9" ht="15" customHeight="1">
      <c r="A24" s="1050"/>
      <c r="H24" s="1051"/>
    </row>
    <row r="25" spans="1:9" s="526" customFormat="1" ht="15" customHeight="1">
      <c r="A25" s="1498" t="s">
        <v>244</v>
      </c>
      <c r="B25" s="1499"/>
      <c r="C25" s="1499"/>
      <c r="D25" s="1499"/>
      <c r="E25" s="1499"/>
      <c r="F25" s="1499"/>
      <c r="G25" s="1499"/>
      <c r="H25" s="1500"/>
      <c r="I25" s="525"/>
    </row>
    <row r="26" spans="1:9" ht="15" customHeight="1">
      <c r="A26" s="520"/>
      <c r="B26" s="510"/>
      <c r="C26" s="510"/>
      <c r="D26" s="510"/>
      <c r="E26" s="510"/>
      <c r="F26" s="510"/>
      <c r="G26" s="510"/>
      <c r="H26" s="521"/>
    </row>
    <row r="27" spans="1:9" s="526" customFormat="1" ht="15" customHeight="1">
      <c r="A27" s="1504" t="s">
        <v>222</v>
      </c>
      <c r="B27" s="1505"/>
      <c r="C27" s="1505"/>
      <c r="D27" s="1505"/>
      <c r="E27" s="1505"/>
      <c r="F27" s="1505"/>
      <c r="G27" s="1505"/>
      <c r="H27" s="1506"/>
      <c r="I27" s="525"/>
    </row>
    <row r="28" spans="1:9" ht="74.45" customHeight="1">
      <c r="A28" s="181" t="s">
        <v>153</v>
      </c>
      <c r="B28" s="181">
        <v>150</v>
      </c>
      <c r="C28" s="181" t="s">
        <v>233</v>
      </c>
      <c r="D28" s="195" t="s">
        <v>245</v>
      </c>
      <c r="E28" s="182"/>
      <c r="F28" s="182">
        <v>1</v>
      </c>
      <c r="G28" s="1354"/>
      <c r="H28" s="1354"/>
    </row>
    <row r="29" spans="1:9" ht="76.5">
      <c r="A29" s="181" t="s">
        <v>155</v>
      </c>
      <c r="B29" s="181">
        <v>150</v>
      </c>
      <c r="C29" s="181" t="s">
        <v>233</v>
      </c>
      <c r="D29" s="195" t="s">
        <v>246</v>
      </c>
      <c r="E29" s="182"/>
      <c r="F29" s="182">
        <v>1</v>
      </c>
      <c r="G29" s="1354"/>
      <c r="H29" s="1354"/>
    </row>
    <row r="30" spans="1:9" ht="75" customHeight="1">
      <c r="A30" s="181" t="s">
        <v>157</v>
      </c>
      <c r="B30" s="181">
        <v>350</v>
      </c>
      <c r="C30" s="181" t="s">
        <v>233</v>
      </c>
      <c r="D30" s="195" t="s">
        <v>247</v>
      </c>
      <c r="E30" s="182"/>
      <c r="F30" s="182">
        <v>1</v>
      </c>
      <c r="G30" s="1354"/>
      <c r="H30" s="1354"/>
    </row>
    <row r="31" spans="1:9" ht="75" customHeight="1">
      <c r="A31" s="181" t="s">
        <v>159</v>
      </c>
      <c r="B31" s="181">
        <v>150</v>
      </c>
      <c r="C31" s="181" t="s">
        <v>233</v>
      </c>
      <c r="D31" s="631" t="s">
        <v>248</v>
      </c>
      <c r="E31" s="182"/>
      <c r="F31" s="182">
        <v>2</v>
      </c>
      <c r="G31" s="1354"/>
      <c r="H31" s="1354"/>
    </row>
    <row r="32" spans="1:9" ht="69.95" customHeight="1">
      <c r="A32" s="181" t="s">
        <v>161</v>
      </c>
      <c r="B32" s="181">
        <v>150</v>
      </c>
      <c r="C32" s="632" t="s">
        <v>249</v>
      </c>
      <c r="D32" s="195" t="s">
        <v>162</v>
      </c>
      <c r="E32" s="182"/>
      <c r="F32" s="182">
        <v>2</v>
      </c>
      <c r="G32" s="1354"/>
      <c r="H32" s="1354"/>
    </row>
    <row r="33" spans="1:9" ht="140.25">
      <c r="A33" s="181" t="s">
        <v>163</v>
      </c>
      <c r="B33" s="181">
        <v>150</v>
      </c>
      <c r="C33" s="632" t="s">
        <v>250</v>
      </c>
      <c r="D33" s="195" t="s">
        <v>251</v>
      </c>
      <c r="E33" s="36"/>
      <c r="F33" s="182">
        <v>2</v>
      </c>
      <c r="G33" s="1357"/>
      <c r="H33" s="1357"/>
    </row>
    <row r="34" spans="1:9" ht="69.95" customHeight="1">
      <c r="A34" s="181" t="s">
        <v>165</v>
      </c>
      <c r="B34" s="181">
        <v>50</v>
      </c>
      <c r="C34" s="632" t="s">
        <v>252</v>
      </c>
      <c r="D34" s="195" t="s">
        <v>150</v>
      </c>
      <c r="E34" s="36"/>
      <c r="F34" s="182">
        <v>1</v>
      </c>
      <c r="G34" s="1357"/>
      <c r="H34" s="1357"/>
    </row>
    <row r="35" spans="1:9" s="526" customFormat="1" ht="15" customHeight="1">
      <c r="A35" s="1490" t="s">
        <v>253</v>
      </c>
      <c r="B35" s="1491"/>
      <c r="C35" s="1491"/>
      <c r="D35" s="1491"/>
      <c r="E35" s="1491"/>
      <c r="F35" s="1491"/>
      <c r="G35" s="1492"/>
      <c r="H35" s="1496"/>
      <c r="I35" s="525"/>
    </row>
    <row r="36" spans="1:9" s="526" customFormat="1" ht="15" customHeight="1">
      <c r="A36" s="1493"/>
      <c r="B36" s="1494"/>
      <c r="C36" s="1494"/>
      <c r="D36" s="1494"/>
      <c r="E36" s="1494"/>
      <c r="F36" s="1494"/>
      <c r="G36" s="1495"/>
      <c r="H36" s="1497"/>
      <c r="I36" s="525"/>
    </row>
    <row r="37" spans="1:9" ht="15" customHeight="1">
      <c r="A37" s="1063"/>
      <c r="B37" s="185"/>
      <c r="C37" s="191"/>
      <c r="D37" s="236"/>
      <c r="F37" s="187"/>
      <c r="G37" s="522"/>
      <c r="H37" s="1064"/>
    </row>
    <row r="38" spans="1:9" s="526" customFormat="1" ht="15" customHeight="1">
      <c r="A38" s="1504" t="s">
        <v>225</v>
      </c>
      <c r="B38" s="1505"/>
      <c r="C38" s="1505"/>
      <c r="D38" s="1505"/>
      <c r="E38" s="1505"/>
      <c r="F38" s="1505"/>
      <c r="G38" s="1505"/>
      <c r="H38" s="1506"/>
      <c r="I38" s="525"/>
    </row>
    <row r="39" spans="1:9" ht="64.150000000000006" customHeight="1">
      <c r="A39" s="181" t="s">
        <v>168</v>
      </c>
      <c r="B39" s="181">
        <v>500</v>
      </c>
      <c r="C39" s="181" t="s">
        <v>254</v>
      </c>
      <c r="D39" s="195" t="s">
        <v>255</v>
      </c>
      <c r="E39" s="181"/>
      <c r="F39" s="181">
        <v>2</v>
      </c>
      <c r="G39" s="1358"/>
      <c r="H39" s="1358"/>
    </row>
    <row r="40" spans="1:9" ht="63" customHeight="1">
      <c r="A40" s="181" t="s">
        <v>170</v>
      </c>
      <c r="B40" s="181">
        <v>500</v>
      </c>
      <c r="C40" s="181" t="s">
        <v>233</v>
      </c>
      <c r="D40" s="195" t="s">
        <v>171</v>
      </c>
      <c r="E40" s="182"/>
      <c r="F40" s="182">
        <v>1</v>
      </c>
      <c r="G40" s="1354"/>
      <c r="H40" s="1354"/>
    </row>
    <row r="41" spans="1:9" ht="57" customHeight="1">
      <c r="A41" s="181" t="s">
        <v>172</v>
      </c>
      <c r="B41" s="181">
        <v>500</v>
      </c>
      <c r="C41" s="632" t="s">
        <v>249</v>
      </c>
      <c r="D41" s="195" t="s">
        <v>107</v>
      </c>
      <c r="E41" s="182"/>
      <c r="F41" s="182">
        <v>1</v>
      </c>
      <c r="G41" s="1354"/>
      <c r="H41" s="1354"/>
    </row>
    <row r="42" spans="1:9" s="526" customFormat="1" ht="15" customHeight="1">
      <c r="A42" s="1490" t="s">
        <v>256</v>
      </c>
      <c r="B42" s="1491"/>
      <c r="C42" s="1491"/>
      <c r="D42" s="1491"/>
      <c r="E42" s="1491"/>
      <c r="F42" s="1491"/>
      <c r="G42" s="1492"/>
      <c r="H42" s="1496"/>
      <c r="I42" s="525"/>
    </row>
    <row r="43" spans="1:9" s="526" customFormat="1" ht="15" customHeight="1">
      <c r="A43" s="1493"/>
      <c r="B43" s="1494"/>
      <c r="C43" s="1494"/>
      <c r="D43" s="1494"/>
      <c r="E43" s="1494"/>
      <c r="F43" s="1494"/>
      <c r="G43" s="1495"/>
      <c r="H43" s="1497"/>
      <c r="I43" s="525"/>
    </row>
    <row r="44" spans="1:9" s="526" customFormat="1" ht="15" customHeight="1">
      <c r="A44" s="1065"/>
      <c r="B44" s="232"/>
      <c r="C44" s="232"/>
      <c r="D44" s="1066"/>
      <c r="E44" s="232"/>
      <c r="F44" s="232"/>
      <c r="G44" s="232"/>
      <c r="H44" s="1067"/>
      <c r="I44" s="525"/>
    </row>
    <row r="45" spans="1:9" s="526" customFormat="1" ht="15" customHeight="1">
      <c r="A45" s="1065"/>
      <c r="B45" s="232"/>
      <c r="C45" s="232"/>
      <c r="D45" s="1066"/>
      <c r="E45" s="232"/>
      <c r="F45" s="232"/>
      <c r="G45" s="232"/>
      <c r="H45" s="1067"/>
      <c r="I45" s="525"/>
    </row>
    <row r="46" spans="1:9" s="526" customFormat="1" ht="15" customHeight="1">
      <c r="A46" s="1498" t="s">
        <v>226</v>
      </c>
      <c r="B46" s="1499"/>
      <c r="C46" s="1499"/>
      <c r="D46" s="1499"/>
      <c r="E46" s="1499"/>
      <c r="F46" s="1499"/>
      <c r="G46" s="1499"/>
      <c r="H46" s="1500"/>
      <c r="I46" s="525"/>
    </row>
    <row r="47" spans="1:9" ht="69.95" customHeight="1">
      <c r="A47" s="181" t="s">
        <v>175</v>
      </c>
      <c r="B47" s="181">
        <v>500</v>
      </c>
      <c r="C47" s="181" t="s">
        <v>254</v>
      </c>
      <c r="D47" s="195" t="s">
        <v>245</v>
      </c>
      <c r="E47" s="181"/>
      <c r="F47" s="181">
        <v>2</v>
      </c>
      <c r="G47" s="1359"/>
      <c r="H47" s="1354"/>
    </row>
    <row r="48" spans="1:9" ht="69.95" customHeight="1">
      <c r="A48" s="181" t="s">
        <v>177</v>
      </c>
      <c r="B48" s="181">
        <v>500</v>
      </c>
      <c r="C48" s="181" t="s">
        <v>254</v>
      </c>
      <c r="D48" s="195" t="s">
        <v>257</v>
      </c>
      <c r="E48" s="181"/>
      <c r="F48" s="181">
        <v>1</v>
      </c>
      <c r="G48" s="1359"/>
      <c r="H48" s="1354"/>
    </row>
    <row r="49" spans="1:9" ht="53.45" customHeight="1">
      <c r="A49" s="181" t="s">
        <v>179</v>
      </c>
      <c r="B49" s="181">
        <v>500</v>
      </c>
      <c r="C49" s="632" t="s">
        <v>249</v>
      </c>
      <c r="D49" s="195" t="s">
        <v>107</v>
      </c>
      <c r="E49" s="181"/>
      <c r="F49" s="181">
        <v>1</v>
      </c>
      <c r="G49" s="1359"/>
      <c r="H49" s="1354"/>
    </row>
    <row r="50" spans="1:9" s="526" customFormat="1" ht="15" customHeight="1">
      <c r="A50" s="1490" t="s">
        <v>258</v>
      </c>
      <c r="B50" s="1491"/>
      <c r="C50" s="1491"/>
      <c r="D50" s="1491"/>
      <c r="E50" s="1491"/>
      <c r="F50" s="1491"/>
      <c r="G50" s="1492"/>
      <c r="H50" s="1496"/>
      <c r="I50" s="525"/>
    </row>
    <row r="51" spans="1:9" s="526" customFormat="1" ht="15" customHeight="1">
      <c r="A51" s="1493"/>
      <c r="B51" s="1494"/>
      <c r="C51" s="1494"/>
      <c r="D51" s="1494"/>
      <c r="E51" s="1494"/>
      <c r="F51" s="1494"/>
      <c r="G51" s="1495"/>
      <c r="H51" s="1497"/>
      <c r="I51" s="525"/>
    </row>
    <row r="52" spans="1:9" ht="15" customHeight="1">
      <c r="A52" s="1050"/>
      <c r="H52" s="1051"/>
    </row>
    <row r="53" spans="1:9" ht="15" customHeight="1">
      <c r="A53" s="1498" t="s">
        <v>259</v>
      </c>
      <c r="B53" s="1499"/>
      <c r="C53" s="1499"/>
      <c r="D53" s="1499"/>
      <c r="E53" s="1499"/>
      <c r="F53" s="1499"/>
      <c r="G53" s="1499"/>
      <c r="H53" s="1500"/>
    </row>
    <row r="54" spans="1:9" ht="72.599999999999994" customHeight="1">
      <c r="A54" s="181" t="s">
        <v>260</v>
      </c>
      <c r="B54" s="181">
        <v>500</v>
      </c>
      <c r="C54" s="181" t="s">
        <v>254</v>
      </c>
      <c r="D54" s="195" t="s">
        <v>245</v>
      </c>
      <c r="E54" s="181"/>
      <c r="F54" s="181">
        <v>3</v>
      </c>
      <c r="G54" s="1359"/>
      <c r="H54" s="1354"/>
    </row>
    <row r="55" spans="1:9" ht="89.45" customHeight="1">
      <c r="A55" s="181" t="s">
        <v>261</v>
      </c>
      <c r="B55" s="181">
        <v>500</v>
      </c>
      <c r="C55" s="181" t="s">
        <v>254</v>
      </c>
      <c r="D55" s="195" t="s">
        <v>262</v>
      </c>
      <c r="E55" s="181"/>
      <c r="F55" s="181">
        <v>1</v>
      </c>
      <c r="G55" s="1359"/>
      <c r="H55" s="1354"/>
    </row>
    <row r="56" spans="1:9" ht="61.9" customHeight="1">
      <c r="A56" s="181" t="s">
        <v>263</v>
      </c>
      <c r="B56" s="181">
        <v>500</v>
      </c>
      <c r="C56" s="632" t="s">
        <v>249</v>
      </c>
      <c r="D56" s="195" t="s">
        <v>107</v>
      </c>
      <c r="E56" s="181"/>
      <c r="F56" s="181">
        <v>2</v>
      </c>
      <c r="G56" s="1359"/>
      <c r="H56" s="1354"/>
    </row>
    <row r="57" spans="1:9" ht="72.599999999999994" customHeight="1">
      <c r="A57" s="181" t="s">
        <v>264</v>
      </c>
      <c r="B57" s="181">
        <v>500</v>
      </c>
      <c r="C57" s="632" t="s">
        <v>250</v>
      </c>
      <c r="D57" s="195" t="s">
        <v>265</v>
      </c>
      <c r="E57" s="36"/>
      <c r="F57" s="181">
        <v>2</v>
      </c>
      <c r="G57" s="1359"/>
      <c r="H57" s="1354"/>
    </row>
    <row r="58" spans="1:9" ht="71.45" customHeight="1">
      <c r="A58" s="181" t="s">
        <v>266</v>
      </c>
      <c r="B58" s="181">
        <v>600</v>
      </c>
      <c r="C58" s="181" t="s">
        <v>267</v>
      </c>
      <c r="D58" s="195" t="s">
        <v>245</v>
      </c>
      <c r="E58" s="181"/>
      <c r="F58" s="181">
        <v>3</v>
      </c>
      <c r="G58" s="1359"/>
      <c r="H58" s="1354"/>
    </row>
    <row r="59" spans="1:9" ht="88.15" customHeight="1">
      <c r="A59" s="181" t="s">
        <v>268</v>
      </c>
      <c r="B59" s="181">
        <v>600</v>
      </c>
      <c r="C59" s="181" t="s">
        <v>267</v>
      </c>
      <c r="D59" s="195" t="s">
        <v>269</v>
      </c>
      <c r="E59" s="181"/>
      <c r="F59" s="181">
        <v>1</v>
      </c>
      <c r="G59" s="1359"/>
      <c r="H59" s="1354"/>
    </row>
    <row r="60" spans="1:9" ht="65.45" customHeight="1">
      <c r="A60" s="181" t="s">
        <v>270</v>
      </c>
      <c r="B60" s="181">
        <v>600</v>
      </c>
      <c r="C60" s="632" t="s">
        <v>249</v>
      </c>
      <c r="D60" s="195" t="s">
        <v>107</v>
      </c>
      <c r="E60" s="181"/>
      <c r="F60" s="181">
        <v>2</v>
      </c>
      <c r="G60" s="1359"/>
      <c r="H60" s="1354"/>
    </row>
    <row r="61" spans="1:9" ht="73.900000000000006" customHeight="1">
      <c r="A61" s="181" t="s">
        <v>271</v>
      </c>
      <c r="B61" s="181">
        <v>600</v>
      </c>
      <c r="C61" s="632" t="s">
        <v>250</v>
      </c>
      <c r="D61" s="195" t="s">
        <v>272</v>
      </c>
      <c r="E61" s="36"/>
      <c r="F61" s="182">
        <v>2</v>
      </c>
      <c r="G61" s="1354"/>
      <c r="H61" s="1354"/>
    </row>
    <row r="62" spans="1:9">
      <c r="A62" s="204"/>
      <c r="B62" s="205"/>
      <c r="C62" s="634"/>
      <c r="D62" s="206"/>
      <c r="E62" s="217"/>
      <c r="F62" s="403"/>
      <c r="G62" s="635"/>
      <c r="H62" s="636"/>
    </row>
    <row r="63" spans="1:9">
      <c r="A63" s="1490" t="s">
        <v>273</v>
      </c>
      <c r="B63" s="1491"/>
      <c r="C63" s="1491"/>
      <c r="D63" s="1491"/>
      <c r="E63" s="1491"/>
      <c r="F63" s="1491"/>
      <c r="G63" s="1492"/>
      <c r="H63" s="1496"/>
    </row>
    <row r="64" spans="1:9" ht="15" customHeight="1">
      <c r="A64" s="1493"/>
      <c r="B64" s="1494"/>
      <c r="C64" s="1494"/>
      <c r="D64" s="1494"/>
      <c r="E64" s="1494"/>
      <c r="F64" s="1494"/>
      <c r="G64" s="1495"/>
      <c r="H64" s="1497"/>
    </row>
    <row r="65" spans="1:9" ht="15" customHeight="1">
      <c r="A65" s="1063"/>
      <c r="B65" s="185"/>
      <c r="C65" s="185"/>
      <c r="D65" s="236"/>
      <c r="E65" s="185"/>
      <c r="F65" s="185"/>
      <c r="G65" s="185"/>
      <c r="H65" s="1062"/>
    </row>
    <row r="66" spans="1:9" ht="15" customHeight="1">
      <c r="A66" s="1063"/>
      <c r="B66" s="185"/>
      <c r="C66" s="185"/>
      <c r="D66" s="236"/>
      <c r="E66" s="185"/>
      <c r="F66" s="185"/>
      <c r="G66" s="185"/>
      <c r="H66" s="1062"/>
    </row>
    <row r="67" spans="1:9" s="526" customFormat="1" ht="15" customHeight="1">
      <c r="A67" s="1498" t="s">
        <v>274</v>
      </c>
      <c r="B67" s="1499"/>
      <c r="C67" s="1499"/>
      <c r="D67" s="1499"/>
      <c r="E67" s="1499"/>
      <c r="F67" s="1499"/>
      <c r="G67" s="1499"/>
      <c r="H67" s="1500"/>
      <c r="I67" s="525"/>
    </row>
    <row r="68" spans="1:9" ht="15" customHeight="1">
      <c r="A68" s="1050"/>
      <c r="H68" s="1051"/>
    </row>
    <row r="69" spans="1:9" s="526" customFormat="1" ht="15" customHeight="1">
      <c r="A69" s="1498" t="s">
        <v>227</v>
      </c>
      <c r="B69" s="1499"/>
      <c r="C69" s="1499"/>
      <c r="D69" s="1499"/>
      <c r="E69" s="1499"/>
      <c r="F69" s="1499"/>
      <c r="G69" s="1499"/>
      <c r="H69" s="1500"/>
      <c r="I69" s="525"/>
    </row>
    <row r="70" spans="1:9" ht="77.45" customHeight="1">
      <c r="A70" s="181" t="s">
        <v>181</v>
      </c>
      <c r="B70" s="182">
        <v>500</v>
      </c>
      <c r="C70" s="632" t="s">
        <v>275</v>
      </c>
      <c r="D70" s="195" t="s">
        <v>276</v>
      </c>
      <c r="E70" s="182"/>
      <c r="F70" s="182">
        <v>9</v>
      </c>
      <c r="G70" s="1354"/>
      <c r="H70" s="1354"/>
    </row>
    <row r="71" spans="1:9" ht="69.95" customHeight="1">
      <c r="A71" s="181" t="s">
        <v>184</v>
      </c>
      <c r="B71" s="182">
        <v>500</v>
      </c>
      <c r="C71" s="632" t="s">
        <v>275</v>
      </c>
      <c r="D71" s="195" t="s">
        <v>277</v>
      </c>
      <c r="E71" s="182"/>
      <c r="F71" s="182">
        <v>1</v>
      </c>
      <c r="G71" s="1360"/>
      <c r="H71" s="1354"/>
    </row>
    <row r="72" spans="1:9" ht="69.95" customHeight="1">
      <c r="A72" s="181" t="s">
        <v>186</v>
      </c>
      <c r="B72" s="182">
        <v>500</v>
      </c>
      <c r="C72" s="632" t="s">
        <v>249</v>
      </c>
      <c r="D72" s="195" t="s">
        <v>107</v>
      </c>
      <c r="E72" s="182"/>
      <c r="F72" s="182">
        <v>1</v>
      </c>
      <c r="G72" s="1360"/>
      <c r="H72" s="1354"/>
    </row>
    <row r="73" spans="1:9" ht="69.95" customHeight="1">
      <c r="A73" s="181" t="s">
        <v>188</v>
      </c>
      <c r="B73" s="182">
        <v>500</v>
      </c>
      <c r="C73" s="632" t="s">
        <v>275</v>
      </c>
      <c r="D73" s="195" t="s">
        <v>278</v>
      </c>
      <c r="E73" s="182"/>
      <c r="F73" s="182">
        <v>1</v>
      </c>
      <c r="G73" s="1360"/>
      <c r="H73" s="1354"/>
    </row>
    <row r="74" spans="1:9" ht="69.95" customHeight="1">
      <c r="A74" s="181" t="s">
        <v>190</v>
      </c>
      <c r="B74" s="182">
        <v>500</v>
      </c>
      <c r="C74" s="632" t="s">
        <v>275</v>
      </c>
      <c r="D74" s="195" t="s">
        <v>279</v>
      </c>
      <c r="E74" s="182"/>
      <c r="F74" s="182">
        <v>1</v>
      </c>
      <c r="G74" s="1354"/>
      <c r="H74" s="1354"/>
    </row>
    <row r="75" spans="1:9" ht="69.95" customHeight="1">
      <c r="A75" s="181" t="s">
        <v>192</v>
      </c>
      <c r="B75" s="182">
        <v>500</v>
      </c>
      <c r="C75" s="632" t="s">
        <v>275</v>
      </c>
      <c r="D75" s="195" t="s">
        <v>280</v>
      </c>
      <c r="E75" s="182"/>
      <c r="F75" s="182">
        <v>1</v>
      </c>
      <c r="G75" s="1354"/>
      <c r="H75" s="1354"/>
    </row>
    <row r="76" spans="1:9" ht="69.95" customHeight="1">
      <c r="A76" s="181" t="s">
        <v>195</v>
      </c>
      <c r="B76" s="182">
        <v>500</v>
      </c>
      <c r="C76" s="632" t="s">
        <v>275</v>
      </c>
      <c r="D76" s="195" t="s">
        <v>281</v>
      </c>
      <c r="E76" s="182"/>
      <c r="F76" s="182">
        <v>1</v>
      </c>
      <c r="G76" s="1360"/>
      <c r="H76" s="1354"/>
    </row>
    <row r="77" spans="1:9" ht="86.45" customHeight="1">
      <c r="A77" s="181" t="s">
        <v>197</v>
      </c>
      <c r="B77" s="182">
        <v>500</v>
      </c>
      <c r="C77" s="632" t="s">
        <v>275</v>
      </c>
      <c r="D77" s="195" t="s">
        <v>282</v>
      </c>
      <c r="E77" s="182"/>
      <c r="F77" s="182">
        <v>1</v>
      </c>
      <c r="G77" s="1360"/>
      <c r="H77" s="1354"/>
    </row>
    <row r="78" spans="1:9" ht="110.1" customHeight="1">
      <c r="A78" s="181" t="s">
        <v>199</v>
      </c>
      <c r="B78" s="182">
        <v>500</v>
      </c>
      <c r="C78" s="632" t="s">
        <v>275</v>
      </c>
      <c r="D78" s="195" t="s">
        <v>198</v>
      </c>
      <c r="E78" s="182"/>
      <c r="F78" s="182">
        <v>1</v>
      </c>
      <c r="G78" s="1360"/>
      <c r="H78" s="1354"/>
    </row>
    <row r="79" spans="1:9" ht="110.1" customHeight="1">
      <c r="A79" s="181" t="s">
        <v>201</v>
      </c>
      <c r="B79" s="182">
        <v>500</v>
      </c>
      <c r="C79" s="181" t="s">
        <v>254</v>
      </c>
      <c r="D79" s="195" t="s">
        <v>283</v>
      </c>
      <c r="E79" s="182"/>
      <c r="F79" s="182">
        <v>1</v>
      </c>
      <c r="G79" s="1360"/>
      <c r="H79" s="1354"/>
    </row>
    <row r="80" spans="1:9" s="526" customFormat="1" ht="15" customHeight="1">
      <c r="A80" s="1490" t="s">
        <v>284</v>
      </c>
      <c r="B80" s="1491"/>
      <c r="C80" s="1491"/>
      <c r="D80" s="1491"/>
      <c r="E80" s="1491"/>
      <c r="F80" s="1491"/>
      <c r="G80" s="1492"/>
      <c r="H80" s="1496"/>
      <c r="I80" s="525"/>
    </row>
    <row r="81" spans="1:9" s="526" customFormat="1" ht="15" customHeight="1">
      <c r="A81" s="1493"/>
      <c r="B81" s="1494"/>
      <c r="C81" s="1494"/>
      <c r="D81" s="1494"/>
      <c r="E81" s="1494"/>
      <c r="F81" s="1494"/>
      <c r="G81" s="1495"/>
      <c r="H81" s="1497"/>
      <c r="I81" s="525"/>
    </row>
    <row r="82" spans="1:9" ht="15" customHeight="1">
      <c r="A82" s="1050"/>
      <c r="H82" s="1051"/>
    </row>
    <row r="83" spans="1:9" ht="15" customHeight="1">
      <c r="A83" s="1050"/>
      <c r="H83" s="1051"/>
    </row>
    <row r="84" spans="1:9" ht="15" customHeight="1">
      <c r="A84" s="1050"/>
      <c r="H84" s="1051"/>
    </row>
    <row r="85" spans="1:9" s="526" customFormat="1" ht="15" customHeight="1">
      <c r="A85" s="1498" t="s">
        <v>228</v>
      </c>
      <c r="B85" s="1499"/>
      <c r="C85" s="1499"/>
      <c r="D85" s="1499"/>
      <c r="E85" s="1499"/>
      <c r="F85" s="1499"/>
      <c r="G85" s="1499"/>
      <c r="H85" s="1500"/>
      <c r="I85" s="525"/>
    </row>
    <row r="86" spans="1:9" ht="15" customHeight="1">
      <c r="A86" s="1483"/>
      <c r="B86" s="1484"/>
      <c r="C86" s="1484"/>
      <c r="D86" s="1484"/>
      <c r="E86" s="1484"/>
      <c r="F86" s="1484"/>
      <c r="G86" s="1484"/>
      <c r="H86" s="1485"/>
    </row>
    <row r="87" spans="1:9" ht="69.95" customHeight="1">
      <c r="A87" s="181" t="s">
        <v>204</v>
      </c>
      <c r="B87" s="182">
        <v>600</v>
      </c>
      <c r="C87" s="632" t="s">
        <v>285</v>
      </c>
      <c r="D87" s="195" t="s">
        <v>286</v>
      </c>
      <c r="E87" s="182"/>
      <c r="F87" s="182">
        <v>8</v>
      </c>
      <c r="G87" s="1354"/>
      <c r="H87" s="1354"/>
    </row>
    <row r="88" spans="1:9" ht="69.95" customHeight="1">
      <c r="A88" s="181" t="s">
        <v>207</v>
      </c>
      <c r="B88" s="182">
        <v>600</v>
      </c>
      <c r="C88" s="632" t="s">
        <v>285</v>
      </c>
      <c r="D88" s="199" t="s">
        <v>287</v>
      </c>
      <c r="E88" s="182"/>
      <c r="F88" s="182">
        <v>1</v>
      </c>
      <c r="G88" s="1354"/>
      <c r="H88" s="1354"/>
    </row>
    <row r="89" spans="1:9" ht="69.95" customHeight="1">
      <c r="A89" s="181" t="s">
        <v>209</v>
      </c>
      <c r="B89" s="182">
        <v>600</v>
      </c>
      <c r="C89" s="632" t="s">
        <v>249</v>
      </c>
      <c r="D89" s="195" t="s">
        <v>107</v>
      </c>
      <c r="E89" s="182"/>
      <c r="F89" s="182">
        <v>1</v>
      </c>
      <c r="G89" s="1354"/>
      <c r="H89" s="1354"/>
    </row>
    <row r="90" spans="1:9" ht="60.6" customHeight="1">
      <c r="A90" s="181" t="s">
        <v>211</v>
      </c>
      <c r="B90" s="182">
        <v>600</v>
      </c>
      <c r="C90" s="632" t="s">
        <v>285</v>
      </c>
      <c r="D90" s="195" t="s">
        <v>288</v>
      </c>
      <c r="E90" s="182"/>
      <c r="F90" s="182">
        <v>1</v>
      </c>
      <c r="G90" s="1354"/>
      <c r="H90" s="1354"/>
    </row>
    <row r="91" spans="1:9" ht="63.6" customHeight="1">
      <c r="A91" s="181" t="s">
        <v>213</v>
      </c>
      <c r="B91" s="182">
        <v>600</v>
      </c>
      <c r="C91" s="632" t="s">
        <v>285</v>
      </c>
      <c r="D91" s="195" t="s">
        <v>279</v>
      </c>
      <c r="E91" s="182"/>
      <c r="F91" s="182">
        <v>1</v>
      </c>
      <c r="G91" s="1360"/>
      <c r="H91" s="1354"/>
    </row>
    <row r="92" spans="1:9" ht="63.6" customHeight="1">
      <c r="A92" s="181" t="s">
        <v>215</v>
      </c>
      <c r="B92" s="182">
        <v>600</v>
      </c>
      <c r="C92" s="632" t="s">
        <v>285</v>
      </c>
      <c r="D92" s="195" t="s">
        <v>289</v>
      </c>
      <c r="E92" s="182"/>
      <c r="F92" s="182">
        <v>1</v>
      </c>
      <c r="G92" s="1360"/>
      <c r="H92" s="1354"/>
    </row>
    <row r="93" spans="1:9" ht="110.1" customHeight="1">
      <c r="A93" s="181" t="s">
        <v>217</v>
      </c>
      <c r="B93" s="182">
        <v>600</v>
      </c>
      <c r="C93" s="181" t="s">
        <v>267</v>
      </c>
      <c r="D93" s="195" t="s">
        <v>290</v>
      </c>
      <c r="E93" s="182"/>
      <c r="F93" s="182">
        <v>1</v>
      </c>
      <c r="G93" s="1354"/>
      <c r="H93" s="1354"/>
    </row>
    <row r="94" spans="1:9" s="526" customFormat="1" ht="15" customHeight="1">
      <c r="A94" s="1507" t="s">
        <v>291</v>
      </c>
      <c r="B94" s="1507"/>
      <c r="C94" s="1507"/>
      <c r="D94" s="1507"/>
      <c r="E94" s="1507"/>
      <c r="F94" s="1507"/>
      <c r="G94" s="1507"/>
      <c r="H94" s="1508"/>
      <c r="I94" s="525"/>
    </row>
    <row r="95" spans="1:9" s="526" customFormat="1" ht="15" customHeight="1">
      <c r="A95" s="1507"/>
      <c r="B95" s="1507"/>
      <c r="C95" s="1507"/>
      <c r="D95" s="1507"/>
      <c r="E95" s="1507"/>
      <c r="F95" s="1507"/>
      <c r="G95" s="1507"/>
      <c r="H95" s="1509"/>
      <c r="I95" s="525"/>
    </row>
    <row r="96" spans="1:9" ht="15" customHeight="1">
      <c r="A96" s="1063"/>
      <c r="B96" s="185"/>
      <c r="C96" s="185"/>
      <c r="D96" s="236"/>
      <c r="E96" s="185"/>
      <c r="F96" s="185"/>
      <c r="G96" s="185"/>
      <c r="H96" s="1062"/>
    </row>
    <row r="97" spans="1:9" ht="15" customHeight="1">
      <c r="A97" s="1063"/>
      <c r="B97" s="185"/>
      <c r="C97" s="185"/>
      <c r="D97" s="236"/>
      <c r="E97" s="185"/>
      <c r="F97" s="185"/>
      <c r="G97" s="185"/>
      <c r="H97" s="1062"/>
    </row>
    <row r="98" spans="1:9" ht="15" customHeight="1">
      <c r="A98" s="1498" t="s">
        <v>292</v>
      </c>
      <c r="B98" s="1499"/>
      <c r="C98" s="1499"/>
      <c r="D98" s="1499"/>
      <c r="E98" s="1499"/>
      <c r="F98" s="1499"/>
      <c r="G98" s="1499"/>
      <c r="H98" s="1500"/>
    </row>
    <row r="99" spans="1:9" ht="15" customHeight="1">
      <c r="A99" s="1063"/>
      <c r="B99" s="185"/>
      <c r="C99" s="185"/>
      <c r="D99" s="236"/>
      <c r="E99" s="185"/>
      <c r="F99" s="185"/>
      <c r="G99" s="185"/>
      <c r="H99" s="1062"/>
    </row>
    <row r="100" spans="1:9" s="526" customFormat="1" ht="15" customHeight="1">
      <c r="A100" s="1498" t="s">
        <v>223</v>
      </c>
      <c r="B100" s="1499"/>
      <c r="C100" s="1499"/>
      <c r="D100" s="1499"/>
      <c r="E100" s="1499"/>
      <c r="F100" s="1499"/>
      <c r="G100" s="1499"/>
      <c r="H100" s="1500"/>
      <c r="I100" s="525"/>
    </row>
    <row r="101" spans="1:9" ht="77.45" customHeight="1">
      <c r="A101" s="181" t="s">
        <v>98</v>
      </c>
      <c r="B101" s="181">
        <v>600</v>
      </c>
      <c r="C101" s="181" t="s">
        <v>267</v>
      </c>
      <c r="D101" s="195" t="s">
        <v>293</v>
      </c>
      <c r="E101" s="181"/>
      <c r="F101" s="181">
        <v>2</v>
      </c>
      <c r="G101" s="1358"/>
      <c r="H101" s="1358"/>
    </row>
    <row r="102" spans="1:9" ht="110.1" customHeight="1">
      <c r="A102" s="181" t="s">
        <v>100</v>
      </c>
      <c r="B102" s="181">
        <v>600</v>
      </c>
      <c r="C102" s="632" t="s">
        <v>285</v>
      </c>
      <c r="D102" s="195" t="s">
        <v>294</v>
      </c>
      <c r="E102" s="181"/>
      <c r="F102" s="181">
        <v>1</v>
      </c>
      <c r="G102" s="1358"/>
      <c r="H102" s="1358"/>
    </row>
    <row r="103" spans="1:9" ht="69.95" customHeight="1">
      <c r="A103" s="181" t="s">
        <v>102</v>
      </c>
      <c r="B103" s="181">
        <v>600</v>
      </c>
      <c r="C103" s="632" t="s">
        <v>285</v>
      </c>
      <c r="D103" s="195" t="s">
        <v>103</v>
      </c>
      <c r="E103" s="181"/>
      <c r="F103" s="181">
        <v>4</v>
      </c>
      <c r="G103" s="1358"/>
      <c r="H103" s="1358"/>
    </row>
    <row r="104" spans="1:9" ht="60.75" customHeight="1">
      <c r="A104" s="181" t="s">
        <v>104</v>
      </c>
      <c r="B104" s="181">
        <v>600</v>
      </c>
      <c r="C104" s="632" t="s">
        <v>285</v>
      </c>
      <c r="D104" s="195" t="s">
        <v>295</v>
      </c>
      <c r="E104" s="181"/>
      <c r="F104" s="181">
        <v>2</v>
      </c>
      <c r="G104" s="1358"/>
      <c r="H104" s="1358"/>
    </row>
    <row r="105" spans="1:9" ht="58.5" customHeight="1">
      <c r="A105" s="181" t="s">
        <v>106</v>
      </c>
      <c r="B105" s="181">
        <v>600</v>
      </c>
      <c r="C105" s="632" t="s">
        <v>249</v>
      </c>
      <c r="D105" s="195" t="s">
        <v>107</v>
      </c>
      <c r="E105" s="181"/>
      <c r="F105" s="181">
        <v>2</v>
      </c>
      <c r="G105" s="1358"/>
      <c r="H105" s="1358"/>
    </row>
    <row r="106" spans="1:9" ht="96" customHeight="1">
      <c r="A106" s="181" t="s">
        <v>108</v>
      </c>
      <c r="B106" s="181">
        <v>600</v>
      </c>
      <c r="C106" s="632" t="s">
        <v>285</v>
      </c>
      <c r="D106" s="195" t="s">
        <v>296</v>
      </c>
      <c r="E106" s="181"/>
      <c r="F106" s="181">
        <v>2</v>
      </c>
      <c r="G106" s="1358"/>
      <c r="H106" s="1359"/>
    </row>
    <row r="107" spans="1:9" ht="99" customHeight="1">
      <c r="A107" s="181" t="s">
        <v>110</v>
      </c>
      <c r="B107" s="181" t="s">
        <v>111</v>
      </c>
      <c r="C107" s="632" t="s">
        <v>249</v>
      </c>
      <c r="D107" s="195" t="s">
        <v>297</v>
      </c>
      <c r="E107" s="181"/>
      <c r="F107" s="181">
        <v>2</v>
      </c>
      <c r="G107" s="1358"/>
      <c r="H107" s="1358"/>
    </row>
    <row r="108" spans="1:9" ht="110.1" customHeight="1">
      <c r="A108" s="181" t="s">
        <v>113</v>
      </c>
      <c r="B108" s="181">
        <v>600</v>
      </c>
      <c r="C108" s="632" t="s">
        <v>285</v>
      </c>
      <c r="D108" s="195" t="s">
        <v>298</v>
      </c>
      <c r="E108" s="181"/>
      <c r="F108" s="181">
        <v>1</v>
      </c>
      <c r="G108" s="1358"/>
      <c r="H108" s="1359"/>
    </row>
    <row r="109" spans="1:9" ht="69.95" customHeight="1">
      <c r="A109" s="181" t="s">
        <v>115</v>
      </c>
      <c r="B109" s="181">
        <v>600</v>
      </c>
      <c r="C109" s="632" t="s">
        <v>285</v>
      </c>
      <c r="D109" s="195" t="s">
        <v>116</v>
      </c>
      <c r="E109" s="181"/>
      <c r="F109" s="181">
        <v>1</v>
      </c>
      <c r="G109" s="1358"/>
      <c r="H109" s="1358"/>
    </row>
    <row r="110" spans="1:9" ht="85.9" customHeight="1">
      <c r="A110" s="181" t="s">
        <v>117</v>
      </c>
      <c r="B110" s="181">
        <v>500</v>
      </c>
      <c r="C110" s="181" t="s">
        <v>254</v>
      </c>
      <c r="D110" s="195" t="s">
        <v>299</v>
      </c>
      <c r="E110" s="181"/>
      <c r="F110" s="181">
        <v>2</v>
      </c>
      <c r="G110" s="1358"/>
      <c r="H110" s="1358"/>
    </row>
    <row r="111" spans="1:9">
      <c r="A111" s="614" t="s">
        <v>96</v>
      </c>
      <c r="B111" s="615"/>
      <c r="C111" s="615"/>
      <c r="D111" s="626"/>
      <c r="E111" s="615"/>
      <c r="F111" s="615"/>
      <c r="G111" s="616"/>
      <c r="H111" s="1496"/>
    </row>
    <row r="112" spans="1:9" ht="15.6" customHeight="1">
      <c r="A112" s="617"/>
      <c r="B112" s="618"/>
      <c r="C112" s="618"/>
      <c r="D112" s="627"/>
      <c r="E112" s="618"/>
      <c r="F112" s="618"/>
      <c r="G112" s="619"/>
      <c r="H112" s="1497"/>
    </row>
    <row r="113" spans="1:8" ht="15.6" customHeight="1">
      <c r="A113" s="1501" t="s">
        <v>220</v>
      </c>
      <c r="B113" s="1502"/>
      <c r="C113" s="1502"/>
      <c r="D113" s="1502"/>
      <c r="E113" s="1502"/>
      <c r="F113" s="1502"/>
      <c r="G113" s="1503"/>
      <c r="H113" s="213"/>
    </row>
    <row r="114" spans="1:8" ht="15.6" customHeight="1">
      <c r="A114" s="610"/>
      <c r="B114" s="611"/>
      <c r="C114" s="611"/>
      <c r="D114" s="628"/>
      <c r="E114" s="611"/>
      <c r="F114" s="611"/>
      <c r="G114" s="612"/>
      <c r="H114" s="613"/>
    </row>
    <row r="115" spans="1:8" ht="15.6" customHeight="1">
      <c r="A115" s="1504" t="s">
        <v>300</v>
      </c>
      <c r="B115" s="1505"/>
      <c r="C115" s="1505"/>
      <c r="D115" s="1505"/>
      <c r="E115" s="1505"/>
      <c r="F115" s="1505"/>
      <c r="G115" s="1505"/>
      <c r="H115" s="1506"/>
    </row>
    <row r="116" spans="1:8" ht="90" customHeight="1">
      <c r="A116" s="181" t="s">
        <v>119</v>
      </c>
      <c r="B116" s="181">
        <v>500</v>
      </c>
      <c r="C116" s="632" t="s">
        <v>275</v>
      </c>
      <c r="D116" s="195" t="s">
        <v>301</v>
      </c>
      <c r="E116" s="181"/>
      <c r="F116" s="181">
        <v>1</v>
      </c>
      <c r="G116" s="1358"/>
      <c r="H116" s="1358"/>
    </row>
    <row r="117" spans="1:8" ht="80.45" customHeight="1">
      <c r="A117" s="181" t="s">
        <v>122</v>
      </c>
      <c r="B117" s="181">
        <v>500</v>
      </c>
      <c r="C117" s="632" t="s">
        <v>275</v>
      </c>
      <c r="D117" s="195" t="s">
        <v>302</v>
      </c>
      <c r="E117" s="181"/>
      <c r="F117" s="181">
        <v>4</v>
      </c>
      <c r="G117" s="1358"/>
      <c r="H117" s="1358"/>
    </row>
    <row r="118" spans="1:8" ht="77.45" customHeight="1">
      <c r="A118" s="181" t="s">
        <v>124</v>
      </c>
      <c r="B118" s="181" t="s">
        <v>303</v>
      </c>
      <c r="C118" s="632" t="s">
        <v>304</v>
      </c>
      <c r="D118" s="195" t="s">
        <v>305</v>
      </c>
      <c r="E118" s="182"/>
      <c r="F118" s="182">
        <v>2</v>
      </c>
      <c r="G118" s="1354"/>
      <c r="H118" s="1358"/>
    </row>
    <row r="119" spans="1:8" ht="69.95" customHeight="1">
      <c r="A119" s="181" t="s">
        <v>127</v>
      </c>
      <c r="B119" s="182">
        <v>300</v>
      </c>
      <c r="C119" s="632" t="s">
        <v>249</v>
      </c>
      <c r="D119" s="195" t="s">
        <v>107</v>
      </c>
      <c r="E119" s="182"/>
      <c r="F119" s="182">
        <v>4</v>
      </c>
      <c r="G119" s="1354"/>
      <c r="H119" s="1354"/>
    </row>
    <row r="120" spans="1:8" ht="69.95" customHeight="1">
      <c r="A120" s="181" t="s">
        <v>128</v>
      </c>
      <c r="B120" s="182">
        <v>300</v>
      </c>
      <c r="C120" s="632" t="s">
        <v>304</v>
      </c>
      <c r="D120" s="195" t="s">
        <v>306</v>
      </c>
      <c r="E120" s="182"/>
      <c r="F120" s="182">
        <v>2</v>
      </c>
      <c r="G120" s="1354"/>
      <c r="H120" s="1354"/>
    </row>
    <row r="121" spans="1:8" ht="69.95" customHeight="1">
      <c r="A121" s="181" t="s">
        <v>130</v>
      </c>
      <c r="B121" s="182">
        <v>300</v>
      </c>
      <c r="C121" s="632" t="s">
        <v>304</v>
      </c>
      <c r="D121" s="195" t="s">
        <v>307</v>
      </c>
      <c r="E121" s="182"/>
      <c r="F121" s="182">
        <v>2</v>
      </c>
      <c r="G121" s="1354"/>
      <c r="H121" s="1354"/>
    </row>
    <row r="122" spans="1:8" ht="121.15" customHeight="1">
      <c r="A122" s="181" t="s">
        <v>132</v>
      </c>
      <c r="B122" s="182">
        <v>500</v>
      </c>
      <c r="C122" s="632" t="s">
        <v>275</v>
      </c>
      <c r="D122" s="195" t="s">
        <v>308</v>
      </c>
      <c r="E122" s="182"/>
      <c r="F122" s="182">
        <v>1</v>
      </c>
      <c r="G122" s="1354"/>
      <c r="H122" s="1354"/>
    </row>
    <row r="123" spans="1:8" ht="165" customHeight="1">
      <c r="A123" s="181" t="s">
        <v>134</v>
      </c>
      <c r="B123" s="182">
        <v>600</v>
      </c>
      <c r="C123" s="633" t="s">
        <v>250</v>
      </c>
      <c r="D123" s="195" t="s">
        <v>309</v>
      </c>
      <c r="E123" s="182"/>
      <c r="F123" s="182">
        <v>2</v>
      </c>
      <c r="G123" s="1354"/>
      <c r="H123" s="1354"/>
    </row>
    <row r="124" spans="1:8" ht="50.1" customHeight="1">
      <c r="A124" s="181" t="s">
        <v>136</v>
      </c>
      <c r="B124" s="182">
        <v>100</v>
      </c>
      <c r="C124" s="632" t="s">
        <v>252</v>
      </c>
      <c r="D124" s="195" t="s">
        <v>137</v>
      </c>
      <c r="E124" s="182"/>
      <c r="F124" s="182">
        <v>2</v>
      </c>
      <c r="G124" s="1354"/>
      <c r="H124" s="1354"/>
    </row>
    <row r="125" spans="1:8" ht="63" customHeight="1">
      <c r="A125" s="181" t="s">
        <v>138</v>
      </c>
      <c r="B125" s="182">
        <v>100</v>
      </c>
      <c r="C125" s="632" t="s">
        <v>252</v>
      </c>
      <c r="D125" s="195" t="s">
        <v>310</v>
      </c>
      <c r="E125" s="182"/>
      <c r="F125" s="182">
        <v>2</v>
      </c>
      <c r="G125" s="1354"/>
      <c r="H125" s="1354"/>
    </row>
    <row r="126" spans="1:8">
      <c r="A126" s="1490" t="s">
        <v>96</v>
      </c>
      <c r="B126" s="1491"/>
      <c r="C126" s="1491"/>
      <c r="D126" s="1491"/>
      <c r="E126" s="1491"/>
      <c r="F126" s="1491"/>
      <c r="G126" s="1492"/>
      <c r="H126" s="1496"/>
    </row>
    <row r="127" spans="1:8">
      <c r="A127" s="1493"/>
      <c r="B127" s="1494"/>
      <c r="C127" s="1494"/>
      <c r="D127" s="1494"/>
      <c r="E127" s="1494"/>
      <c r="F127" s="1494"/>
      <c r="G127" s="1495"/>
      <c r="H127" s="1497"/>
    </row>
    <row r="128" spans="1:8">
      <c r="A128" s="1501" t="s">
        <v>220</v>
      </c>
      <c r="B128" s="1502"/>
      <c r="C128" s="1502"/>
      <c r="D128" s="1502"/>
      <c r="E128" s="1502"/>
      <c r="F128" s="1502"/>
      <c r="G128" s="1503"/>
      <c r="H128" s="1362"/>
    </row>
    <row r="129" spans="1:9" ht="15.6" customHeight="1">
      <c r="A129" s="629"/>
      <c r="B129" s="630"/>
      <c r="C129" s="630"/>
      <c r="D129" s="630"/>
      <c r="E129" s="630"/>
      <c r="F129" s="630"/>
      <c r="G129" s="630"/>
      <c r="H129" s="523"/>
    </row>
    <row r="130" spans="1:9" ht="18" customHeight="1">
      <c r="A130" s="1504" t="s">
        <v>300</v>
      </c>
      <c r="B130" s="1505"/>
      <c r="C130" s="1505"/>
      <c r="D130" s="1505"/>
      <c r="E130" s="1505"/>
      <c r="F130" s="1505"/>
      <c r="G130" s="1505"/>
      <c r="H130" s="1506"/>
    </row>
    <row r="131" spans="1:9" ht="50.1" customHeight="1">
      <c r="A131" s="181" t="s">
        <v>141</v>
      </c>
      <c r="B131" s="182">
        <v>600</v>
      </c>
      <c r="C131" s="633" t="s">
        <v>250</v>
      </c>
      <c r="D131" s="195" t="s">
        <v>311</v>
      </c>
      <c r="E131" s="182"/>
      <c r="F131" s="182">
        <v>2</v>
      </c>
      <c r="G131" s="1354"/>
      <c r="H131" s="1354"/>
    </row>
    <row r="132" spans="1:9" ht="165.75">
      <c r="A132" s="181" t="s">
        <v>143</v>
      </c>
      <c r="B132" s="182">
        <v>300</v>
      </c>
      <c r="C132" s="633" t="s">
        <v>250</v>
      </c>
      <c r="D132" s="195" t="s">
        <v>312</v>
      </c>
      <c r="E132" s="182"/>
      <c r="F132" s="182">
        <v>4</v>
      </c>
      <c r="G132" s="1354"/>
      <c r="H132" s="1354"/>
    </row>
    <row r="133" spans="1:9" ht="76.5">
      <c r="A133" s="193" t="s">
        <v>145</v>
      </c>
      <c r="B133" s="194">
        <v>300</v>
      </c>
      <c r="C133" s="633" t="s">
        <v>250</v>
      </c>
      <c r="D133" s="524" t="s">
        <v>313</v>
      </c>
      <c r="E133" s="194"/>
      <c r="F133" s="194">
        <v>2</v>
      </c>
      <c r="G133" s="1361"/>
      <c r="H133" s="1354"/>
    </row>
    <row r="134" spans="1:9" ht="58.9" customHeight="1">
      <c r="A134" s="181" t="s">
        <v>147</v>
      </c>
      <c r="B134" s="182">
        <v>300</v>
      </c>
      <c r="C134" s="632" t="s">
        <v>304</v>
      </c>
      <c r="D134" s="195" t="s">
        <v>314</v>
      </c>
      <c r="E134" s="182"/>
      <c r="F134" s="182">
        <v>2</v>
      </c>
      <c r="G134" s="1354"/>
      <c r="H134" s="1354"/>
    </row>
    <row r="135" spans="1:9" ht="50.1" customHeight="1">
      <c r="A135" s="181" t="s">
        <v>149</v>
      </c>
      <c r="B135" s="182">
        <v>50</v>
      </c>
      <c r="C135" s="632" t="s">
        <v>252</v>
      </c>
      <c r="D135" s="195" t="s">
        <v>150</v>
      </c>
      <c r="E135" s="182"/>
      <c r="F135" s="182">
        <v>2</v>
      </c>
      <c r="G135" s="1354"/>
      <c r="H135" s="1354"/>
    </row>
    <row r="136" spans="1:9" ht="51">
      <c r="A136" s="181" t="s">
        <v>151</v>
      </c>
      <c r="B136" s="182">
        <v>50</v>
      </c>
      <c r="C136" s="632" t="s">
        <v>252</v>
      </c>
      <c r="D136" s="195" t="s">
        <v>310</v>
      </c>
      <c r="E136" s="182"/>
      <c r="F136" s="182">
        <v>1</v>
      </c>
      <c r="G136" s="1354"/>
      <c r="H136" s="1354"/>
    </row>
    <row r="137" spans="1:9" ht="51">
      <c r="A137" s="181" t="s">
        <v>315</v>
      </c>
      <c r="B137" s="182">
        <v>600</v>
      </c>
      <c r="C137" s="632" t="s">
        <v>250</v>
      </c>
      <c r="D137" s="195" t="s">
        <v>316</v>
      </c>
      <c r="E137" s="182"/>
      <c r="F137" s="182">
        <v>4</v>
      </c>
      <c r="G137" s="1354"/>
      <c r="H137" s="1354"/>
    </row>
    <row r="138" spans="1:9" ht="51">
      <c r="A138" s="181" t="s">
        <v>317</v>
      </c>
      <c r="B138" s="182">
        <v>300</v>
      </c>
      <c r="C138" s="632" t="s">
        <v>250</v>
      </c>
      <c r="D138" s="195" t="s">
        <v>318</v>
      </c>
      <c r="E138" s="182"/>
      <c r="F138" s="182">
        <v>4</v>
      </c>
      <c r="G138" s="1354"/>
      <c r="H138" s="1354"/>
    </row>
    <row r="139" spans="1:9" ht="37.9" customHeight="1">
      <c r="A139" s="181" t="s">
        <v>319</v>
      </c>
      <c r="B139" s="182">
        <v>25</v>
      </c>
      <c r="C139" s="632" t="s">
        <v>252</v>
      </c>
      <c r="D139" s="195" t="s">
        <v>150</v>
      </c>
      <c r="E139" s="182"/>
      <c r="F139" s="182">
        <v>2</v>
      </c>
      <c r="G139" s="1354"/>
      <c r="H139" s="1354"/>
    </row>
    <row r="140" spans="1:9" ht="15" customHeight="1">
      <c r="A140" s="1060"/>
      <c r="B140" s="166"/>
      <c r="C140" s="167"/>
      <c r="D140" s="1061"/>
      <c r="E140" s="168"/>
      <c r="F140" s="169"/>
      <c r="G140" s="170"/>
      <c r="H140" s="1062"/>
    </row>
    <row r="141" spans="1:9" s="526" customFormat="1" ht="15" customHeight="1">
      <c r="A141" s="1490" t="s">
        <v>320</v>
      </c>
      <c r="B141" s="1491"/>
      <c r="C141" s="1491"/>
      <c r="D141" s="1491"/>
      <c r="E141" s="1491"/>
      <c r="F141" s="1491"/>
      <c r="G141" s="1492"/>
      <c r="H141" s="1496"/>
      <c r="I141" s="525"/>
    </row>
    <row r="142" spans="1:9" s="526" customFormat="1" ht="15" customHeight="1">
      <c r="A142" s="1493"/>
      <c r="B142" s="1494"/>
      <c r="C142" s="1494"/>
      <c r="D142" s="1494"/>
      <c r="E142" s="1494"/>
      <c r="F142" s="1494"/>
      <c r="G142" s="1495"/>
      <c r="H142" s="1497"/>
      <c r="I142" s="525"/>
    </row>
    <row r="143" spans="1:9" s="171" customFormat="1">
      <c r="D143" s="623"/>
      <c r="I143" s="233"/>
    </row>
    <row r="144" spans="1:9" s="171" customFormat="1">
      <c r="D144" s="623"/>
      <c r="I144" s="233"/>
    </row>
    <row r="145" ht="90" customHeight="1"/>
    <row r="146" ht="90" customHeight="1"/>
    <row r="147" ht="90" customHeight="1"/>
  </sheetData>
  <sheetProtection algorithmName="SHA-512" hashValue="VaUf2ovZ+p4RhceIZtRUdAOtTMgtVm+H8rgkVyGQoZrBxGVgnkPqv74BUSiz0CLqG3vQxc83V0Yo+JKBcqdnAg==" saltValue="4kmy+1IihFoSlbhCij5GKw==" spinCount="100000" sheet="1" objects="1" scenarios="1"/>
  <mergeCells count="39">
    <mergeCell ref="H126:H127"/>
    <mergeCell ref="H111:H112"/>
    <mergeCell ref="A80:G81"/>
    <mergeCell ref="A100:H100"/>
    <mergeCell ref="A94:G95"/>
    <mergeCell ref="H94:H95"/>
    <mergeCell ref="A98:H98"/>
    <mergeCell ref="A115:H115"/>
    <mergeCell ref="A46:H46"/>
    <mergeCell ref="A12:H12"/>
    <mergeCell ref="A16:H16"/>
    <mergeCell ref="A22:G23"/>
    <mergeCell ref="H22:H23"/>
    <mergeCell ref="A25:H25"/>
    <mergeCell ref="A27:H27"/>
    <mergeCell ref="A35:G36"/>
    <mergeCell ref="H35:H36"/>
    <mergeCell ref="C1:H1"/>
    <mergeCell ref="A5:H5"/>
    <mergeCell ref="A38:H38"/>
    <mergeCell ref="A42:G43"/>
    <mergeCell ref="H42:H43"/>
    <mergeCell ref="A7:H7"/>
    <mergeCell ref="A141:G142"/>
    <mergeCell ref="H141:H142"/>
    <mergeCell ref="A50:G51"/>
    <mergeCell ref="H50:H51"/>
    <mergeCell ref="H80:H81"/>
    <mergeCell ref="A53:H53"/>
    <mergeCell ref="A63:G64"/>
    <mergeCell ref="H63:H64"/>
    <mergeCell ref="A69:H69"/>
    <mergeCell ref="A85:H85"/>
    <mergeCell ref="A86:H86"/>
    <mergeCell ref="A67:H67"/>
    <mergeCell ref="A128:G128"/>
    <mergeCell ref="A113:G113"/>
    <mergeCell ref="A130:H130"/>
    <mergeCell ref="A126:G127"/>
  </mergeCells>
  <phoneticPr fontId="38" type="noConversion"/>
  <pageMargins left="0.70866141732283472" right="0.70866141732283472" top="0.86614173228346458" bottom="0.78740157480314965" header="0.31496062992125984" footer="0.19685039370078741"/>
  <pageSetup paperSize="9" scale="70" firstPageNumber="42" orientation="portrait" useFirstPageNumber="1" r:id="rId1"/>
  <headerFooter>
    <oddHeader>&amp;L&amp;G&amp;CCONSTRUCTION OF 20ML CARLSWALD RESERVOIR
SCHEDULE OF QUANTITIES&amp;R&amp;G</oddHeader>
    <oddFooter>&amp;C&amp;G
C.&amp;P</oddFooter>
  </headerFooter>
  <rowBreaks count="7" manualBreakCount="7">
    <brk id="23" max="7" man="1"/>
    <brk id="43" max="7" man="1"/>
    <brk id="64" max="7" man="1"/>
    <brk id="81" max="7" man="1"/>
    <brk id="95" max="7" man="1"/>
    <brk id="112" max="7" man="1"/>
    <brk id="127" max="7" man="1"/>
  </rowBreaks>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AD1D2-87FF-4E4B-8F24-60DCF56C6111}">
  <dimension ref="A1:H383"/>
  <sheetViews>
    <sheetView view="pageBreakPreview" topLeftCell="A173" zoomScaleNormal="80" zoomScaleSheetLayoutView="100" zoomScalePageLayoutView="70" workbookViewId="0">
      <selection activeCell="G382" sqref="G382:G383"/>
    </sheetView>
  </sheetViews>
  <sheetFormatPr defaultColWidth="9.140625" defaultRowHeight="12.75"/>
  <cols>
    <col min="1" max="1" width="9.5703125" style="508" customWidth="1"/>
    <col min="2" max="2" width="15.28515625" style="306" customWidth="1"/>
    <col min="3" max="3" width="47.7109375" style="306" customWidth="1"/>
    <col min="4" max="4" width="8.7109375" style="1443" customWidth="1"/>
    <col min="5" max="5" width="11.7109375" style="508" bestFit="1" customWidth="1"/>
    <col min="6" max="6" width="15.42578125" style="1416" customWidth="1"/>
    <col min="7" max="7" width="21.42578125" style="1416" customWidth="1"/>
    <col min="8" max="8" width="0" style="306" hidden="1" customWidth="1"/>
    <col min="9" max="16384" width="9.140625" style="306"/>
  </cols>
  <sheetData>
    <row r="1" spans="1:7" ht="15" customHeight="1">
      <c r="A1" s="1510" t="s">
        <v>321</v>
      </c>
      <c r="B1" s="1510"/>
      <c r="C1" s="1510"/>
      <c r="D1" s="1510"/>
      <c r="E1" s="1510"/>
      <c r="F1" s="1510"/>
      <c r="G1" s="1510"/>
    </row>
    <row r="2" spans="1:7">
      <c r="A2" s="1513"/>
      <c r="B2" s="1513"/>
      <c r="C2" s="1513"/>
      <c r="D2" s="1513"/>
      <c r="E2" s="1513"/>
      <c r="F2" s="1513"/>
      <c r="G2" s="1513"/>
    </row>
    <row r="3" spans="1:7">
      <c r="A3" s="1364" t="s">
        <v>322</v>
      </c>
      <c r="B3" s="558" t="s">
        <v>323</v>
      </c>
      <c r="C3" s="1364" t="s">
        <v>33</v>
      </c>
      <c r="D3" s="1364" t="s">
        <v>324</v>
      </c>
      <c r="E3" s="1365" t="s">
        <v>325</v>
      </c>
      <c r="F3" s="1366" t="s">
        <v>326</v>
      </c>
      <c r="G3" s="1366" t="s">
        <v>327</v>
      </c>
    </row>
    <row r="4" spans="1:7">
      <c r="A4" s="239"/>
      <c r="B4" s="1367"/>
      <c r="C4" s="239"/>
      <c r="D4" s="239"/>
      <c r="E4" s="240"/>
      <c r="F4" s="1163"/>
      <c r="G4" s="1163"/>
    </row>
    <row r="5" spans="1:7">
      <c r="A5" s="239"/>
      <c r="B5" s="1368" t="s">
        <v>328</v>
      </c>
      <c r="C5" s="238" t="s">
        <v>329</v>
      </c>
      <c r="D5" s="239"/>
      <c r="E5" s="240"/>
      <c r="F5" s="1163"/>
      <c r="G5" s="1163"/>
    </row>
    <row r="6" spans="1:7">
      <c r="A6" s="239"/>
      <c r="B6" s="1367"/>
      <c r="C6" s="239"/>
      <c r="D6" s="239"/>
      <c r="E6" s="240"/>
      <c r="F6" s="1163"/>
      <c r="G6" s="1163"/>
    </row>
    <row r="7" spans="1:7">
      <c r="A7" s="252">
        <v>1.1000000000000001</v>
      </c>
      <c r="B7" s="508">
        <v>8.3000000000000007</v>
      </c>
      <c r="C7" s="242" t="s">
        <v>330</v>
      </c>
      <c r="D7" s="1369"/>
      <c r="E7" s="243"/>
      <c r="F7" s="1186"/>
      <c r="G7" s="1175"/>
    </row>
    <row r="8" spans="1:7">
      <c r="A8" s="243"/>
      <c r="B8" s="1372"/>
      <c r="C8" s="1373"/>
      <c r="D8" s="1374"/>
      <c r="E8" s="1372"/>
      <c r="F8" s="1166"/>
      <c r="G8" s="1175"/>
    </row>
    <row r="9" spans="1:7">
      <c r="A9" s="243"/>
      <c r="B9" s="1372" t="s">
        <v>331</v>
      </c>
      <c r="C9" s="1375" t="s">
        <v>332</v>
      </c>
      <c r="D9" s="1374"/>
      <c r="E9" s="1372"/>
      <c r="F9" s="1166"/>
      <c r="G9" s="1175"/>
    </row>
    <row r="10" spans="1:7">
      <c r="A10" s="243"/>
      <c r="B10" s="1372"/>
      <c r="C10" s="1373"/>
      <c r="D10" s="1374"/>
      <c r="E10" s="1372"/>
      <c r="F10" s="1256"/>
      <c r="G10" s="1175"/>
    </row>
    <row r="11" spans="1:7">
      <c r="A11" s="243" t="s">
        <v>333</v>
      </c>
      <c r="B11" s="1372"/>
      <c r="C11" s="1376" t="s">
        <v>334</v>
      </c>
      <c r="D11" s="1374" t="s">
        <v>335</v>
      </c>
      <c r="E11" s="1372">
        <v>1</v>
      </c>
      <c r="F11" s="1166"/>
      <c r="G11" s="1175"/>
    </row>
    <row r="12" spans="1:7">
      <c r="A12" s="243"/>
      <c r="B12" s="1372"/>
      <c r="C12" s="1373"/>
      <c r="D12" s="1374"/>
      <c r="E12" s="1372"/>
      <c r="F12" s="1166"/>
      <c r="G12" s="1175"/>
    </row>
    <row r="13" spans="1:7">
      <c r="A13" s="243" t="s">
        <v>336</v>
      </c>
      <c r="B13" s="1372"/>
      <c r="C13" s="1373" t="s">
        <v>337</v>
      </c>
      <c r="D13" s="1374" t="s">
        <v>335</v>
      </c>
      <c r="E13" s="1372">
        <v>1</v>
      </c>
      <c r="F13" s="1166"/>
      <c r="G13" s="1175"/>
    </row>
    <row r="14" spans="1:7">
      <c r="A14" s="243"/>
      <c r="B14" s="1372"/>
      <c r="C14" s="1373"/>
      <c r="D14" s="1377"/>
      <c r="E14" s="1372"/>
      <c r="F14" s="1166"/>
      <c r="G14" s="1175"/>
    </row>
    <row r="15" spans="1:7">
      <c r="A15" s="243" t="s">
        <v>338</v>
      </c>
      <c r="B15" s="1372"/>
      <c r="C15" s="1373" t="s">
        <v>339</v>
      </c>
      <c r="D15" s="1374" t="s">
        <v>335</v>
      </c>
      <c r="E15" s="1372">
        <v>1</v>
      </c>
      <c r="F15" s="1166"/>
      <c r="G15" s="1175"/>
    </row>
    <row r="16" spans="1:7">
      <c r="A16" s="243"/>
      <c r="B16" s="1372"/>
      <c r="C16" s="1376"/>
      <c r="D16" s="1374"/>
      <c r="E16" s="1372"/>
      <c r="F16" s="1166"/>
      <c r="G16" s="1175"/>
    </row>
    <row r="17" spans="1:7">
      <c r="A17" s="243" t="s">
        <v>340</v>
      </c>
      <c r="B17" s="1372"/>
      <c r="C17" s="1373" t="s">
        <v>341</v>
      </c>
      <c r="D17" s="1374" t="s">
        <v>335</v>
      </c>
      <c r="E17" s="1372">
        <v>1</v>
      </c>
      <c r="F17" s="1166"/>
      <c r="G17" s="1175"/>
    </row>
    <row r="18" spans="1:7">
      <c r="A18" s="243"/>
      <c r="B18" s="1372"/>
      <c r="C18" s="1376"/>
      <c r="D18" s="1377"/>
      <c r="E18" s="1372"/>
      <c r="F18" s="1166"/>
      <c r="G18" s="1175"/>
    </row>
    <row r="19" spans="1:7">
      <c r="A19" s="243" t="s">
        <v>342</v>
      </c>
      <c r="B19" s="1372"/>
      <c r="C19" s="1373" t="s">
        <v>343</v>
      </c>
      <c r="D19" s="1374" t="s">
        <v>335</v>
      </c>
      <c r="E19" s="1372">
        <v>1</v>
      </c>
      <c r="F19" s="1166"/>
      <c r="G19" s="1175"/>
    </row>
    <row r="20" spans="1:7">
      <c r="A20" s="243"/>
      <c r="B20" s="1372"/>
      <c r="C20" s="1376"/>
      <c r="D20" s="1374"/>
      <c r="E20" s="1372"/>
      <c r="F20" s="1166"/>
      <c r="G20" s="1175"/>
    </row>
    <row r="21" spans="1:7" ht="12.75" customHeight="1">
      <c r="A21" s="243" t="s">
        <v>344</v>
      </c>
      <c r="B21" s="1372" t="s">
        <v>345</v>
      </c>
      <c r="C21" s="1376" t="s">
        <v>346</v>
      </c>
      <c r="D21" s="1374" t="s">
        <v>335</v>
      </c>
      <c r="E21" s="1372">
        <v>1</v>
      </c>
      <c r="F21" s="1166"/>
      <c r="G21" s="1175"/>
    </row>
    <row r="22" spans="1:7" ht="12.75" customHeight="1">
      <c r="A22" s="243"/>
      <c r="B22" s="1372"/>
      <c r="C22" s="1376"/>
      <c r="D22" s="1374"/>
      <c r="E22" s="1372"/>
      <c r="F22" s="1166"/>
      <c r="G22" s="1175"/>
    </row>
    <row r="23" spans="1:7" ht="51">
      <c r="A23" s="243" t="s">
        <v>347</v>
      </c>
      <c r="B23" s="1372"/>
      <c r="C23" s="1376" t="s">
        <v>348</v>
      </c>
      <c r="D23" s="1374" t="s">
        <v>335</v>
      </c>
      <c r="E23" s="1372">
        <v>1</v>
      </c>
      <c r="F23" s="1166"/>
      <c r="G23" s="1175"/>
    </row>
    <row r="24" spans="1:7">
      <c r="A24" s="243"/>
      <c r="B24" s="1372"/>
      <c r="C24" s="1376"/>
      <c r="D24" s="1374"/>
      <c r="E24" s="1372"/>
      <c r="F24" s="1166"/>
      <c r="G24" s="1175"/>
    </row>
    <row r="25" spans="1:7" ht="25.5">
      <c r="A25" s="243" t="s">
        <v>349</v>
      </c>
      <c r="B25" s="1372"/>
      <c r="C25" s="1376" t="s">
        <v>350</v>
      </c>
      <c r="D25" s="1374" t="s">
        <v>335</v>
      </c>
      <c r="E25" s="1372">
        <v>1</v>
      </c>
      <c r="F25" s="1166"/>
      <c r="G25" s="1175"/>
    </row>
    <row r="26" spans="1:7">
      <c r="A26" s="243"/>
      <c r="B26" s="1372"/>
      <c r="C26" s="1376"/>
      <c r="D26" s="1374"/>
      <c r="E26" s="1372"/>
      <c r="F26" s="1166"/>
      <c r="G26" s="1175"/>
    </row>
    <row r="27" spans="1:7">
      <c r="A27" s="243"/>
      <c r="B27" s="1372"/>
      <c r="C27" s="1378" t="s">
        <v>351</v>
      </c>
      <c r="D27" s="1377"/>
      <c r="E27" s="1372"/>
      <c r="F27" s="1166"/>
      <c r="G27" s="1175"/>
    </row>
    <row r="28" spans="1:7">
      <c r="A28" s="243"/>
      <c r="B28" s="1372"/>
      <c r="C28" s="1373"/>
      <c r="D28" s="1377"/>
      <c r="E28" s="1372"/>
      <c r="F28" s="1166"/>
      <c r="G28" s="1175"/>
    </row>
    <row r="29" spans="1:7" ht="39" customHeight="1">
      <c r="A29" s="243" t="s">
        <v>352</v>
      </c>
      <c r="B29" s="1372" t="s">
        <v>353</v>
      </c>
      <c r="C29" s="1373" t="s">
        <v>354</v>
      </c>
      <c r="D29" s="1377"/>
      <c r="E29" s="1372"/>
      <c r="F29" s="1166"/>
      <c r="G29" s="1175"/>
    </row>
    <row r="30" spans="1:7" ht="12.75" customHeight="1">
      <c r="A30" s="243"/>
      <c r="B30" s="1372"/>
      <c r="C30" s="1373"/>
      <c r="D30" s="1377"/>
      <c r="E30" s="1372"/>
      <c r="F30" s="1166"/>
      <c r="G30" s="1175"/>
    </row>
    <row r="31" spans="1:7" ht="38.25">
      <c r="A31" s="243" t="s">
        <v>355</v>
      </c>
      <c r="B31" s="1372"/>
      <c r="C31" s="1373" t="s">
        <v>356</v>
      </c>
      <c r="D31" s="1377" t="s">
        <v>357</v>
      </c>
      <c r="E31" s="1372">
        <v>1</v>
      </c>
      <c r="F31" s="1166"/>
      <c r="G31" s="1175"/>
    </row>
    <row r="32" spans="1:7">
      <c r="A32" s="243"/>
      <c r="B32" s="1372"/>
      <c r="C32" s="1373"/>
      <c r="D32" s="1377"/>
      <c r="E32" s="1372"/>
      <c r="F32" s="1166"/>
      <c r="G32" s="1175"/>
    </row>
    <row r="33" spans="1:8" ht="38.25">
      <c r="A33" s="243" t="s">
        <v>358</v>
      </c>
      <c r="B33" s="1372"/>
      <c r="C33" s="1373" t="s">
        <v>359</v>
      </c>
      <c r="D33" s="1377" t="s">
        <v>357</v>
      </c>
      <c r="E33" s="1372">
        <v>1</v>
      </c>
      <c r="F33" s="1166"/>
      <c r="G33" s="1175"/>
    </row>
    <row r="34" spans="1:8">
      <c r="A34" s="243"/>
      <c r="B34" s="1372"/>
      <c r="C34" s="1373"/>
      <c r="D34" s="1377"/>
      <c r="E34" s="1372"/>
      <c r="F34" s="1166"/>
      <c r="G34" s="1175"/>
    </row>
    <row r="35" spans="1:8" ht="57.75" customHeight="1">
      <c r="A35" s="243" t="s">
        <v>360</v>
      </c>
      <c r="B35" s="1372"/>
      <c r="C35" s="1373" t="s">
        <v>361</v>
      </c>
      <c r="D35" s="1377" t="s">
        <v>362</v>
      </c>
      <c r="E35" s="1448"/>
      <c r="F35" s="1166"/>
      <c r="G35" s="1175"/>
    </row>
    <row r="36" spans="1:8">
      <c r="A36" s="243"/>
      <c r="B36" s="1372"/>
      <c r="C36" s="1373"/>
      <c r="D36" s="1377"/>
      <c r="E36" s="1372"/>
      <c r="F36" s="1166"/>
      <c r="G36" s="1175"/>
    </row>
    <row r="37" spans="1:8" s="312" customFormat="1">
      <c r="A37" s="240"/>
      <c r="B37" s="1374" t="s">
        <v>363</v>
      </c>
      <c r="C37" s="1375" t="s">
        <v>364</v>
      </c>
      <c r="D37" s="1379"/>
      <c r="E37" s="1380"/>
      <c r="F37" s="1257"/>
      <c r="G37" s="1175"/>
      <c r="H37" s="306" t="s">
        <v>365</v>
      </c>
    </row>
    <row r="38" spans="1:8">
      <c r="A38" s="243"/>
      <c r="B38" s="1372"/>
      <c r="C38" s="1373"/>
      <c r="D38" s="1377"/>
      <c r="E38" s="1372"/>
      <c r="F38" s="1166"/>
      <c r="G38" s="1175"/>
    </row>
    <row r="39" spans="1:8">
      <c r="A39" s="243"/>
      <c r="B39" s="518" t="s">
        <v>366</v>
      </c>
      <c r="C39" s="1375" t="s">
        <v>367</v>
      </c>
      <c r="D39" s="1377"/>
      <c r="E39" s="1372"/>
      <c r="F39" s="1166"/>
      <c r="G39" s="1175"/>
    </row>
    <row r="40" spans="1:8">
      <c r="A40" s="250"/>
      <c r="B40" s="518"/>
      <c r="C40" s="1381"/>
      <c r="D40" s="1382"/>
      <c r="E40" s="250"/>
      <c r="F40" s="1258"/>
      <c r="G40" s="1175"/>
    </row>
    <row r="41" spans="1:8">
      <c r="A41" s="250" t="s">
        <v>368</v>
      </c>
      <c r="B41" s="518" t="s">
        <v>369</v>
      </c>
      <c r="C41" s="1381" t="s">
        <v>370</v>
      </c>
      <c r="D41" s="1382" t="s">
        <v>335</v>
      </c>
      <c r="E41" s="250">
        <v>1</v>
      </c>
      <c r="F41" s="1258"/>
      <c r="G41" s="1175"/>
    </row>
    <row r="42" spans="1:8">
      <c r="A42" s="250"/>
      <c r="B42" s="1383"/>
      <c r="C42" s="1381"/>
      <c r="D42" s="1382"/>
      <c r="E42" s="250"/>
      <c r="F42" s="1258"/>
      <c r="G42" s="1175"/>
    </row>
    <row r="43" spans="1:8">
      <c r="A43" s="250" t="s">
        <v>371</v>
      </c>
      <c r="B43" s="518"/>
      <c r="C43" s="1381" t="s">
        <v>372</v>
      </c>
      <c r="D43" s="1382" t="s">
        <v>335</v>
      </c>
      <c r="E43" s="250">
        <v>2</v>
      </c>
      <c r="F43" s="1258"/>
      <c r="G43" s="1175"/>
    </row>
    <row r="44" spans="1:8">
      <c r="A44" s="250"/>
      <c r="B44" s="518"/>
      <c r="C44" s="1381"/>
      <c r="D44" s="1382"/>
      <c r="E44" s="250"/>
      <c r="F44" s="1258"/>
      <c r="G44" s="1175"/>
    </row>
    <row r="45" spans="1:8">
      <c r="A45" s="250" t="s">
        <v>373</v>
      </c>
      <c r="B45" s="518" t="s">
        <v>374</v>
      </c>
      <c r="C45" s="1381" t="s">
        <v>375</v>
      </c>
      <c r="D45" s="1382" t="s">
        <v>335</v>
      </c>
      <c r="E45" s="250">
        <v>1</v>
      </c>
      <c r="F45" s="1258"/>
      <c r="G45" s="1175"/>
    </row>
    <row r="46" spans="1:8">
      <c r="A46" s="250"/>
      <c r="B46" s="518"/>
      <c r="C46" s="1381"/>
      <c r="D46" s="1382"/>
      <c r="E46" s="250"/>
      <c r="F46" s="1258"/>
      <c r="G46" s="1175"/>
    </row>
    <row r="47" spans="1:8">
      <c r="A47" s="250" t="s">
        <v>376</v>
      </c>
      <c r="B47" s="518" t="s">
        <v>374</v>
      </c>
      <c r="C47" s="1381" t="s">
        <v>377</v>
      </c>
      <c r="D47" s="1382" t="s">
        <v>335</v>
      </c>
      <c r="E47" s="250">
        <v>1</v>
      </c>
      <c r="F47" s="1258"/>
      <c r="G47" s="1175"/>
    </row>
    <row r="48" spans="1:8">
      <c r="A48" s="250"/>
      <c r="B48" s="518"/>
      <c r="C48" s="1381"/>
      <c r="D48" s="1382"/>
      <c r="E48" s="250"/>
      <c r="F48" s="1258"/>
      <c r="G48" s="1175"/>
    </row>
    <row r="49" spans="1:7">
      <c r="A49" s="250" t="s">
        <v>378</v>
      </c>
      <c r="B49" s="518" t="s">
        <v>374</v>
      </c>
      <c r="C49" s="1381" t="s">
        <v>379</v>
      </c>
      <c r="D49" s="1382" t="s">
        <v>335</v>
      </c>
      <c r="E49" s="250">
        <v>1</v>
      </c>
      <c r="F49" s="1258"/>
      <c r="G49" s="1175"/>
    </row>
    <row r="50" spans="1:7">
      <c r="A50" s="250"/>
      <c r="B50" s="518"/>
      <c r="C50" s="1384"/>
      <c r="D50" s="1382"/>
      <c r="E50" s="518"/>
      <c r="F50" s="1258"/>
      <c r="G50" s="1175"/>
    </row>
    <row r="51" spans="1:7" ht="25.5">
      <c r="A51" s="250" t="s">
        <v>380</v>
      </c>
      <c r="B51" s="518" t="s">
        <v>374</v>
      </c>
      <c r="C51" s="1384" t="s">
        <v>381</v>
      </c>
      <c r="D51" s="1382" t="s">
        <v>70</v>
      </c>
      <c r="E51" s="518">
        <v>8</v>
      </c>
      <c r="F51" s="1259"/>
      <c r="G51" s="1175"/>
    </row>
    <row r="52" spans="1:7">
      <c r="A52" s="250"/>
      <c r="B52" s="518"/>
      <c r="C52" s="1384"/>
      <c r="D52" s="1385"/>
      <c r="E52" s="518"/>
      <c r="F52" s="1259"/>
      <c r="G52" s="1175"/>
    </row>
    <row r="53" spans="1:7">
      <c r="A53" s="250" t="s">
        <v>382</v>
      </c>
      <c r="B53" s="518" t="s">
        <v>374</v>
      </c>
      <c r="C53" s="1386" t="s">
        <v>383</v>
      </c>
      <c r="D53" s="1382" t="s">
        <v>335</v>
      </c>
      <c r="E53" s="1387">
        <v>1</v>
      </c>
      <c r="F53" s="1259"/>
      <c r="G53" s="1175"/>
    </row>
    <row r="54" spans="1:7">
      <c r="A54" s="250"/>
      <c r="B54" s="518"/>
      <c r="C54" s="1388"/>
      <c r="D54" s="1382"/>
      <c r="E54" s="1389"/>
      <c r="F54" s="1259"/>
      <c r="G54" s="1175"/>
    </row>
    <row r="55" spans="1:7">
      <c r="A55" s="250" t="s">
        <v>384</v>
      </c>
      <c r="B55" s="518" t="s">
        <v>374</v>
      </c>
      <c r="C55" s="1390" t="s">
        <v>385</v>
      </c>
      <c r="D55" s="1382" t="s">
        <v>335</v>
      </c>
      <c r="E55" s="1387">
        <v>1</v>
      </c>
      <c r="F55" s="1259"/>
      <c r="G55" s="1175"/>
    </row>
    <row r="56" spans="1:7">
      <c r="A56" s="250"/>
      <c r="B56" s="518"/>
      <c r="C56" s="1391"/>
      <c r="D56" s="1385"/>
      <c r="E56" s="518"/>
      <c r="F56" s="1259"/>
      <c r="G56" s="1175"/>
    </row>
    <row r="57" spans="1:7">
      <c r="A57" s="250"/>
      <c r="B57" s="518" t="s">
        <v>386</v>
      </c>
      <c r="C57" s="1392" t="s">
        <v>387</v>
      </c>
      <c r="D57" s="1382"/>
      <c r="E57" s="518"/>
      <c r="F57" s="1258"/>
      <c r="G57" s="1175"/>
    </row>
    <row r="58" spans="1:7">
      <c r="A58" s="250"/>
      <c r="B58" s="518"/>
      <c r="C58" s="1391"/>
      <c r="D58" s="1385"/>
      <c r="E58" s="518"/>
      <c r="F58" s="1259"/>
      <c r="G58" s="1175"/>
    </row>
    <row r="59" spans="1:7">
      <c r="A59" s="250" t="s">
        <v>388</v>
      </c>
      <c r="B59" s="518"/>
      <c r="C59" s="1381" t="s">
        <v>389</v>
      </c>
      <c r="D59" s="1382" t="s">
        <v>335</v>
      </c>
      <c r="E59" s="250">
        <v>1</v>
      </c>
      <c r="F59" s="1258"/>
      <c r="G59" s="1175"/>
    </row>
    <row r="60" spans="1:7">
      <c r="A60" s="250"/>
      <c r="B60" s="518"/>
      <c r="C60" s="1388"/>
      <c r="D60" s="1382"/>
      <c r="E60" s="518"/>
      <c r="F60" s="1258"/>
      <c r="G60" s="1175"/>
    </row>
    <row r="61" spans="1:7">
      <c r="A61" s="250"/>
      <c r="B61" s="518"/>
      <c r="C61" s="1388"/>
      <c r="D61" s="1382"/>
      <c r="E61" s="518"/>
      <c r="F61" s="1258"/>
      <c r="G61" s="1175"/>
    </row>
    <row r="62" spans="1:7">
      <c r="A62" s="250"/>
      <c r="B62" s="518"/>
      <c r="C62" s="1388"/>
      <c r="D62" s="1382"/>
      <c r="E62" s="518"/>
      <c r="F62" s="1258"/>
      <c r="G62" s="1175"/>
    </row>
    <row r="63" spans="1:7">
      <c r="A63" s="250"/>
      <c r="B63" s="518"/>
      <c r="C63" s="1388"/>
      <c r="D63" s="1382"/>
      <c r="E63" s="518"/>
      <c r="F63" s="1258"/>
      <c r="G63" s="1175"/>
    </row>
    <row r="64" spans="1:7">
      <c r="A64" s="250"/>
      <c r="B64" s="518"/>
      <c r="C64" s="1388"/>
      <c r="D64" s="1382"/>
      <c r="E64" s="518"/>
      <c r="F64" s="1258"/>
      <c r="G64" s="1175"/>
    </row>
    <row r="65" spans="1:7">
      <c r="A65" s="250"/>
      <c r="B65" s="518"/>
      <c r="C65" s="1388"/>
      <c r="D65" s="1382"/>
      <c r="E65" s="518"/>
      <c r="F65" s="1258"/>
      <c r="G65" s="1175"/>
    </row>
    <row r="66" spans="1:7">
      <c r="A66" s="250"/>
      <c r="B66" s="518"/>
      <c r="C66" s="1388"/>
      <c r="D66" s="1382"/>
      <c r="E66" s="518"/>
      <c r="F66" s="1258"/>
      <c r="G66" s="1175"/>
    </row>
    <row r="67" spans="1:7">
      <c r="A67" s="250"/>
      <c r="B67" s="518"/>
      <c r="C67" s="1388"/>
      <c r="D67" s="1382"/>
      <c r="E67" s="518"/>
      <c r="F67" s="1258"/>
      <c r="G67" s="1175"/>
    </row>
    <row r="68" spans="1:7">
      <c r="A68" s="250"/>
      <c r="B68" s="518"/>
      <c r="C68" s="1388"/>
      <c r="D68" s="1382"/>
      <c r="E68" s="518"/>
      <c r="F68" s="1258"/>
      <c r="G68" s="1175"/>
    </row>
    <row r="69" spans="1:7">
      <c r="A69" s="250"/>
      <c r="B69" s="518"/>
      <c r="C69" s="1388"/>
      <c r="D69" s="1382"/>
      <c r="E69" s="518"/>
      <c r="F69" s="1258"/>
      <c r="G69" s="1175"/>
    </row>
    <row r="70" spans="1:7">
      <c r="A70" s="250"/>
      <c r="B70" s="518"/>
      <c r="C70" s="1388"/>
      <c r="D70" s="1382"/>
      <c r="E70" s="518"/>
      <c r="F70" s="1258"/>
      <c r="G70" s="1175"/>
    </row>
    <row r="71" spans="1:7">
      <c r="A71" s="250"/>
      <c r="B71" s="518"/>
      <c r="C71" s="1388"/>
      <c r="D71" s="1382"/>
      <c r="E71" s="518"/>
      <c r="F71" s="1258"/>
      <c r="G71" s="1175"/>
    </row>
    <row r="72" spans="1:7" ht="12.75" customHeight="1">
      <c r="A72" s="1515" t="s">
        <v>96</v>
      </c>
      <c r="B72" s="1516"/>
      <c r="C72" s="1516"/>
      <c r="D72" s="1516"/>
      <c r="E72" s="1516"/>
      <c r="F72" s="1514"/>
      <c r="G72" s="1521"/>
    </row>
    <row r="73" spans="1:7">
      <c r="A73" s="1518"/>
      <c r="B73" s="1519"/>
      <c r="C73" s="1519"/>
      <c r="D73" s="1519"/>
      <c r="E73" s="1519"/>
      <c r="F73" s="1514"/>
      <c r="G73" s="1514"/>
    </row>
    <row r="74" spans="1:7">
      <c r="A74" s="243"/>
      <c r="B74" s="1372"/>
      <c r="C74" s="1393" t="s">
        <v>220</v>
      </c>
      <c r="D74" s="1374"/>
      <c r="E74" s="1372"/>
      <c r="F74" s="1166"/>
      <c r="G74" s="1175"/>
    </row>
    <row r="75" spans="1:7">
      <c r="A75" s="250"/>
      <c r="B75" s="518"/>
      <c r="C75" s="1388"/>
      <c r="D75" s="1394"/>
      <c r="E75" s="1395"/>
      <c r="F75" s="1258"/>
      <c r="G75" s="1175"/>
    </row>
    <row r="76" spans="1:7">
      <c r="A76" s="250" t="s">
        <v>390</v>
      </c>
      <c r="B76" s="518"/>
      <c r="C76" s="1381" t="s">
        <v>391</v>
      </c>
      <c r="D76" s="1382" t="s">
        <v>335</v>
      </c>
      <c r="E76" s="250">
        <v>1</v>
      </c>
      <c r="F76" s="1258"/>
      <c r="G76" s="1175"/>
    </row>
    <row r="77" spans="1:7">
      <c r="A77" s="250"/>
      <c r="B77" s="518"/>
      <c r="C77" s="1381"/>
      <c r="D77" s="1382"/>
      <c r="E77" s="250"/>
      <c r="F77" s="1258"/>
      <c r="G77" s="1175"/>
    </row>
    <row r="78" spans="1:7">
      <c r="A78" s="250" t="s">
        <v>392</v>
      </c>
      <c r="B78" s="518"/>
      <c r="C78" s="1381" t="s">
        <v>393</v>
      </c>
      <c r="D78" s="1382" t="s">
        <v>335</v>
      </c>
      <c r="E78" s="250">
        <v>1</v>
      </c>
      <c r="F78" s="1258"/>
      <c r="G78" s="1175"/>
    </row>
    <row r="79" spans="1:7">
      <c r="A79" s="250"/>
      <c r="B79" s="518"/>
      <c r="C79" s="1381"/>
      <c r="D79" s="1382"/>
      <c r="E79" s="250"/>
      <c r="F79" s="1258"/>
      <c r="G79" s="1175"/>
    </row>
    <row r="80" spans="1:7">
      <c r="A80" s="250" t="s">
        <v>394</v>
      </c>
      <c r="B80" s="518"/>
      <c r="C80" s="1386" t="s">
        <v>395</v>
      </c>
      <c r="D80" s="1394" t="s">
        <v>335</v>
      </c>
      <c r="E80" s="1395">
        <v>1</v>
      </c>
      <c r="F80" s="1175"/>
      <c r="G80" s="1175"/>
    </row>
    <row r="81" spans="1:7">
      <c r="A81" s="250"/>
      <c r="B81" s="1389"/>
      <c r="C81" s="1384" t="s">
        <v>396</v>
      </c>
      <c r="D81" s="1394"/>
      <c r="E81" s="1395"/>
      <c r="F81" s="1175"/>
      <c r="G81" s="1175"/>
    </row>
    <row r="82" spans="1:7">
      <c r="A82" s="250" t="s">
        <v>397</v>
      </c>
      <c r="B82" s="518" t="s">
        <v>398</v>
      </c>
      <c r="C82" s="1396" t="s">
        <v>399</v>
      </c>
      <c r="D82" s="1397" t="s">
        <v>335</v>
      </c>
      <c r="E82" s="1398">
        <v>1</v>
      </c>
      <c r="F82" s="1260"/>
      <c r="G82" s="1175"/>
    </row>
    <row r="83" spans="1:7">
      <c r="A83" s="250"/>
      <c r="B83" s="1387"/>
      <c r="C83" s="1396"/>
      <c r="D83" s="1397"/>
      <c r="E83" s="1398"/>
      <c r="F83" s="1260"/>
      <c r="G83" s="1175"/>
    </row>
    <row r="84" spans="1:7">
      <c r="A84" s="250" t="s">
        <v>400</v>
      </c>
      <c r="B84" s="1399"/>
      <c r="C84" s="1396" t="s">
        <v>401</v>
      </c>
      <c r="D84" s="1397" t="s">
        <v>335</v>
      </c>
      <c r="E84" s="1398">
        <v>1</v>
      </c>
      <c r="F84" s="1260"/>
      <c r="G84" s="1175"/>
    </row>
    <row r="85" spans="1:7">
      <c r="A85" s="250"/>
      <c r="B85" s="1400"/>
      <c r="C85" s="1396"/>
      <c r="D85" s="1397"/>
      <c r="E85" s="1398"/>
      <c r="F85" s="1260"/>
      <c r="G85" s="1175"/>
    </row>
    <row r="86" spans="1:7">
      <c r="A86" s="250" t="s">
        <v>402</v>
      </c>
      <c r="B86" s="1387"/>
      <c r="C86" s="1396" t="s">
        <v>403</v>
      </c>
      <c r="D86" s="1397" t="s">
        <v>335</v>
      </c>
      <c r="E86" s="1401">
        <v>1</v>
      </c>
      <c r="F86" s="1176"/>
      <c r="G86" s="1175"/>
    </row>
    <row r="87" spans="1:7">
      <c r="A87" s="243"/>
      <c r="B87" s="1372"/>
      <c r="C87" s="1393"/>
      <c r="D87" s="1403"/>
      <c r="E87" s="243"/>
      <c r="F87" s="1166"/>
      <c r="G87" s="1175"/>
    </row>
    <row r="88" spans="1:7">
      <c r="A88" s="243" t="s">
        <v>404</v>
      </c>
      <c r="B88" s="1387"/>
      <c r="C88" s="1396" t="s">
        <v>405</v>
      </c>
      <c r="D88" s="1404" t="s">
        <v>335</v>
      </c>
      <c r="E88" s="518">
        <v>1</v>
      </c>
      <c r="F88" s="1176"/>
      <c r="G88" s="1175"/>
    </row>
    <row r="89" spans="1:7">
      <c r="A89" s="243"/>
      <c r="B89" s="1387"/>
      <c r="C89" s="1396"/>
      <c r="D89" s="1404"/>
      <c r="E89" s="518"/>
      <c r="F89" s="1176"/>
      <c r="G89" s="1175"/>
    </row>
    <row r="90" spans="1:7">
      <c r="A90" s="250" t="s">
        <v>406</v>
      </c>
      <c r="B90" s="1387"/>
      <c r="C90" s="1405" t="s">
        <v>407</v>
      </c>
      <c r="D90" s="1404" t="s">
        <v>335</v>
      </c>
      <c r="E90" s="518">
        <v>1</v>
      </c>
      <c r="F90" s="1176"/>
      <c r="G90" s="1175"/>
    </row>
    <row r="91" spans="1:7">
      <c r="A91" s="250"/>
      <c r="B91" s="1387"/>
      <c r="C91" s="1406"/>
      <c r="D91" s="1399"/>
      <c r="E91" s="518"/>
      <c r="F91" s="1188"/>
      <c r="G91" s="1175"/>
    </row>
    <row r="92" spans="1:7">
      <c r="A92" s="250" t="s">
        <v>408</v>
      </c>
      <c r="B92" s="518" t="s">
        <v>398</v>
      </c>
      <c r="C92" s="1407" t="s">
        <v>409</v>
      </c>
      <c r="D92" s="1399" t="s">
        <v>335</v>
      </c>
      <c r="E92" s="518">
        <v>1</v>
      </c>
      <c r="F92" s="1176"/>
      <c r="G92" s="1175"/>
    </row>
    <row r="93" spans="1:7">
      <c r="A93" s="250"/>
      <c r="B93" s="1387"/>
      <c r="C93" s="1407"/>
      <c r="D93" s="1399"/>
      <c r="E93" s="518"/>
      <c r="F93" s="1188"/>
      <c r="G93" s="1175"/>
    </row>
    <row r="94" spans="1:7">
      <c r="A94" s="250" t="s">
        <v>410</v>
      </c>
      <c r="B94" s="518" t="s">
        <v>398</v>
      </c>
      <c r="C94" s="1406" t="s">
        <v>411</v>
      </c>
      <c r="D94" s="1399" t="s">
        <v>335</v>
      </c>
      <c r="E94" s="518">
        <v>1</v>
      </c>
      <c r="F94" s="1176"/>
      <c r="G94" s="1175"/>
    </row>
    <row r="95" spans="1:7">
      <c r="A95" s="250"/>
      <c r="B95" s="1387"/>
      <c r="C95" s="1406"/>
      <c r="D95" s="1399"/>
      <c r="E95" s="518"/>
      <c r="F95" s="1188"/>
      <c r="G95" s="1175"/>
    </row>
    <row r="96" spans="1:7">
      <c r="A96" s="250" t="s">
        <v>412</v>
      </c>
      <c r="B96" s="1387" t="s">
        <v>413</v>
      </c>
      <c r="C96" s="1407" t="s">
        <v>414</v>
      </c>
      <c r="D96" s="1399" t="s">
        <v>335</v>
      </c>
      <c r="E96" s="518">
        <v>1</v>
      </c>
      <c r="F96" s="1176"/>
      <c r="G96" s="1175"/>
    </row>
    <row r="97" spans="1:7">
      <c r="A97" s="250"/>
      <c r="B97" s="1387"/>
      <c r="C97" s="1396"/>
      <c r="D97" s="1404"/>
      <c r="E97" s="518"/>
      <c r="F97" s="1188"/>
      <c r="G97" s="1175"/>
    </row>
    <row r="98" spans="1:7">
      <c r="A98" s="250" t="s">
        <v>415</v>
      </c>
      <c r="B98" s="1387" t="s">
        <v>416</v>
      </c>
      <c r="C98" s="1396" t="s">
        <v>417</v>
      </c>
      <c r="D98" s="1404" t="s">
        <v>335</v>
      </c>
      <c r="E98" s="518">
        <v>1</v>
      </c>
      <c r="F98" s="1176"/>
      <c r="G98" s="1175"/>
    </row>
    <row r="99" spans="1:7">
      <c r="A99" s="250"/>
      <c r="B99" s="1387"/>
      <c r="C99" s="1396"/>
      <c r="D99" s="1404"/>
      <c r="E99" s="518"/>
      <c r="F99" s="1188"/>
      <c r="G99" s="1175"/>
    </row>
    <row r="100" spans="1:7" ht="25.5">
      <c r="A100" s="250" t="s">
        <v>418</v>
      </c>
      <c r="B100" s="1387"/>
      <c r="C100" s="1396" t="s">
        <v>419</v>
      </c>
      <c r="D100" s="1397" t="s">
        <v>335</v>
      </c>
      <c r="E100" s="1398">
        <v>1</v>
      </c>
      <c r="F100" s="1176"/>
      <c r="G100" s="1175"/>
    </row>
    <row r="101" spans="1:7">
      <c r="A101" s="250"/>
      <c r="B101" s="1387"/>
      <c r="C101" s="1396"/>
      <c r="D101" s="1397"/>
      <c r="E101" s="1398"/>
      <c r="F101" s="1261"/>
      <c r="G101" s="1175"/>
    </row>
    <row r="102" spans="1:7" ht="25.5">
      <c r="A102" s="250" t="s">
        <v>420</v>
      </c>
      <c r="B102" s="1387"/>
      <c r="C102" s="1396" t="s">
        <v>421</v>
      </c>
      <c r="D102" s="1397" t="s">
        <v>335</v>
      </c>
      <c r="E102" s="1398">
        <v>1</v>
      </c>
      <c r="F102" s="1176"/>
      <c r="G102" s="1175"/>
    </row>
    <row r="103" spans="1:7">
      <c r="A103" s="250"/>
      <c r="B103" s="1387"/>
      <c r="C103" s="1405"/>
      <c r="D103" s="1397"/>
      <c r="E103" s="1398"/>
      <c r="F103" s="1261"/>
      <c r="G103" s="1175"/>
    </row>
    <row r="104" spans="1:7">
      <c r="A104" s="250" t="s">
        <v>422</v>
      </c>
      <c r="B104" s="1387"/>
      <c r="C104" s="1396" t="s">
        <v>423</v>
      </c>
      <c r="D104" s="1397" t="s">
        <v>335</v>
      </c>
      <c r="E104" s="1398">
        <v>1</v>
      </c>
      <c r="F104" s="1176"/>
      <c r="G104" s="1175"/>
    </row>
    <row r="105" spans="1:7">
      <c r="A105" s="250"/>
      <c r="B105" s="1372"/>
      <c r="C105" s="1393"/>
      <c r="D105" s="1374"/>
      <c r="E105" s="1372"/>
      <c r="F105" s="1166"/>
      <c r="G105" s="1175"/>
    </row>
    <row r="106" spans="1:7">
      <c r="A106" s="250" t="s">
        <v>424</v>
      </c>
      <c r="B106" s="1387"/>
      <c r="C106" s="1396" t="s">
        <v>425</v>
      </c>
      <c r="D106" s="1397" t="s">
        <v>335</v>
      </c>
      <c r="E106" s="1398">
        <v>1</v>
      </c>
      <c r="F106" s="1176"/>
      <c r="G106" s="1175"/>
    </row>
    <row r="107" spans="1:7">
      <c r="A107" s="250"/>
      <c r="B107" s="1387"/>
      <c r="C107" s="1396"/>
      <c r="D107" s="1397"/>
      <c r="E107" s="1398"/>
      <c r="F107" s="1261"/>
      <c r="G107" s="1175"/>
    </row>
    <row r="108" spans="1:7">
      <c r="A108" s="250" t="s">
        <v>426</v>
      </c>
      <c r="B108" s="1387"/>
      <c r="C108" s="1408" t="s">
        <v>427</v>
      </c>
      <c r="D108" s="1397" t="s">
        <v>335</v>
      </c>
      <c r="E108" s="1398">
        <v>1</v>
      </c>
      <c r="F108" s="1176"/>
      <c r="G108" s="1175"/>
    </row>
    <row r="109" spans="1:7">
      <c r="A109" s="250"/>
      <c r="B109" s="1387"/>
      <c r="C109" s="1396"/>
      <c r="D109" s="1397"/>
      <c r="E109" s="1398"/>
      <c r="F109" s="1261"/>
      <c r="G109" s="1175"/>
    </row>
    <row r="110" spans="1:7">
      <c r="A110" s="250" t="s">
        <v>428</v>
      </c>
      <c r="B110" s="1387"/>
      <c r="C110" s="1396" t="s">
        <v>429</v>
      </c>
      <c r="D110" s="1397" t="s">
        <v>335</v>
      </c>
      <c r="E110" s="1398">
        <v>1</v>
      </c>
      <c r="F110" s="1176"/>
      <c r="G110" s="1175"/>
    </row>
    <row r="111" spans="1:7">
      <c r="A111" s="243"/>
      <c r="B111" s="1372"/>
      <c r="C111" s="1376"/>
      <c r="D111" s="1374"/>
      <c r="E111" s="1372"/>
      <c r="F111" s="1188"/>
      <c r="G111" s="1175"/>
    </row>
    <row r="112" spans="1:7">
      <c r="A112" s="241">
        <v>1.2</v>
      </c>
      <c r="B112" s="1367">
        <v>8.4</v>
      </c>
      <c r="C112" s="242" t="s">
        <v>430</v>
      </c>
      <c r="D112" s="1369"/>
      <c r="E112" s="243"/>
      <c r="F112" s="1186"/>
      <c r="G112" s="1175"/>
    </row>
    <row r="113" spans="1:7">
      <c r="A113" s="243"/>
      <c r="B113" s="1372"/>
      <c r="C113" s="1376"/>
      <c r="D113" s="1374"/>
      <c r="E113" s="1372"/>
      <c r="F113" s="1188"/>
      <c r="G113" s="1175"/>
    </row>
    <row r="114" spans="1:7">
      <c r="A114" s="243"/>
      <c r="B114" s="1372" t="s">
        <v>431</v>
      </c>
      <c r="C114" s="1375" t="s">
        <v>332</v>
      </c>
      <c r="D114" s="1374"/>
      <c r="E114" s="1372"/>
      <c r="F114" s="1166"/>
      <c r="G114" s="1175"/>
    </row>
    <row r="115" spans="1:7">
      <c r="A115" s="243"/>
      <c r="B115" s="1372"/>
      <c r="C115" s="1376"/>
      <c r="D115" s="1374"/>
      <c r="E115" s="1372"/>
      <c r="F115" s="1166"/>
      <c r="G115" s="1175"/>
    </row>
    <row r="116" spans="1:7">
      <c r="A116" s="243" t="s">
        <v>432</v>
      </c>
      <c r="B116" s="1372"/>
      <c r="C116" s="1376" t="s">
        <v>334</v>
      </c>
      <c r="D116" s="1374" t="s">
        <v>335</v>
      </c>
      <c r="E116" s="1372">
        <v>1</v>
      </c>
      <c r="F116" s="1176"/>
      <c r="G116" s="1175"/>
    </row>
    <row r="117" spans="1:7">
      <c r="A117" s="243"/>
      <c r="B117" s="1372"/>
      <c r="C117" s="1376"/>
      <c r="D117" s="1374"/>
      <c r="E117" s="1372"/>
      <c r="F117" s="1166"/>
      <c r="G117" s="1175"/>
    </row>
    <row r="118" spans="1:7">
      <c r="A118" s="243" t="s">
        <v>433</v>
      </c>
      <c r="B118" s="1372"/>
      <c r="C118" s="1376" t="s">
        <v>337</v>
      </c>
      <c r="D118" s="1374" t="s">
        <v>335</v>
      </c>
      <c r="E118" s="1372">
        <v>1</v>
      </c>
      <c r="F118" s="1176"/>
      <c r="G118" s="1175"/>
    </row>
    <row r="119" spans="1:7">
      <c r="A119" s="243"/>
      <c r="B119" s="1372"/>
      <c r="C119" s="1376"/>
      <c r="D119" s="1377"/>
      <c r="E119" s="1372"/>
      <c r="F119" s="1166"/>
      <c r="G119" s="1175"/>
    </row>
    <row r="120" spans="1:7">
      <c r="A120" s="243" t="s">
        <v>434</v>
      </c>
      <c r="B120" s="1372"/>
      <c r="C120" s="1376" t="s">
        <v>339</v>
      </c>
      <c r="D120" s="1374" t="s">
        <v>335</v>
      </c>
      <c r="E120" s="1372">
        <v>1</v>
      </c>
      <c r="F120" s="1176"/>
      <c r="G120" s="1175"/>
    </row>
    <row r="121" spans="1:7">
      <c r="A121" s="243"/>
      <c r="B121" s="1372"/>
      <c r="C121" s="1376"/>
      <c r="D121" s="1377"/>
      <c r="E121" s="1372"/>
      <c r="F121" s="1166"/>
      <c r="G121" s="1175"/>
    </row>
    <row r="122" spans="1:7">
      <c r="A122" s="243" t="s">
        <v>435</v>
      </c>
      <c r="B122" s="1372"/>
      <c r="C122" s="1376" t="s">
        <v>341</v>
      </c>
      <c r="D122" s="1374" t="s">
        <v>335</v>
      </c>
      <c r="E122" s="1372">
        <v>1</v>
      </c>
      <c r="F122" s="1176"/>
      <c r="G122" s="1175"/>
    </row>
    <row r="123" spans="1:7">
      <c r="A123" s="243"/>
      <c r="B123" s="1372"/>
      <c r="C123" s="1376"/>
      <c r="D123" s="1377"/>
      <c r="E123" s="1372"/>
      <c r="F123" s="1166"/>
      <c r="G123" s="1175"/>
    </row>
    <row r="124" spans="1:7">
      <c r="A124" s="243" t="s">
        <v>436</v>
      </c>
      <c r="B124" s="1372"/>
      <c r="C124" s="1376" t="s">
        <v>437</v>
      </c>
      <c r="D124" s="1374" t="s">
        <v>335</v>
      </c>
      <c r="E124" s="1372">
        <v>1</v>
      </c>
      <c r="F124" s="1176"/>
      <c r="G124" s="1175"/>
    </row>
    <row r="125" spans="1:7">
      <c r="A125" s="243"/>
      <c r="B125" s="1372"/>
      <c r="C125" s="1376"/>
      <c r="D125" s="1374"/>
      <c r="E125" s="1372"/>
      <c r="F125" s="1166"/>
      <c r="G125" s="1175"/>
    </row>
    <row r="126" spans="1:7" ht="51">
      <c r="A126" s="243" t="s">
        <v>438</v>
      </c>
      <c r="B126" s="1372"/>
      <c r="C126" s="1376" t="s">
        <v>348</v>
      </c>
      <c r="D126" s="1374" t="s">
        <v>335</v>
      </c>
      <c r="E126" s="1372">
        <v>1</v>
      </c>
      <c r="F126" s="1176"/>
      <c r="G126" s="1175"/>
    </row>
    <row r="127" spans="1:7">
      <c r="A127" s="243"/>
      <c r="B127" s="1372"/>
      <c r="C127" s="1376"/>
      <c r="D127" s="1374"/>
      <c r="E127" s="1372"/>
      <c r="F127" s="1166"/>
      <c r="G127" s="1175"/>
    </row>
    <row r="128" spans="1:7">
      <c r="A128" s="243" t="s">
        <v>439</v>
      </c>
      <c r="B128" s="1372"/>
      <c r="C128" s="1376" t="s">
        <v>440</v>
      </c>
      <c r="D128" s="1374" t="s">
        <v>335</v>
      </c>
      <c r="E128" s="1372">
        <v>1</v>
      </c>
      <c r="F128" s="1176"/>
      <c r="G128" s="1175"/>
    </row>
    <row r="129" spans="1:7">
      <c r="A129" s="243"/>
      <c r="B129" s="1372"/>
      <c r="C129" s="1376"/>
      <c r="D129" s="1374"/>
      <c r="E129" s="1372"/>
      <c r="F129" s="1166"/>
      <c r="G129" s="1175"/>
    </row>
    <row r="130" spans="1:7" ht="25.5">
      <c r="A130" s="243"/>
      <c r="B130" s="1372" t="s">
        <v>441</v>
      </c>
      <c r="C130" s="1375" t="s">
        <v>442</v>
      </c>
      <c r="D130" s="1374"/>
      <c r="E130" s="1372"/>
      <c r="F130" s="1166"/>
      <c r="G130" s="1175"/>
    </row>
    <row r="131" spans="1:7">
      <c r="A131" s="243"/>
      <c r="B131" s="1372"/>
      <c r="C131" s="1376"/>
      <c r="D131" s="1374"/>
      <c r="E131" s="1372"/>
      <c r="F131" s="1166"/>
      <c r="G131" s="1175"/>
    </row>
    <row r="132" spans="1:7" ht="25.5">
      <c r="A132" s="243"/>
      <c r="B132" s="1374" t="s">
        <v>443</v>
      </c>
      <c r="C132" s="1375" t="s">
        <v>444</v>
      </c>
      <c r="D132" s="1374"/>
      <c r="E132" s="1372"/>
      <c r="F132" s="1166"/>
      <c r="G132" s="1175"/>
    </row>
    <row r="133" spans="1:7">
      <c r="A133" s="243"/>
      <c r="B133" s="1374"/>
      <c r="C133" s="1409"/>
      <c r="D133" s="1374"/>
      <c r="E133" s="1372"/>
      <c r="F133" s="1166"/>
      <c r="G133" s="1175"/>
    </row>
    <row r="134" spans="1:7">
      <c r="A134" s="243" t="s">
        <v>445</v>
      </c>
      <c r="B134" s="1374"/>
      <c r="C134" s="1381" t="s">
        <v>446</v>
      </c>
      <c r="D134" s="1374" t="s">
        <v>335</v>
      </c>
      <c r="E134" s="1372">
        <v>1</v>
      </c>
      <c r="F134" s="1166"/>
      <c r="G134" s="1175"/>
    </row>
    <row r="135" spans="1:7">
      <c r="A135" s="243"/>
      <c r="B135" s="518"/>
      <c r="C135" s="1381"/>
      <c r="D135" s="1382"/>
      <c r="E135" s="250"/>
      <c r="F135" s="1258"/>
      <c r="G135" s="1175"/>
    </row>
    <row r="136" spans="1:7">
      <c r="A136" s="243" t="s">
        <v>447</v>
      </c>
      <c r="B136" s="518"/>
      <c r="C136" s="1381" t="s">
        <v>372</v>
      </c>
      <c r="D136" s="1382" t="s">
        <v>335</v>
      </c>
      <c r="E136" s="250">
        <v>1</v>
      </c>
      <c r="F136" s="1258"/>
      <c r="G136" s="1175"/>
    </row>
    <row r="137" spans="1:7">
      <c r="A137" s="243"/>
      <c r="B137" s="518"/>
      <c r="C137" s="1410"/>
      <c r="D137" s="1382"/>
      <c r="E137" s="250"/>
      <c r="F137" s="1176"/>
      <c r="G137" s="1175"/>
    </row>
    <row r="138" spans="1:7">
      <c r="A138" s="243"/>
      <c r="B138" s="518"/>
      <c r="C138" s="1410"/>
      <c r="D138" s="1382"/>
      <c r="E138" s="250"/>
      <c r="F138" s="1176"/>
      <c r="G138" s="1175"/>
    </row>
    <row r="139" spans="1:7">
      <c r="A139" s="243"/>
      <c r="B139" s="518"/>
      <c r="C139" s="1410"/>
      <c r="D139" s="1382"/>
      <c r="E139" s="250"/>
      <c r="F139" s="1176"/>
      <c r="G139" s="1175"/>
    </row>
    <row r="140" spans="1:7">
      <c r="A140" s="243"/>
      <c r="B140" s="518"/>
      <c r="C140" s="1410"/>
      <c r="D140" s="1382"/>
      <c r="E140" s="250"/>
      <c r="F140" s="1176"/>
      <c r="G140" s="1175"/>
    </row>
    <row r="141" spans="1:7">
      <c r="A141" s="243"/>
      <c r="B141" s="518"/>
      <c r="C141" s="1410"/>
      <c r="D141" s="1382"/>
      <c r="E141" s="250"/>
      <c r="F141" s="1176"/>
      <c r="G141" s="1175"/>
    </row>
    <row r="142" spans="1:7">
      <c r="A142" s="243"/>
      <c r="B142" s="518"/>
      <c r="C142" s="1410"/>
      <c r="D142" s="1382"/>
      <c r="E142" s="250"/>
      <c r="F142" s="1171"/>
      <c r="G142" s="1170"/>
    </row>
    <row r="143" spans="1:7">
      <c r="A143" s="243"/>
      <c r="B143" s="518"/>
      <c r="C143" s="1410"/>
      <c r="D143" s="1382"/>
      <c r="E143" s="250"/>
      <c r="F143" s="1171"/>
      <c r="G143" s="1170"/>
    </row>
    <row r="144" spans="1:7">
      <c r="A144" s="243"/>
      <c r="B144" s="518"/>
      <c r="C144" s="1410"/>
      <c r="D144" s="1382"/>
      <c r="E144" s="250"/>
      <c r="F144" s="1171"/>
      <c r="G144" s="1170"/>
    </row>
    <row r="145" spans="1:7">
      <c r="A145" s="243"/>
      <c r="B145" s="518"/>
      <c r="C145" s="1410"/>
      <c r="D145" s="1382"/>
      <c r="E145" s="250"/>
      <c r="F145" s="1171"/>
      <c r="G145" s="1170"/>
    </row>
    <row r="146" spans="1:7">
      <c r="A146" s="243"/>
      <c r="B146" s="518"/>
      <c r="C146" s="1410"/>
      <c r="D146" s="1382"/>
      <c r="E146" s="250"/>
      <c r="F146" s="1171"/>
      <c r="G146" s="1170"/>
    </row>
    <row r="147" spans="1:7">
      <c r="A147" s="243"/>
      <c r="B147" s="518"/>
      <c r="C147" s="1410"/>
      <c r="D147" s="1382"/>
      <c r="E147" s="250"/>
      <c r="F147" s="1171"/>
      <c r="G147" s="1170"/>
    </row>
    <row r="148" spans="1:7">
      <c r="A148" s="243"/>
      <c r="B148" s="518"/>
      <c r="C148" s="1410"/>
      <c r="D148" s="1382"/>
      <c r="E148" s="250"/>
      <c r="F148" s="1171"/>
      <c r="G148" s="1170"/>
    </row>
    <row r="149" spans="1:7">
      <c r="A149" s="243"/>
      <c r="B149" s="518"/>
      <c r="C149" s="1410"/>
      <c r="D149" s="1382"/>
      <c r="E149" s="250"/>
      <c r="F149" s="1171"/>
      <c r="G149" s="1170"/>
    </row>
    <row r="150" spans="1:7" ht="12.75" customHeight="1">
      <c r="A150" s="1515" t="s">
        <v>96</v>
      </c>
      <c r="B150" s="1516"/>
      <c r="C150" s="1516"/>
      <c r="D150" s="1516"/>
      <c r="E150" s="1516"/>
      <c r="F150" s="1514"/>
      <c r="G150" s="1514"/>
    </row>
    <row r="151" spans="1:7">
      <c r="A151" s="1518"/>
      <c r="B151" s="1519"/>
      <c r="C151" s="1519"/>
      <c r="D151" s="1519"/>
      <c r="E151" s="1519"/>
      <c r="F151" s="1514"/>
      <c r="G151" s="1514"/>
    </row>
    <row r="152" spans="1:7">
      <c r="A152" s="243"/>
      <c r="B152" s="1372"/>
      <c r="C152" s="1393" t="s">
        <v>220</v>
      </c>
      <c r="D152" s="1374"/>
      <c r="E152" s="1372"/>
      <c r="F152" s="1165"/>
      <c r="G152" s="1170"/>
    </row>
    <row r="153" spans="1:7">
      <c r="A153" s="243"/>
      <c r="B153" s="250"/>
      <c r="C153" s="1410"/>
      <c r="D153" s="1382"/>
      <c r="E153" s="250"/>
      <c r="F153" s="1172"/>
      <c r="G153" s="1170"/>
    </row>
    <row r="154" spans="1:7">
      <c r="A154" s="243" t="s">
        <v>448</v>
      </c>
      <c r="B154" s="1383" t="s">
        <v>449</v>
      </c>
      <c r="C154" s="1381" t="s">
        <v>450</v>
      </c>
      <c r="D154" s="1399" t="s">
        <v>335</v>
      </c>
      <c r="E154" s="250">
        <v>1</v>
      </c>
      <c r="F154" s="1167"/>
      <c r="G154" s="1170"/>
    </row>
    <row r="155" spans="1:7">
      <c r="A155" s="243"/>
      <c r="B155" s="323"/>
      <c r="C155" s="1410"/>
      <c r="D155" s="1399"/>
      <c r="E155" s="250"/>
      <c r="F155" s="1167"/>
      <c r="G155" s="1170"/>
    </row>
    <row r="156" spans="1:7">
      <c r="A156" s="243" t="s">
        <v>451</v>
      </c>
      <c r="B156" s="323" t="s">
        <v>449</v>
      </c>
      <c r="C156" s="1410" t="s">
        <v>452</v>
      </c>
      <c r="D156" s="1399" t="s">
        <v>335</v>
      </c>
      <c r="E156" s="250">
        <v>1</v>
      </c>
      <c r="F156" s="1167"/>
      <c r="G156" s="1170"/>
    </row>
    <row r="157" spans="1:7">
      <c r="A157" s="243"/>
      <c r="B157" s="250"/>
      <c r="C157" s="1410"/>
      <c r="D157" s="1399"/>
      <c r="E157" s="250"/>
      <c r="F157" s="1168"/>
      <c r="G157" s="1170"/>
    </row>
    <row r="158" spans="1:7">
      <c r="A158" s="243" t="s">
        <v>453</v>
      </c>
      <c r="B158" s="323" t="s">
        <v>449</v>
      </c>
      <c r="C158" s="1410" t="s">
        <v>454</v>
      </c>
      <c r="D158" s="1412" t="s">
        <v>70</v>
      </c>
      <c r="E158" s="250">
        <v>5</v>
      </c>
      <c r="F158" s="1168"/>
      <c r="G158" s="1170"/>
    </row>
    <row r="159" spans="1:7">
      <c r="A159" s="243"/>
      <c r="B159" s="250"/>
      <c r="C159" s="1410"/>
      <c r="D159" s="1382"/>
      <c r="E159" s="250"/>
      <c r="F159" s="1172"/>
      <c r="G159" s="1170"/>
    </row>
    <row r="160" spans="1:7">
      <c r="A160" s="243" t="s">
        <v>455</v>
      </c>
      <c r="B160" s="323" t="s">
        <v>449</v>
      </c>
      <c r="C160" s="1410" t="s">
        <v>456</v>
      </c>
      <c r="D160" s="1385" t="s">
        <v>70</v>
      </c>
      <c r="E160" s="250">
        <v>8</v>
      </c>
      <c r="F160" s="1172"/>
      <c r="G160" s="1170"/>
    </row>
    <row r="161" spans="1:7">
      <c r="A161" s="243"/>
      <c r="B161" s="323"/>
      <c r="C161" s="1410"/>
      <c r="D161" s="1385"/>
      <c r="E161" s="250"/>
      <c r="F161" s="1172"/>
      <c r="G161" s="1170"/>
    </row>
    <row r="162" spans="1:7">
      <c r="A162" s="243" t="s">
        <v>457</v>
      </c>
      <c r="B162" s="323" t="s">
        <v>449</v>
      </c>
      <c r="C162" s="1410" t="s">
        <v>383</v>
      </c>
      <c r="D162" s="1413" t="s">
        <v>335</v>
      </c>
      <c r="E162" s="243">
        <v>1</v>
      </c>
      <c r="F162" s="1165"/>
      <c r="G162" s="1170"/>
    </row>
    <row r="163" spans="1:7">
      <c r="A163" s="243"/>
      <c r="B163" s="323"/>
      <c r="C163" s="1410"/>
      <c r="D163" s="1413"/>
      <c r="E163" s="243"/>
      <c r="F163" s="1165"/>
      <c r="G163" s="1170"/>
    </row>
    <row r="164" spans="1:7">
      <c r="A164" s="243" t="s">
        <v>458</v>
      </c>
      <c r="B164" s="518"/>
      <c r="C164" s="1390" t="s">
        <v>385</v>
      </c>
      <c r="D164" s="1382" t="s">
        <v>335</v>
      </c>
      <c r="E164" s="1387">
        <v>1</v>
      </c>
      <c r="F164" s="1165"/>
      <c r="G164" s="1170"/>
    </row>
    <row r="165" spans="1:7">
      <c r="A165" s="243"/>
      <c r="B165" s="243"/>
      <c r="C165" s="1410"/>
      <c r="D165" s="1413"/>
      <c r="E165" s="243"/>
      <c r="F165" s="1165"/>
      <c r="G165" s="1170"/>
    </row>
    <row r="166" spans="1:7">
      <c r="A166" s="240"/>
      <c r="B166" s="243" t="s">
        <v>459</v>
      </c>
      <c r="C166" s="1414" t="s">
        <v>387</v>
      </c>
      <c r="D166" s="1413"/>
      <c r="E166" s="243"/>
      <c r="F166" s="1165"/>
      <c r="G166" s="1170"/>
    </row>
    <row r="167" spans="1:7">
      <c r="A167" s="243"/>
      <c r="B167" s="243"/>
      <c r="C167" s="1410"/>
      <c r="D167" s="1413"/>
      <c r="E167" s="243"/>
      <c r="F167" s="1165"/>
      <c r="G167" s="1170"/>
    </row>
    <row r="168" spans="1:7">
      <c r="A168" s="243" t="s">
        <v>460</v>
      </c>
      <c r="B168" s="1415"/>
      <c r="C168" s="1381" t="s">
        <v>389</v>
      </c>
      <c r="D168" s="1382" t="s">
        <v>335</v>
      </c>
      <c r="E168" s="250">
        <v>1</v>
      </c>
      <c r="F168" s="1169"/>
      <c r="G168" s="1170"/>
    </row>
    <row r="169" spans="1:7">
      <c r="A169" s="243"/>
      <c r="B169" s="1415"/>
      <c r="C169" s="1406"/>
      <c r="D169" s="1382"/>
      <c r="E169" s="250"/>
      <c r="F169" s="1169"/>
      <c r="G169" s="1170"/>
    </row>
    <row r="170" spans="1:7">
      <c r="A170" s="243" t="s">
        <v>461</v>
      </c>
      <c r="B170" s="1415"/>
      <c r="C170" s="1381" t="s">
        <v>391</v>
      </c>
      <c r="D170" s="1382" t="s">
        <v>335</v>
      </c>
      <c r="E170" s="250">
        <v>1</v>
      </c>
      <c r="F170" s="1169"/>
      <c r="G170" s="1170"/>
    </row>
    <row r="171" spans="1:7">
      <c r="A171" s="243"/>
      <c r="B171" s="1417"/>
      <c r="C171" s="1381"/>
      <c r="D171" s="1382"/>
      <c r="E171" s="250"/>
      <c r="F171" s="1171"/>
      <c r="G171" s="1170"/>
    </row>
    <row r="172" spans="1:7">
      <c r="A172" s="243" t="s">
        <v>462</v>
      </c>
      <c r="B172" s="1417"/>
      <c r="C172" s="1381" t="s">
        <v>393</v>
      </c>
      <c r="D172" s="1399" t="s">
        <v>335</v>
      </c>
      <c r="E172" s="250">
        <v>1</v>
      </c>
      <c r="F172" s="1171"/>
      <c r="G172" s="1170"/>
    </row>
    <row r="173" spans="1:7">
      <c r="A173" s="243"/>
      <c r="B173" s="1417"/>
      <c r="C173" s="1381"/>
      <c r="D173" s="1382"/>
      <c r="E173" s="250"/>
      <c r="F173" s="1167"/>
      <c r="G173" s="1170"/>
    </row>
    <row r="174" spans="1:7">
      <c r="A174" s="243" t="s">
        <v>463</v>
      </c>
      <c r="B174" s="1417"/>
      <c r="C174" s="1381" t="s">
        <v>395</v>
      </c>
      <c r="D174" s="1382" t="s">
        <v>335</v>
      </c>
      <c r="E174" s="250">
        <v>1</v>
      </c>
      <c r="F174" s="1167"/>
      <c r="G174" s="1170"/>
    </row>
    <row r="175" spans="1:7">
      <c r="A175" s="243"/>
      <c r="B175" s="1415"/>
      <c r="C175" s="1376"/>
      <c r="D175" s="1374"/>
      <c r="E175" s="1372"/>
      <c r="F175" s="1169"/>
      <c r="G175" s="1170"/>
    </row>
    <row r="176" spans="1:7">
      <c r="A176" s="243" t="s">
        <v>464</v>
      </c>
      <c r="B176" s="1417"/>
      <c r="C176" s="1381" t="s">
        <v>399</v>
      </c>
      <c r="D176" s="1382" t="s">
        <v>335</v>
      </c>
      <c r="E176" s="250">
        <v>1</v>
      </c>
      <c r="F176" s="1167"/>
      <c r="G176" s="1170"/>
    </row>
    <row r="177" spans="1:7">
      <c r="A177" s="243"/>
      <c r="B177" s="1417"/>
      <c r="C177" s="1381"/>
      <c r="D177" s="1382"/>
      <c r="E177" s="250"/>
      <c r="F177" s="1167"/>
      <c r="G177" s="1170"/>
    </row>
    <row r="178" spans="1:7" ht="25.5">
      <c r="A178" s="243" t="s">
        <v>465</v>
      </c>
      <c r="B178" s="1399"/>
      <c r="C178" s="1381" t="s">
        <v>466</v>
      </c>
      <c r="D178" s="1382" t="s">
        <v>335</v>
      </c>
      <c r="E178" s="250">
        <v>1</v>
      </c>
      <c r="F178" s="1167"/>
      <c r="G178" s="1170"/>
    </row>
    <row r="179" spans="1:7">
      <c r="A179" s="243"/>
      <c r="B179" s="1415"/>
      <c r="C179" s="1418"/>
      <c r="D179" s="1374"/>
      <c r="E179" s="1372"/>
      <c r="F179" s="1169"/>
      <c r="G179" s="1170"/>
    </row>
    <row r="180" spans="1:7">
      <c r="A180" s="243" t="s">
        <v>467</v>
      </c>
      <c r="B180" s="1372"/>
      <c r="C180" s="1381" t="s">
        <v>468</v>
      </c>
      <c r="D180" s="1399" t="s">
        <v>335</v>
      </c>
      <c r="E180" s="250">
        <v>1</v>
      </c>
      <c r="F180" s="1167"/>
      <c r="G180" s="1170"/>
    </row>
    <row r="181" spans="1:7">
      <c r="A181" s="243"/>
      <c r="B181" s="1415"/>
      <c r="C181" s="1381"/>
      <c r="D181" s="1399"/>
      <c r="E181" s="250"/>
      <c r="F181" s="1167"/>
      <c r="G181" s="1170"/>
    </row>
    <row r="182" spans="1:7">
      <c r="A182" s="243" t="s">
        <v>469</v>
      </c>
      <c r="B182" s="1415"/>
      <c r="C182" s="1381" t="s">
        <v>470</v>
      </c>
      <c r="D182" s="1399" t="s">
        <v>335</v>
      </c>
      <c r="E182" s="250">
        <v>1</v>
      </c>
      <c r="F182" s="1171"/>
      <c r="G182" s="1170"/>
    </row>
    <row r="183" spans="1:7">
      <c r="A183" s="243"/>
      <c r="B183" s="1415"/>
      <c r="C183" s="1381"/>
      <c r="D183" s="1399"/>
      <c r="E183" s="250"/>
      <c r="F183" s="1171"/>
      <c r="G183" s="1170"/>
    </row>
    <row r="184" spans="1:7">
      <c r="A184" s="243" t="s">
        <v>471</v>
      </c>
      <c r="B184" s="559"/>
      <c r="C184" s="1410" t="s">
        <v>407</v>
      </c>
      <c r="D184" s="1399" t="s">
        <v>335</v>
      </c>
      <c r="E184" s="518">
        <v>1</v>
      </c>
      <c r="F184" s="1171"/>
      <c r="G184" s="1170"/>
    </row>
    <row r="185" spans="1:7">
      <c r="A185" s="243"/>
      <c r="B185" s="1415"/>
      <c r="C185" s="1381"/>
      <c r="D185" s="1399"/>
      <c r="E185" s="250"/>
      <c r="F185" s="1171"/>
      <c r="G185" s="1170"/>
    </row>
    <row r="186" spans="1:7">
      <c r="A186" s="243" t="s">
        <v>472</v>
      </c>
      <c r="B186" s="1419" t="s">
        <v>473</v>
      </c>
      <c r="C186" s="1410" t="s">
        <v>409</v>
      </c>
      <c r="D186" s="1399" t="s">
        <v>335</v>
      </c>
      <c r="E186" s="518">
        <v>1</v>
      </c>
      <c r="F186" s="1171"/>
      <c r="G186" s="1170"/>
    </row>
    <row r="187" spans="1:7">
      <c r="A187" s="243"/>
      <c r="B187" s="1419"/>
      <c r="C187" s="1410"/>
      <c r="D187" s="1399"/>
      <c r="E187" s="518"/>
      <c r="F187" s="1171"/>
      <c r="G187" s="1170"/>
    </row>
    <row r="188" spans="1:7">
      <c r="A188" s="243" t="s">
        <v>474</v>
      </c>
      <c r="B188" s="1419" t="s">
        <v>473</v>
      </c>
      <c r="C188" s="1410" t="s">
        <v>475</v>
      </c>
      <c r="D188" s="1399" t="s">
        <v>335</v>
      </c>
      <c r="E188" s="518">
        <v>1</v>
      </c>
      <c r="F188" s="1171"/>
      <c r="G188" s="1170"/>
    </row>
    <row r="189" spans="1:7">
      <c r="A189" s="243"/>
      <c r="B189" s="529"/>
      <c r="C189" s="1418"/>
      <c r="D189" s="1374"/>
      <c r="E189" s="529"/>
      <c r="F189" s="1165"/>
      <c r="G189" s="1170"/>
    </row>
    <row r="190" spans="1:7">
      <c r="A190" s="243" t="s">
        <v>476</v>
      </c>
      <c r="B190" s="529" t="s">
        <v>477</v>
      </c>
      <c r="C190" s="1418" t="s">
        <v>478</v>
      </c>
      <c r="D190" s="1399" t="s">
        <v>335</v>
      </c>
      <c r="E190" s="518">
        <v>1</v>
      </c>
      <c r="F190" s="1165"/>
      <c r="G190" s="1170"/>
    </row>
    <row r="191" spans="1:7">
      <c r="A191" s="243"/>
      <c r="B191" s="529"/>
      <c r="C191" s="1418"/>
      <c r="D191" s="1374"/>
      <c r="E191" s="529"/>
      <c r="F191" s="1165"/>
      <c r="G191" s="1170"/>
    </row>
    <row r="192" spans="1:7" ht="26.25" customHeight="1">
      <c r="A192" s="243" t="s">
        <v>479</v>
      </c>
      <c r="B192" s="518" t="s">
        <v>480</v>
      </c>
      <c r="C192" s="1410" t="s">
        <v>481</v>
      </c>
      <c r="D192" s="1399" t="s">
        <v>335</v>
      </c>
      <c r="E192" s="250">
        <v>1</v>
      </c>
      <c r="F192" s="1167"/>
      <c r="G192" s="1170"/>
    </row>
    <row r="193" spans="1:7">
      <c r="A193" s="243"/>
      <c r="B193" s="518"/>
      <c r="C193" s="1410"/>
      <c r="D193" s="1382"/>
      <c r="E193" s="250"/>
      <c r="F193" s="1167"/>
      <c r="G193" s="1170"/>
    </row>
    <row r="194" spans="1:7" ht="25.5">
      <c r="A194" s="243" t="s">
        <v>482</v>
      </c>
      <c r="B194" s="518"/>
      <c r="C194" s="1396" t="s">
        <v>419</v>
      </c>
      <c r="D194" s="1399" t="s">
        <v>335</v>
      </c>
      <c r="E194" s="250">
        <v>1</v>
      </c>
      <c r="F194" s="1167"/>
      <c r="G194" s="1170"/>
    </row>
    <row r="195" spans="1:7">
      <c r="A195" s="243"/>
      <c r="B195" s="518"/>
      <c r="C195" s="1396"/>
      <c r="D195" s="1382"/>
      <c r="E195" s="250"/>
      <c r="F195" s="1167"/>
      <c r="G195" s="1170"/>
    </row>
    <row r="196" spans="1:7" ht="25.5">
      <c r="A196" s="243" t="s">
        <v>483</v>
      </c>
      <c r="B196" s="518"/>
      <c r="C196" s="1396" t="s">
        <v>421</v>
      </c>
      <c r="D196" s="1399" t="s">
        <v>335</v>
      </c>
      <c r="E196" s="250">
        <v>1</v>
      </c>
      <c r="F196" s="1167"/>
      <c r="G196" s="1170"/>
    </row>
    <row r="197" spans="1:7">
      <c r="A197" s="243"/>
      <c r="B197" s="518"/>
      <c r="C197" s="1410"/>
      <c r="D197" s="1382"/>
      <c r="E197" s="250"/>
      <c r="F197" s="1167"/>
      <c r="G197" s="1170"/>
    </row>
    <row r="198" spans="1:7">
      <c r="A198" s="243" t="s">
        <v>484</v>
      </c>
      <c r="B198" s="518"/>
      <c r="C198" s="1396" t="s">
        <v>425</v>
      </c>
      <c r="D198" s="1399" t="s">
        <v>335</v>
      </c>
      <c r="E198" s="250">
        <v>1</v>
      </c>
      <c r="F198" s="1167"/>
      <c r="G198" s="1170"/>
    </row>
    <row r="199" spans="1:7">
      <c r="A199" s="243"/>
      <c r="B199" s="518"/>
      <c r="C199" s="1396"/>
      <c r="D199" s="1382"/>
      <c r="E199" s="250"/>
      <c r="F199" s="1167"/>
      <c r="G199" s="1170"/>
    </row>
    <row r="200" spans="1:7">
      <c r="A200" s="243" t="s">
        <v>485</v>
      </c>
      <c r="B200" s="518"/>
      <c r="C200" s="1408" t="s">
        <v>427</v>
      </c>
      <c r="D200" s="1399" t="s">
        <v>335</v>
      </c>
      <c r="E200" s="250">
        <v>1</v>
      </c>
      <c r="F200" s="1167"/>
      <c r="G200" s="1170"/>
    </row>
    <row r="201" spans="1:7">
      <c r="A201" s="243"/>
      <c r="B201" s="518"/>
      <c r="C201" s="1420"/>
      <c r="D201" s="1382"/>
      <c r="E201" s="250"/>
      <c r="F201" s="1167"/>
      <c r="G201" s="1170"/>
    </row>
    <row r="202" spans="1:7" ht="25.5">
      <c r="A202" s="243" t="s">
        <v>486</v>
      </c>
      <c r="B202" s="518"/>
      <c r="C202" s="1381" t="s">
        <v>487</v>
      </c>
      <c r="D202" s="1399" t="s">
        <v>335</v>
      </c>
      <c r="E202" s="250">
        <v>1</v>
      </c>
      <c r="F202" s="1167"/>
      <c r="G202" s="1170"/>
    </row>
    <row r="203" spans="1:7">
      <c r="A203" s="243"/>
      <c r="B203" s="518"/>
      <c r="C203" s="1410"/>
      <c r="D203" s="1382"/>
      <c r="E203" s="250"/>
      <c r="F203" s="1167"/>
      <c r="G203" s="1170"/>
    </row>
    <row r="204" spans="1:7">
      <c r="A204" s="243" t="s">
        <v>488</v>
      </c>
      <c r="B204" s="518" t="s">
        <v>489</v>
      </c>
      <c r="C204" s="1410" t="s">
        <v>490</v>
      </c>
      <c r="D204" s="1382"/>
      <c r="E204" s="250"/>
      <c r="F204" s="1167"/>
      <c r="G204" s="1170"/>
    </row>
    <row r="205" spans="1:7">
      <c r="A205" s="243"/>
      <c r="B205" s="518"/>
      <c r="C205" s="1421" t="s">
        <v>491</v>
      </c>
      <c r="D205" s="1382" t="s">
        <v>335</v>
      </c>
      <c r="E205" s="250">
        <v>1</v>
      </c>
      <c r="F205" s="1167"/>
      <c r="G205" s="1170"/>
    </row>
    <row r="206" spans="1:7">
      <c r="A206" s="250"/>
      <c r="B206" s="518"/>
      <c r="C206" s="1381"/>
      <c r="D206" s="1382"/>
      <c r="E206" s="250"/>
      <c r="F206" s="1167"/>
      <c r="G206" s="1170"/>
    </row>
    <row r="207" spans="1:7" ht="25.5">
      <c r="A207" s="250">
        <v>1.3</v>
      </c>
      <c r="B207" s="1422" t="s">
        <v>492</v>
      </c>
      <c r="C207" s="1423" t="s">
        <v>493</v>
      </c>
      <c r="D207" s="1424"/>
      <c r="E207" s="1425"/>
      <c r="F207" s="1173"/>
      <c r="G207" s="1174"/>
    </row>
    <row r="208" spans="1:7" ht="39" customHeight="1">
      <c r="A208" s="250" t="s">
        <v>494</v>
      </c>
      <c r="B208" s="518" t="s">
        <v>495</v>
      </c>
      <c r="C208" s="1410" t="s">
        <v>496</v>
      </c>
      <c r="D208" s="250" t="s">
        <v>357</v>
      </c>
      <c r="E208" s="250">
        <v>1</v>
      </c>
      <c r="F208" s="1371">
        <v>100000</v>
      </c>
      <c r="G208" s="1371">
        <v>100000</v>
      </c>
    </row>
    <row r="209" spans="1:8">
      <c r="A209" s="250"/>
      <c r="B209" s="518"/>
      <c r="C209" s="1410"/>
      <c r="D209" s="250"/>
      <c r="E209" s="250"/>
      <c r="F209" s="1402"/>
      <c r="G209" s="1371"/>
    </row>
    <row r="210" spans="1:8">
      <c r="A210" s="250" t="s">
        <v>497</v>
      </c>
      <c r="B210" s="518"/>
      <c r="C210" s="1410" t="s">
        <v>498</v>
      </c>
      <c r="D210" s="250" t="s">
        <v>357</v>
      </c>
      <c r="E210" s="250">
        <v>1</v>
      </c>
      <c r="F210" s="1371">
        <v>50000</v>
      </c>
      <c r="G210" s="1371">
        <v>50000</v>
      </c>
    </row>
    <row r="211" spans="1:8">
      <c r="A211" s="250"/>
      <c r="B211" s="518"/>
      <c r="C211" s="1410"/>
      <c r="D211" s="250"/>
      <c r="E211" s="250"/>
      <c r="F211" s="1411"/>
      <c r="G211" s="1411"/>
    </row>
    <row r="212" spans="1:8">
      <c r="A212" s="250" t="s">
        <v>499</v>
      </c>
      <c r="B212" s="1399"/>
      <c r="C212" s="1410" t="s">
        <v>500</v>
      </c>
      <c r="D212" s="250" t="s">
        <v>501</v>
      </c>
      <c r="E212" s="250">
        <v>1</v>
      </c>
      <c r="F212" s="1411">
        <f>(9000+8000)*15</f>
        <v>255000</v>
      </c>
      <c r="G212" s="1411">
        <f>(9000+8000)*15</f>
        <v>255000</v>
      </c>
      <c r="H212" s="306" t="s">
        <v>502</v>
      </c>
    </row>
    <row r="213" spans="1:8">
      <c r="A213" s="250"/>
      <c r="B213" s="1399"/>
      <c r="C213" s="1388"/>
      <c r="D213" s="250"/>
      <c r="E213" s="250"/>
      <c r="F213" s="1411"/>
      <c r="G213" s="1411"/>
    </row>
    <row r="214" spans="1:8">
      <c r="A214" s="250" t="s">
        <v>503</v>
      </c>
      <c r="B214" s="1399"/>
      <c r="C214" s="1381" t="s">
        <v>504</v>
      </c>
      <c r="D214" s="518" t="s">
        <v>501</v>
      </c>
      <c r="E214" s="250">
        <v>1</v>
      </c>
      <c r="F214" s="1411">
        <v>1000000</v>
      </c>
      <c r="G214" s="1411">
        <v>1000000</v>
      </c>
      <c r="H214" s="306" t="s">
        <v>502</v>
      </c>
    </row>
    <row r="215" spans="1:8">
      <c r="A215" s="250"/>
      <c r="B215" s="1399"/>
      <c r="C215" s="1381"/>
      <c r="D215" s="518"/>
      <c r="E215" s="250"/>
      <c r="F215" s="1411"/>
      <c r="G215" s="1411"/>
    </row>
    <row r="216" spans="1:8">
      <c r="A216" s="250" t="s">
        <v>505</v>
      </c>
      <c r="B216" s="1399"/>
      <c r="C216" s="1381" t="s">
        <v>506</v>
      </c>
      <c r="D216" s="518" t="s">
        <v>501</v>
      </c>
      <c r="E216" s="250">
        <v>1</v>
      </c>
      <c r="F216" s="1411">
        <f>12000*4*18</f>
        <v>864000</v>
      </c>
      <c r="G216" s="1411">
        <f>E216*F216</f>
        <v>864000</v>
      </c>
      <c r="H216" s="306" t="s">
        <v>502</v>
      </c>
    </row>
    <row r="217" spans="1:8">
      <c r="A217" s="250"/>
      <c r="B217" s="250"/>
      <c r="C217" s="1381"/>
      <c r="D217" s="250"/>
      <c r="E217" s="250"/>
      <c r="F217" s="1411"/>
      <c r="G217" s="1411"/>
    </row>
    <row r="218" spans="1:8">
      <c r="A218" s="250" t="s">
        <v>507</v>
      </c>
      <c r="B218" s="243"/>
      <c r="C218" s="1381" t="s">
        <v>508</v>
      </c>
      <c r="D218" s="250" t="s">
        <v>501</v>
      </c>
      <c r="E218" s="250">
        <v>1</v>
      </c>
      <c r="F218" s="1411">
        <v>50000</v>
      </c>
      <c r="G218" s="1411">
        <v>50000</v>
      </c>
    </row>
    <row r="219" spans="1:8">
      <c r="A219" s="250"/>
      <c r="B219" s="243"/>
      <c r="C219" s="1381"/>
      <c r="D219" s="250"/>
      <c r="E219" s="250"/>
      <c r="F219" s="1411"/>
      <c r="G219" s="1411"/>
    </row>
    <row r="220" spans="1:8">
      <c r="A220" s="250" t="s">
        <v>509</v>
      </c>
      <c r="B220" s="243"/>
      <c r="C220" s="1381" t="s">
        <v>510</v>
      </c>
      <c r="D220" s="1382" t="s">
        <v>501</v>
      </c>
      <c r="E220" s="250">
        <v>1</v>
      </c>
      <c r="F220" s="1371">
        <v>100000</v>
      </c>
      <c r="G220" s="1371">
        <v>100000</v>
      </c>
    </row>
    <row r="221" spans="1:8">
      <c r="A221" s="250"/>
      <c r="B221" s="243"/>
      <c r="C221" s="1381"/>
      <c r="D221" s="1382"/>
      <c r="E221" s="250"/>
      <c r="F221" s="1175"/>
      <c r="G221" s="1175"/>
    </row>
    <row r="222" spans="1:8">
      <c r="A222" s="250"/>
      <c r="B222" s="243"/>
      <c r="C222" s="1381"/>
      <c r="D222" s="1382"/>
      <c r="E222" s="250"/>
      <c r="F222" s="1175"/>
      <c r="G222" s="1175"/>
    </row>
    <row r="223" spans="1:8">
      <c r="A223" s="250"/>
      <c r="B223" s="243"/>
      <c r="C223" s="1381"/>
      <c r="D223" s="1382"/>
      <c r="E223" s="250"/>
      <c r="F223" s="1175"/>
      <c r="G223" s="1175"/>
    </row>
    <row r="224" spans="1:8">
      <c r="A224" s="250"/>
      <c r="B224" s="243"/>
      <c r="C224" s="1381"/>
      <c r="D224" s="1382"/>
      <c r="E224" s="250"/>
      <c r="F224" s="1175"/>
      <c r="G224" s="1175"/>
    </row>
    <row r="225" spans="1:7">
      <c r="A225" s="250"/>
      <c r="B225" s="243"/>
      <c r="C225" s="1381"/>
      <c r="D225" s="1382"/>
      <c r="E225" s="250"/>
      <c r="F225" s="1175"/>
      <c r="G225" s="1175"/>
    </row>
    <row r="226" spans="1:7">
      <c r="A226" s="1426"/>
      <c r="B226" s="1427"/>
      <c r="C226" s="1428"/>
      <c r="D226" s="1429"/>
      <c r="E226" s="1426"/>
      <c r="F226" s="1177"/>
      <c r="G226" s="1175"/>
    </row>
    <row r="227" spans="1:7" ht="12.75" customHeight="1">
      <c r="A227" s="1515" t="s">
        <v>96</v>
      </c>
      <c r="B227" s="1516"/>
      <c r="C227" s="1516"/>
      <c r="D227" s="1516"/>
      <c r="E227" s="1516"/>
      <c r="F227" s="1514"/>
      <c r="G227" s="1514"/>
    </row>
    <row r="228" spans="1:7">
      <c r="A228" s="1518"/>
      <c r="B228" s="1519"/>
      <c r="C228" s="1519"/>
      <c r="D228" s="1519"/>
      <c r="E228" s="1519"/>
      <c r="F228" s="1514"/>
      <c r="G228" s="1514"/>
    </row>
    <row r="229" spans="1:7">
      <c r="A229" s="243"/>
      <c r="B229" s="1372"/>
      <c r="C229" s="1393" t="s">
        <v>220</v>
      </c>
      <c r="D229" s="1374"/>
      <c r="E229" s="1372"/>
      <c r="F229" s="1165"/>
      <c r="G229" s="1170"/>
    </row>
    <row r="230" spans="1:7">
      <c r="A230" s="250"/>
      <c r="B230" s="243"/>
      <c r="C230" s="1388"/>
      <c r="D230" s="1382"/>
      <c r="E230" s="518"/>
      <c r="F230" s="1175"/>
      <c r="G230" s="1175"/>
    </row>
    <row r="231" spans="1:7">
      <c r="A231" s="250" t="s">
        <v>511</v>
      </c>
      <c r="B231" s="243"/>
      <c r="C231" s="1388" t="s">
        <v>512</v>
      </c>
      <c r="D231" s="1382" t="s">
        <v>501</v>
      </c>
      <c r="E231" s="518">
        <v>1</v>
      </c>
      <c r="F231" s="1371">
        <v>150000</v>
      </c>
      <c r="G231" s="1371">
        <v>150000</v>
      </c>
    </row>
    <row r="232" spans="1:7">
      <c r="A232" s="250"/>
      <c r="B232" s="243"/>
      <c r="C232" s="1388"/>
      <c r="D232" s="1382"/>
      <c r="E232" s="518"/>
      <c r="F232" s="1371"/>
      <c r="G232" s="1371"/>
    </row>
    <row r="233" spans="1:7">
      <c r="A233" s="250" t="s">
        <v>513</v>
      </c>
      <c r="B233" s="243"/>
      <c r="C233" s="1388" t="s">
        <v>514</v>
      </c>
      <c r="D233" s="1382" t="s">
        <v>501</v>
      </c>
      <c r="E233" s="518">
        <v>1</v>
      </c>
      <c r="F233" s="1371">
        <v>50000</v>
      </c>
      <c r="G233" s="1371">
        <v>50000</v>
      </c>
    </row>
    <row r="234" spans="1:7">
      <c r="A234" s="250"/>
      <c r="B234" s="243"/>
      <c r="C234" s="1388"/>
      <c r="D234" s="1382"/>
      <c r="E234" s="518"/>
      <c r="F234" s="1371"/>
      <c r="G234" s="1371"/>
    </row>
    <row r="235" spans="1:7">
      <c r="A235" s="250" t="s">
        <v>515</v>
      </c>
      <c r="B235" s="243"/>
      <c r="C235" s="1388" t="s">
        <v>516</v>
      </c>
      <c r="D235" s="1382" t="s">
        <v>501</v>
      </c>
      <c r="E235" s="518">
        <v>1</v>
      </c>
      <c r="F235" s="1371">
        <f>8000*18</f>
        <v>144000</v>
      </c>
      <c r="G235" s="1371">
        <f>8000*18</f>
        <v>144000</v>
      </c>
    </row>
    <row r="236" spans="1:7">
      <c r="A236" s="250"/>
      <c r="B236" s="243"/>
      <c r="C236" s="1388"/>
      <c r="D236" s="1382"/>
      <c r="E236" s="518"/>
      <c r="F236" s="1371"/>
      <c r="G236" s="1371"/>
    </row>
    <row r="237" spans="1:7">
      <c r="A237" s="250" t="s">
        <v>517</v>
      </c>
      <c r="B237" s="243"/>
      <c r="C237" s="1388" t="s">
        <v>518</v>
      </c>
      <c r="D237" s="1382" t="s">
        <v>501</v>
      </c>
      <c r="E237" s="518">
        <v>1</v>
      </c>
      <c r="F237" s="1371">
        <f>40000*18</f>
        <v>720000</v>
      </c>
      <c r="G237" s="1371">
        <f>40000*18</f>
        <v>720000</v>
      </c>
    </row>
    <row r="238" spans="1:7">
      <c r="A238" s="250"/>
      <c r="B238" s="243"/>
      <c r="C238" s="1388"/>
      <c r="D238" s="1382"/>
      <c r="E238" s="518"/>
      <c r="F238" s="1371"/>
      <c r="G238" s="1371"/>
    </row>
    <row r="239" spans="1:7" ht="25.5">
      <c r="A239" s="250" t="s">
        <v>519</v>
      </c>
      <c r="B239" s="243"/>
      <c r="C239" s="1388" t="s">
        <v>520</v>
      </c>
      <c r="D239" s="1382" t="s">
        <v>501</v>
      </c>
      <c r="E239" s="518">
        <v>1</v>
      </c>
      <c r="F239" s="1371">
        <f>2160000+1500000</f>
        <v>3660000</v>
      </c>
      <c r="G239" s="1371">
        <f>E239*F239</f>
        <v>3660000</v>
      </c>
    </row>
    <row r="240" spans="1:7">
      <c r="A240" s="250"/>
      <c r="B240" s="243"/>
      <c r="C240" s="1388"/>
      <c r="D240" s="1382"/>
      <c r="E240" s="518"/>
      <c r="F240" s="1176"/>
      <c r="G240" s="1175"/>
    </row>
    <row r="241" spans="1:7" ht="25.5">
      <c r="A241" s="250" t="s">
        <v>521</v>
      </c>
      <c r="B241" s="518"/>
      <c r="C241" s="1384" t="s">
        <v>522</v>
      </c>
      <c r="D241" s="1382" t="s">
        <v>362</v>
      </c>
      <c r="E241" s="1430">
        <f>SUM(F208:F239)</f>
        <v>7143000</v>
      </c>
      <c r="F241" s="1178"/>
      <c r="G241" s="1175"/>
    </row>
    <row r="242" spans="1:7">
      <c r="A242" s="243"/>
      <c r="B242" s="1372"/>
      <c r="C242" s="1376"/>
      <c r="D242" s="1374"/>
      <c r="E242" s="1372"/>
      <c r="F242" s="1166"/>
      <c r="G242" s="1175"/>
    </row>
    <row r="243" spans="1:7">
      <c r="A243" s="241">
        <v>1.4</v>
      </c>
      <c r="B243" s="1431">
        <v>8.6999999999999993</v>
      </c>
      <c r="C243" s="582" t="s">
        <v>523</v>
      </c>
      <c r="D243" s="1367"/>
      <c r="E243" s="1431"/>
      <c r="F243" s="1179"/>
      <c r="G243" s="1174"/>
    </row>
    <row r="244" spans="1:7">
      <c r="A244" s="243"/>
      <c r="B244" s="1372"/>
      <c r="C244" s="1373"/>
      <c r="D244" s="1374"/>
      <c r="E244" s="1372"/>
      <c r="F244" s="1165"/>
      <c r="G244" s="1170"/>
    </row>
    <row r="245" spans="1:7">
      <c r="A245" s="243" t="s">
        <v>524</v>
      </c>
      <c r="B245" s="1372" t="s">
        <v>525</v>
      </c>
      <c r="C245" s="1376" t="s">
        <v>526</v>
      </c>
      <c r="D245" s="1372" t="s">
        <v>501</v>
      </c>
      <c r="E245" s="1372">
        <v>1</v>
      </c>
      <c r="F245" s="1432">
        <v>200000</v>
      </c>
      <c r="G245" s="1411">
        <v>200000</v>
      </c>
    </row>
    <row r="246" spans="1:7">
      <c r="A246" s="243"/>
      <c r="B246" s="1372"/>
      <c r="C246" s="1376"/>
      <c r="D246" s="1374"/>
      <c r="E246" s="1372"/>
      <c r="F246" s="1165"/>
      <c r="G246" s="1170"/>
    </row>
    <row r="247" spans="1:7" ht="38.25">
      <c r="A247" s="243"/>
      <c r="B247" s="1372" t="s">
        <v>527</v>
      </c>
      <c r="C247" s="1378" t="s">
        <v>528</v>
      </c>
      <c r="D247" s="1374"/>
      <c r="E247" s="1372"/>
      <c r="F247" s="1165"/>
      <c r="G247" s="1170"/>
    </row>
    <row r="248" spans="1:7">
      <c r="A248" s="243"/>
      <c r="B248" s="1372"/>
      <c r="C248" s="1373"/>
      <c r="D248" s="1374"/>
      <c r="E248" s="1372"/>
      <c r="F248" s="1165"/>
      <c r="G248" s="1170"/>
    </row>
    <row r="249" spans="1:7">
      <c r="A249" s="243" t="s">
        <v>529</v>
      </c>
      <c r="B249" s="1372"/>
      <c r="C249" s="1376" t="s">
        <v>530</v>
      </c>
      <c r="D249" s="1374" t="s">
        <v>362</v>
      </c>
      <c r="E249" s="1433">
        <v>75000</v>
      </c>
      <c r="F249" s="1180"/>
      <c r="G249" s="1170"/>
    </row>
    <row r="250" spans="1:7">
      <c r="A250" s="243"/>
      <c r="B250" s="1372"/>
      <c r="C250" s="1373"/>
      <c r="D250" s="1374"/>
      <c r="E250" s="1372"/>
      <c r="F250" s="1165"/>
      <c r="G250" s="1170"/>
    </row>
    <row r="251" spans="1:7">
      <c r="A251" s="243" t="s">
        <v>531</v>
      </c>
      <c r="B251" s="1372"/>
      <c r="C251" s="1376" t="s">
        <v>532</v>
      </c>
      <c r="D251" s="1374" t="s">
        <v>362</v>
      </c>
      <c r="E251" s="1433">
        <v>75000</v>
      </c>
      <c r="F251" s="1180"/>
      <c r="G251" s="1170"/>
    </row>
    <row r="252" spans="1:7">
      <c r="A252" s="243"/>
      <c r="B252" s="1372"/>
      <c r="C252" s="1376"/>
      <c r="D252" s="1374"/>
      <c r="E252" s="1434"/>
      <c r="F252" s="1165"/>
      <c r="G252" s="1170"/>
    </row>
    <row r="253" spans="1:7">
      <c r="A253" s="243" t="s">
        <v>533</v>
      </c>
      <c r="B253" s="1372"/>
      <c r="C253" s="1376" t="s">
        <v>534</v>
      </c>
      <c r="D253" s="1374" t="s">
        <v>362</v>
      </c>
      <c r="E253" s="1433">
        <v>50000</v>
      </c>
      <c r="F253" s="1180"/>
      <c r="G253" s="1170"/>
    </row>
    <row r="254" spans="1:7">
      <c r="A254" s="243"/>
      <c r="B254" s="1372"/>
      <c r="C254" s="1376"/>
      <c r="D254" s="1374"/>
      <c r="E254" s="1434"/>
      <c r="F254" s="1165"/>
      <c r="G254" s="1170"/>
    </row>
    <row r="255" spans="1:7">
      <c r="A255" s="243"/>
      <c r="B255" s="1372" t="s">
        <v>535</v>
      </c>
      <c r="C255" s="1375" t="s">
        <v>536</v>
      </c>
      <c r="D255" s="1374"/>
      <c r="E255" s="1372"/>
      <c r="F255" s="1165"/>
      <c r="G255" s="1170"/>
    </row>
    <row r="256" spans="1:7">
      <c r="A256" s="243"/>
      <c r="B256" s="1372"/>
      <c r="C256" s="1373"/>
      <c r="D256" s="1374"/>
      <c r="E256" s="1372"/>
      <c r="F256" s="1165"/>
      <c r="G256" s="1170"/>
    </row>
    <row r="257" spans="1:7" ht="25.5">
      <c r="A257" s="243"/>
      <c r="B257" s="1372"/>
      <c r="C257" s="1375" t="s">
        <v>537</v>
      </c>
      <c r="D257" s="1374"/>
      <c r="E257" s="1372"/>
      <c r="F257" s="1165"/>
      <c r="G257" s="1170"/>
    </row>
    <row r="258" spans="1:7" ht="12.75" customHeight="1">
      <c r="A258" s="243"/>
      <c r="B258" s="1372"/>
      <c r="C258" s="1376"/>
      <c r="D258" s="1374"/>
      <c r="E258" s="1372"/>
      <c r="F258" s="1165"/>
      <c r="G258" s="1170"/>
    </row>
    <row r="259" spans="1:7" ht="12.75" customHeight="1">
      <c r="A259" s="243" t="s">
        <v>538</v>
      </c>
      <c r="B259" s="1372"/>
      <c r="C259" s="1435" t="s">
        <v>539</v>
      </c>
      <c r="D259" s="1374" t="s">
        <v>540</v>
      </c>
      <c r="E259" s="1372">
        <v>24</v>
      </c>
      <c r="F259" s="1165"/>
      <c r="G259" s="1170"/>
    </row>
    <row r="260" spans="1:7" ht="12.75" customHeight="1">
      <c r="A260" s="243"/>
      <c r="B260" s="1372"/>
      <c r="C260" s="1376"/>
      <c r="D260" s="1374"/>
      <c r="E260" s="1372"/>
      <c r="F260" s="1165"/>
      <c r="G260" s="1170"/>
    </row>
    <row r="261" spans="1:7" ht="12.75" customHeight="1">
      <c r="A261" s="243" t="s">
        <v>541</v>
      </c>
      <c r="B261" s="1372"/>
      <c r="C261" s="1376" t="s">
        <v>542</v>
      </c>
      <c r="D261" s="1374" t="s">
        <v>540</v>
      </c>
      <c r="E261" s="1372">
        <v>40</v>
      </c>
      <c r="F261" s="1165"/>
      <c r="G261" s="1170"/>
    </row>
    <row r="262" spans="1:7" ht="12.75" customHeight="1">
      <c r="A262" s="243"/>
      <c r="B262" s="1372"/>
      <c r="C262" s="1376"/>
      <c r="D262" s="1374"/>
      <c r="E262" s="1372"/>
      <c r="F262" s="1165"/>
      <c r="G262" s="1170"/>
    </row>
    <row r="263" spans="1:7" ht="12.75" customHeight="1">
      <c r="A263" s="243" t="s">
        <v>543</v>
      </c>
      <c r="B263" s="1372"/>
      <c r="C263" s="1376" t="s">
        <v>544</v>
      </c>
      <c r="D263" s="1374" t="s">
        <v>540</v>
      </c>
      <c r="E263" s="1372">
        <v>40</v>
      </c>
      <c r="F263" s="1165"/>
      <c r="G263" s="1170"/>
    </row>
    <row r="264" spans="1:7" ht="12.75" customHeight="1">
      <c r="A264" s="243"/>
      <c r="B264" s="1372"/>
      <c r="C264" s="1376"/>
      <c r="D264" s="1374"/>
      <c r="E264" s="1372"/>
      <c r="F264" s="1165"/>
      <c r="G264" s="1170"/>
    </row>
    <row r="265" spans="1:7" ht="12.75" customHeight="1">
      <c r="A265" s="243" t="s">
        <v>545</v>
      </c>
      <c r="B265" s="1372"/>
      <c r="C265" s="1376" t="s">
        <v>546</v>
      </c>
      <c r="D265" s="1374" t="s">
        <v>540</v>
      </c>
      <c r="E265" s="1372">
        <v>40</v>
      </c>
      <c r="F265" s="1165"/>
      <c r="G265" s="1170"/>
    </row>
    <row r="266" spans="1:7" ht="12.75" customHeight="1">
      <c r="A266" s="243"/>
      <c r="B266" s="1372"/>
      <c r="C266" s="1376"/>
      <c r="D266" s="1374"/>
      <c r="E266" s="1372"/>
      <c r="F266" s="1165"/>
      <c r="G266" s="1170"/>
    </row>
    <row r="267" spans="1:7" ht="12.75" customHeight="1">
      <c r="A267" s="243" t="s">
        <v>547</v>
      </c>
      <c r="B267" s="1372"/>
      <c r="C267" s="1376" t="s">
        <v>548</v>
      </c>
      <c r="D267" s="1374" t="s">
        <v>540</v>
      </c>
      <c r="E267" s="1372">
        <v>40</v>
      </c>
      <c r="F267" s="1165"/>
      <c r="G267" s="1170"/>
    </row>
    <row r="268" spans="1:7" ht="12.75" customHeight="1">
      <c r="A268" s="243"/>
      <c r="B268" s="1372"/>
      <c r="C268" s="1376"/>
      <c r="D268" s="1374"/>
      <c r="E268" s="1372"/>
      <c r="F268" s="1165"/>
      <c r="G268" s="1170"/>
    </row>
    <row r="269" spans="1:7" ht="12.75" customHeight="1">
      <c r="A269" s="243" t="s">
        <v>549</v>
      </c>
      <c r="B269" s="1372"/>
      <c r="C269" s="1376" t="s">
        <v>550</v>
      </c>
      <c r="D269" s="1374" t="s">
        <v>540</v>
      </c>
      <c r="E269" s="1372">
        <v>40</v>
      </c>
      <c r="F269" s="1166"/>
      <c r="G269" s="1175"/>
    </row>
    <row r="270" spans="1:7" ht="12.75" customHeight="1">
      <c r="A270" s="243"/>
      <c r="B270" s="1372"/>
      <c r="C270" s="1376"/>
      <c r="D270" s="1374"/>
      <c r="E270" s="1372"/>
      <c r="F270" s="1166"/>
      <c r="G270" s="1175"/>
    </row>
    <row r="271" spans="1:7" ht="12.75" customHeight="1">
      <c r="A271" s="243" t="s">
        <v>551</v>
      </c>
      <c r="B271" s="1372"/>
      <c r="C271" s="1376" t="s">
        <v>552</v>
      </c>
      <c r="D271" s="1374" t="s">
        <v>540</v>
      </c>
      <c r="E271" s="1372">
        <v>40</v>
      </c>
      <c r="F271" s="1166"/>
      <c r="G271" s="1175"/>
    </row>
    <row r="272" spans="1:7" ht="12.75" customHeight="1">
      <c r="A272" s="243"/>
      <c r="B272" s="1372"/>
      <c r="C272" s="1376"/>
      <c r="D272" s="1374"/>
      <c r="E272" s="1372"/>
      <c r="F272" s="1165"/>
      <c r="G272" s="1170"/>
    </row>
    <row r="273" spans="1:7" ht="12.75" customHeight="1">
      <c r="A273" s="243" t="s">
        <v>553</v>
      </c>
      <c r="B273" s="1372"/>
      <c r="C273" s="1376" t="s">
        <v>554</v>
      </c>
      <c r="D273" s="1374" t="s">
        <v>540</v>
      </c>
      <c r="E273" s="529">
        <v>40</v>
      </c>
      <c r="F273" s="1165"/>
      <c r="G273" s="1170"/>
    </row>
    <row r="274" spans="1:7" ht="12.75" customHeight="1">
      <c r="A274" s="243"/>
      <c r="B274" s="1372"/>
      <c r="C274" s="1436"/>
      <c r="D274" s="1374"/>
      <c r="E274" s="529"/>
      <c r="F274" s="1165"/>
      <c r="G274" s="1170"/>
    </row>
    <row r="275" spans="1:7" ht="12.75" customHeight="1">
      <c r="A275" s="243" t="s">
        <v>555</v>
      </c>
      <c r="B275" s="1372"/>
      <c r="C275" s="1418" t="s">
        <v>556</v>
      </c>
      <c r="D275" s="1374" t="s">
        <v>540</v>
      </c>
      <c r="E275" s="529">
        <v>40</v>
      </c>
      <c r="F275" s="1165"/>
      <c r="G275" s="1170"/>
    </row>
    <row r="276" spans="1:7" ht="12.75" customHeight="1">
      <c r="A276" s="243"/>
      <c r="B276" s="1372"/>
      <c r="C276" s="1418"/>
      <c r="D276" s="1369"/>
      <c r="E276" s="529"/>
      <c r="F276" s="1165"/>
      <c r="G276" s="1170"/>
    </row>
    <row r="277" spans="1:7" ht="12.75" customHeight="1">
      <c r="A277" s="243" t="s">
        <v>557</v>
      </c>
      <c r="B277" s="1372"/>
      <c r="C277" s="582" t="s">
        <v>558</v>
      </c>
      <c r="D277" s="1369"/>
      <c r="E277" s="529"/>
      <c r="F277" s="1165"/>
      <c r="G277" s="1170"/>
    </row>
    <row r="278" spans="1:7" ht="12.75" customHeight="1">
      <c r="A278" s="243"/>
      <c r="B278" s="1372"/>
      <c r="C278" s="1418"/>
      <c r="D278" s="1369"/>
      <c r="E278" s="529"/>
      <c r="F278" s="1165"/>
      <c r="G278" s="1170"/>
    </row>
    <row r="279" spans="1:7" ht="12.75" customHeight="1">
      <c r="A279" s="243"/>
      <c r="B279" s="243"/>
      <c r="C279" s="1040" t="s">
        <v>559</v>
      </c>
      <c r="D279" s="1369" t="s">
        <v>560</v>
      </c>
      <c r="E279" s="529"/>
      <c r="F279" s="1165"/>
      <c r="G279" s="1170"/>
    </row>
    <row r="280" spans="1:7" ht="12.75" customHeight="1">
      <c r="A280" s="243"/>
      <c r="B280" s="243"/>
      <c r="C280" s="1418"/>
      <c r="D280" s="1369"/>
      <c r="E280" s="529"/>
      <c r="F280" s="1165"/>
      <c r="G280" s="1170"/>
    </row>
    <row r="281" spans="1:7" ht="12.75" customHeight="1">
      <c r="A281" s="243"/>
      <c r="B281" s="243"/>
      <c r="C281" s="1040" t="s">
        <v>559</v>
      </c>
      <c r="D281" s="1369" t="s">
        <v>561</v>
      </c>
      <c r="E281" s="529"/>
      <c r="F281" s="1172"/>
      <c r="G281" s="1170"/>
    </row>
    <row r="282" spans="1:7" ht="12.75" customHeight="1">
      <c r="A282" s="243"/>
      <c r="B282" s="243"/>
      <c r="C282" s="1040"/>
      <c r="D282" s="1369"/>
      <c r="E282" s="529"/>
      <c r="F282" s="1172"/>
      <c r="G282" s="1170"/>
    </row>
    <row r="283" spans="1:7">
      <c r="A283" s="241">
        <v>1.5</v>
      </c>
      <c r="B283" s="365" t="s">
        <v>562</v>
      </c>
      <c r="C283" s="1015" t="s">
        <v>563</v>
      </c>
      <c r="D283" s="1437"/>
      <c r="E283" s="1437"/>
      <c r="F283" s="1181"/>
      <c r="G283" s="1174"/>
    </row>
    <row r="284" spans="1:7">
      <c r="A284" s="243"/>
      <c r="B284" s="1372"/>
      <c r="C284" s="1373"/>
      <c r="D284" s="1372"/>
      <c r="E284" s="1372"/>
      <c r="F284" s="1165"/>
      <c r="G284" s="1170"/>
    </row>
    <row r="285" spans="1:7">
      <c r="A285" s="243" t="s">
        <v>564</v>
      </c>
      <c r="B285" s="1372" t="s">
        <v>565</v>
      </c>
      <c r="C285" s="1376" t="s">
        <v>566</v>
      </c>
      <c r="D285" s="1372" t="s">
        <v>335</v>
      </c>
      <c r="E285" s="1372">
        <v>1</v>
      </c>
      <c r="F285" s="1165"/>
      <c r="G285" s="1170"/>
    </row>
    <row r="286" spans="1:7">
      <c r="A286" s="243"/>
      <c r="B286" s="1372"/>
      <c r="C286" s="1376"/>
      <c r="D286" s="1372"/>
      <c r="E286" s="1372"/>
      <c r="F286" s="1165"/>
      <c r="G286" s="1170"/>
    </row>
    <row r="287" spans="1:7">
      <c r="A287" s="243"/>
      <c r="B287" s="1372" t="s">
        <v>567</v>
      </c>
      <c r="C287" s="1375" t="s">
        <v>568</v>
      </c>
      <c r="D287" s="1372"/>
      <c r="E287" s="1372"/>
      <c r="F287" s="1165"/>
      <c r="G287" s="1170"/>
    </row>
    <row r="288" spans="1:7">
      <c r="A288" s="243"/>
      <c r="B288" s="1372"/>
      <c r="C288" s="1376"/>
      <c r="D288" s="1372"/>
      <c r="E288" s="1372"/>
      <c r="F288" s="1165"/>
      <c r="G288" s="1170"/>
    </row>
    <row r="289" spans="1:7" ht="25.5">
      <c r="A289" s="243" t="s">
        <v>569</v>
      </c>
      <c r="B289" s="243"/>
      <c r="C289" s="1376" t="s">
        <v>570</v>
      </c>
      <c r="D289" s="1372"/>
      <c r="E289" s="1372"/>
      <c r="F289" s="1165"/>
      <c r="G289" s="1170"/>
    </row>
    <row r="290" spans="1:7">
      <c r="A290" s="243"/>
      <c r="B290" s="243"/>
      <c r="C290" s="1376"/>
      <c r="D290" s="1372"/>
      <c r="E290" s="1372"/>
      <c r="F290" s="1165"/>
      <c r="G290" s="1170"/>
    </row>
    <row r="291" spans="1:7">
      <c r="A291" s="243"/>
      <c r="B291" s="243"/>
      <c r="C291" s="1375" t="s">
        <v>571</v>
      </c>
      <c r="D291" s="1372"/>
      <c r="E291" s="1372"/>
      <c r="F291" s="1165"/>
      <c r="G291" s="1170"/>
    </row>
    <row r="292" spans="1:7">
      <c r="A292" s="243"/>
      <c r="B292" s="243"/>
      <c r="C292" s="476"/>
      <c r="D292" s="1372"/>
      <c r="E292" s="1372"/>
      <c r="F292" s="1165"/>
      <c r="G292" s="1170"/>
    </row>
    <row r="293" spans="1:7">
      <c r="A293" s="243" t="s">
        <v>572</v>
      </c>
      <c r="B293" s="243"/>
      <c r="C293" s="476" t="s">
        <v>573</v>
      </c>
      <c r="D293" s="566" t="s">
        <v>574</v>
      </c>
      <c r="E293" s="1372">
        <f>150*2*1*0.2</f>
        <v>60</v>
      </c>
      <c r="F293" s="1165"/>
      <c r="G293" s="1170"/>
    </row>
    <row r="294" spans="1:7">
      <c r="A294" s="243"/>
      <c r="B294" s="243"/>
      <c r="C294" s="476"/>
      <c r="D294" s="1372"/>
      <c r="E294" s="1372"/>
      <c r="F294" s="1165"/>
      <c r="G294" s="1170"/>
    </row>
    <row r="295" spans="1:7">
      <c r="A295" s="243" t="s">
        <v>575</v>
      </c>
      <c r="B295" s="243"/>
      <c r="C295" s="476" t="s">
        <v>576</v>
      </c>
      <c r="D295" s="566" t="s">
        <v>574</v>
      </c>
      <c r="E295" s="243">
        <f>150*2*1*0.6</f>
        <v>180</v>
      </c>
      <c r="F295" s="1165"/>
      <c r="G295" s="1170"/>
    </row>
    <row r="296" spans="1:7">
      <c r="A296" s="243"/>
      <c r="B296" s="243"/>
      <c r="C296" s="476"/>
      <c r="D296" s="243"/>
      <c r="E296" s="243"/>
      <c r="F296" s="1165"/>
      <c r="G296" s="1170"/>
    </row>
    <row r="297" spans="1:7">
      <c r="A297" s="243" t="s">
        <v>577</v>
      </c>
      <c r="B297" s="243"/>
      <c r="C297" s="476" t="s">
        <v>578</v>
      </c>
      <c r="D297" s="331" t="s">
        <v>574</v>
      </c>
      <c r="E297" s="243">
        <f>150*2*1*0.2</f>
        <v>60</v>
      </c>
      <c r="F297" s="1165"/>
      <c r="G297" s="1170"/>
    </row>
    <row r="298" spans="1:7" ht="12.75" customHeight="1">
      <c r="A298" s="243"/>
      <c r="B298" s="243"/>
      <c r="C298" s="385"/>
      <c r="D298" s="1369"/>
      <c r="E298" s="243"/>
      <c r="F298" s="1172"/>
      <c r="G298" s="1170"/>
    </row>
    <row r="299" spans="1:7" ht="12.75" customHeight="1">
      <c r="A299" s="243"/>
      <c r="B299" s="243"/>
      <c r="C299" s="385"/>
      <c r="D299" s="1369"/>
      <c r="E299" s="243"/>
      <c r="F299" s="1172"/>
      <c r="G299" s="1170"/>
    </row>
    <row r="300" spans="1:7" ht="12.75" customHeight="1">
      <c r="A300" s="243"/>
      <c r="B300" s="243"/>
      <c r="C300" s="385"/>
      <c r="D300" s="1369"/>
      <c r="E300" s="243"/>
      <c r="F300" s="1172"/>
      <c r="G300" s="1170"/>
    </row>
    <row r="301" spans="1:7" ht="12.75" customHeight="1">
      <c r="A301" s="243"/>
      <c r="B301" s="243"/>
      <c r="C301" s="385"/>
      <c r="D301" s="1369"/>
      <c r="E301" s="243"/>
      <c r="F301" s="1172"/>
      <c r="G301" s="1170"/>
    </row>
    <row r="302" spans="1:7" ht="12.75" customHeight="1">
      <c r="A302" s="243"/>
      <c r="B302" s="243"/>
      <c r="C302" s="385"/>
      <c r="D302" s="1369"/>
      <c r="E302" s="243"/>
      <c r="F302" s="1172"/>
      <c r="G302" s="1170"/>
    </row>
    <row r="303" spans="1:7" ht="12.75" customHeight="1">
      <c r="A303" s="243"/>
      <c r="B303" s="243"/>
      <c r="C303" s="385"/>
      <c r="D303" s="1369"/>
      <c r="E303" s="243"/>
      <c r="F303" s="1172"/>
      <c r="G303" s="1170"/>
    </row>
    <row r="304" spans="1:7" ht="12.75" customHeight="1">
      <c r="A304" s="243"/>
      <c r="B304" s="243"/>
      <c r="C304" s="385"/>
      <c r="D304" s="1369"/>
      <c r="E304" s="243"/>
      <c r="F304" s="1172"/>
      <c r="G304" s="1170"/>
    </row>
    <row r="305" spans="1:7" ht="12.75" customHeight="1">
      <c r="A305" s="1427"/>
      <c r="B305" s="1427"/>
      <c r="C305" s="1438"/>
      <c r="D305" s="1363"/>
      <c r="E305" s="1427"/>
      <c r="F305" s="1172"/>
      <c r="G305" s="1170"/>
    </row>
    <row r="306" spans="1:7" ht="12.75" customHeight="1">
      <c r="A306" s="1515" t="s">
        <v>96</v>
      </c>
      <c r="B306" s="1516"/>
      <c r="C306" s="1516"/>
      <c r="D306" s="1516"/>
      <c r="E306" s="1516"/>
      <c r="F306" s="1514"/>
      <c r="G306" s="1514"/>
    </row>
    <row r="307" spans="1:7">
      <c r="A307" s="1518"/>
      <c r="B307" s="1519"/>
      <c r="C307" s="1519"/>
      <c r="D307" s="1519"/>
      <c r="E307" s="1519"/>
      <c r="F307" s="1514"/>
      <c r="G307" s="1514"/>
    </row>
    <row r="308" spans="1:7">
      <c r="A308" s="243"/>
      <c r="B308" s="1372"/>
      <c r="C308" s="1393" t="s">
        <v>220</v>
      </c>
      <c r="D308" s="1439"/>
      <c r="E308" s="1372"/>
      <c r="F308" s="1182"/>
      <c r="G308" s="1183"/>
    </row>
    <row r="309" spans="1:7">
      <c r="A309" s="243"/>
      <c r="B309" s="1372"/>
      <c r="C309" s="1376"/>
      <c r="D309" s="1440"/>
      <c r="E309" s="1372"/>
      <c r="F309" s="1184"/>
      <c r="G309" s="1170"/>
    </row>
    <row r="310" spans="1:7">
      <c r="A310" s="243"/>
      <c r="B310" s="1372"/>
      <c r="C310" s="1376"/>
      <c r="D310" s="1372"/>
      <c r="E310" s="1372"/>
      <c r="F310" s="1165"/>
      <c r="G310" s="1170"/>
    </row>
    <row r="311" spans="1:7">
      <c r="A311" s="243"/>
      <c r="B311" s="1372"/>
      <c r="C311" s="1375" t="s">
        <v>579</v>
      </c>
      <c r="D311" s="1372"/>
      <c r="E311" s="1372"/>
      <c r="F311" s="1165"/>
      <c r="G311" s="1170"/>
    </row>
    <row r="312" spans="1:7">
      <c r="A312" s="243"/>
      <c r="B312" s="1372"/>
      <c r="C312" s="1376"/>
      <c r="D312" s="1372"/>
      <c r="E312" s="1372"/>
      <c r="F312" s="1165"/>
      <c r="G312" s="1170"/>
    </row>
    <row r="313" spans="1:7">
      <c r="A313" s="243" t="s">
        <v>580</v>
      </c>
      <c r="B313" s="1372"/>
      <c r="C313" s="1376" t="s">
        <v>573</v>
      </c>
      <c r="D313" s="331" t="s">
        <v>574</v>
      </c>
      <c r="E313" s="1372">
        <f>80*4*1*0.2</f>
        <v>64</v>
      </c>
      <c r="F313" s="1165"/>
      <c r="G313" s="1170"/>
    </row>
    <row r="314" spans="1:7">
      <c r="A314" s="243"/>
      <c r="B314" s="1372"/>
      <c r="C314" s="1376"/>
      <c r="D314" s="1440"/>
      <c r="E314" s="1372"/>
      <c r="F314" s="1165"/>
      <c r="G314" s="1170"/>
    </row>
    <row r="315" spans="1:7">
      <c r="A315" s="243" t="s">
        <v>581</v>
      </c>
      <c r="B315" s="1372"/>
      <c r="C315" s="1376" t="s">
        <v>576</v>
      </c>
      <c r="D315" s="1074" t="s">
        <v>574</v>
      </c>
      <c r="E315" s="1372">
        <f>80*4*1*0.6</f>
        <v>192</v>
      </c>
      <c r="F315" s="1165"/>
      <c r="G315" s="1170"/>
    </row>
    <row r="316" spans="1:7">
      <c r="A316" s="243"/>
      <c r="B316" s="1372"/>
      <c r="C316" s="1376"/>
      <c r="D316" s="1440"/>
      <c r="E316" s="1372"/>
      <c r="F316" s="1184"/>
      <c r="G316" s="1170"/>
    </row>
    <row r="317" spans="1:7">
      <c r="A317" s="243" t="s">
        <v>582</v>
      </c>
      <c r="B317" s="1372"/>
      <c r="C317" s="1376" t="s">
        <v>583</v>
      </c>
      <c r="D317" s="1074" t="s">
        <v>574</v>
      </c>
      <c r="E317" s="1372">
        <f>80*4*1*0.2</f>
        <v>64</v>
      </c>
      <c r="F317" s="1184"/>
      <c r="G317" s="1170"/>
    </row>
    <row r="318" spans="1:7">
      <c r="A318" s="243"/>
      <c r="B318" s="1372"/>
      <c r="C318" s="1376"/>
      <c r="D318" s="1440"/>
      <c r="E318" s="1372"/>
      <c r="F318" s="1184"/>
      <c r="G318" s="1170"/>
    </row>
    <row r="319" spans="1:7">
      <c r="A319" s="240">
        <v>1.6</v>
      </c>
      <c r="B319" s="1372" t="s">
        <v>584</v>
      </c>
      <c r="C319" s="1375" t="s">
        <v>585</v>
      </c>
      <c r="D319" s="1372"/>
      <c r="E319" s="1372"/>
      <c r="F319" s="1184"/>
      <c r="G319" s="1170"/>
    </row>
    <row r="320" spans="1:7">
      <c r="A320" s="243"/>
      <c r="B320" s="1372"/>
      <c r="C320" s="1376"/>
      <c r="D320" s="1372"/>
      <c r="E320" s="1372"/>
      <c r="F320" s="1184"/>
      <c r="G320" s="1170"/>
    </row>
    <row r="321" spans="1:7" ht="51">
      <c r="A321" s="243" t="s">
        <v>586</v>
      </c>
      <c r="B321" s="1372"/>
      <c r="C321" s="1376" t="s">
        <v>587</v>
      </c>
      <c r="D321" s="1372" t="s">
        <v>588</v>
      </c>
      <c r="E321" s="1372">
        <v>20</v>
      </c>
      <c r="F321" s="1185"/>
      <c r="G321" s="1186"/>
    </row>
    <row r="322" spans="1:7">
      <c r="A322" s="243"/>
      <c r="B322" s="1372"/>
      <c r="C322" s="1376"/>
      <c r="D322" s="1372"/>
      <c r="E322" s="1372"/>
      <c r="F322" s="1184"/>
      <c r="G322" s="1170"/>
    </row>
    <row r="323" spans="1:7">
      <c r="A323" s="240">
        <v>1.7</v>
      </c>
      <c r="B323" s="518" t="s">
        <v>589</v>
      </c>
      <c r="C323" s="1375" t="s">
        <v>590</v>
      </c>
      <c r="D323" s="1372"/>
      <c r="E323" s="1372"/>
      <c r="F323" s="1184"/>
      <c r="G323" s="1170"/>
    </row>
    <row r="324" spans="1:7">
      <c r="A324" s="243"/>
      <c r="B324" s="1372"/>
      <c r="C324" s="1376"/>
      <c r="D324" s="1372"/>
      <c r="E324" s="1372"/>
      <c r="F324" s="1184"/>
      <c r="G324" s="1170"/>
    </row>
    <row r="325" spans="1:7" ht="25.5">
      <c r="A325" s="250" t="s">
        <v>591</v>
      </c>
      <c r="B325" s="1372"/>
      <c r="C325" s="1376" t="s">
        <v>592</v>
      </c>
      <c r="D325" s="1372"/>
      <c r="E325" s="1372"/>
      <c r="F325" s="1185"/>
      <c r="G325" s="1370" t="s">
        <v>593</v>
      </c>
    </row>
    <row r="326" spans="1:7">
      <c r="A326" s="243"/>
      <c r="B326" s="1372"/>
      <c r="C326" s="1376"/>
      <c r="D326" s="1372"/>
      <c r="E326" s="1372"/>
      <c r="F326" s="1185"/>
      <c r="G326" s="1175"/>
    </row>
    <row r="327" spans="1:7" ht="25.5">
      <c r="A327" s="250" t="s">
        <v>594</v>
      </c>
      <c r="B327" s="518" t="s">
        <v>595</v>
      </c>
      <c r="C327" s="1376" t="s">
        <v>596</v>
      </c>
      <c r="D327" s="1382"/>
      <c r="E327" s="1430"/>
      <c r="F327" s="1178"/>
      <c r="G327" s="1370" t="s">
        <v>593</v>
      </c>
    </row>
    <row r="328" spans="1:7">
      <c r="A328" s="243"/>
      <c r="B328" s="1372"/>
      <c r="C328" s="1376"/>
      <c r="D328" s="1372"/>
      <c r="E328" s="1372"/>
      <c r="F328" s="1185"/>
      <c r="G328" s="1175"/>
    </row>
    <row r="329" spans="1:7" ht="25.5">
      <c r="A329" s="250" t="s">
        <v>597</v>
      </c>
      <c r="B329" s="1372"/>
      <c r="C329" s="1376" t="s">
        <v>598</v>
      </c>
      <c r="D329" s="1372"/>
      <c r="E329" s="1372"/>
      <c r="F329" s="1185"/>
      <c r="G329" s="1370" t="s">
        <v>593</v>
      </c>
    </row>
    <row r="330" spans="1:7">
      <c r="A330" s="243"/>
      <c r="B330" s="1372"/>
      <c r="C330" s="1376"/>
      <c r="D330" s="1372"/>
      <c r="E330" s="1372"/>
      <c r="F330" s="1185"/>
      <c r="G330" s="1175"/>
    </row>
    <row r="331" spans="1:7" ht="25.5">
      <c r="A331" s="250" t="s">
        <v>599</v>
      </c>
      <c r="B331" s="518" t="s">
        <v>600</v>
      </c>
      <c r="C331" s="1376" t="s">
        <v>601</v>
      </c>
      <c r="D331" s="1382"/>
      <c r="E331" s="1430"/>
      <c r="F331" s="1178"/>
      <c r="G331" s="1370" t="s">
        <v>593</v>
      </c>
    </row>
    <row r="332" spans="1:7">
      <c r="A332" s="243"/>
      <c r="B332" s="1372"/>
      <c r="C332" s="1376"/>
      <c r="D332" s="1372"/>
      <c r="E332" s="1372"/>
      <c r="F332" s="1185"/>
      <c r="G332" s="1175"/>
    </row>
    <row r="333" spans="1:7" ht="38.25">
      <c r="A333" s="250" t="s">
        <v>602</v>
      </c>
      <c r="B333" s="518" t="s">
        <v>603</v>
      </c>
      <c r="C333" s="476" t="s">
        <v>604</v>
      </c>
      <c r="D333" s="529" t="s">
        <v>501</v>
      </c>
      <c r="E333" s="529">
        <v>1</v>
      </c>
      <c r="F333" s="1441">
        <v>100000</v>
      </c>
      <c r="G333" s="1370">
        <f>E333*F333</f>
        <v>100000</v>
      </c>
    </row>
    <row r="334" spans="1:7">
      <c r="A334" s="250"/>
      <c r="B334" s="518"/>
      <c r="C334" s="476"/>
      <c r="D334" s="529"/>
      <c r="E334" s="529"/>
      <c r="F334" s="1187"/>
      <c r="G334" s="1186"/>
    </row>
    <row r="335" spans="1:7">
      <c r="A335" s="250"/>
      <c r="B335" s="518"/>
      <c r="C335" s="476"/>
      <c r="D335" s="529"/>
      <c r="E335" s="529"/>
      <c r="F335" s="1187"/>
      <c r="G335" s="1186"/>
    </row>
    <row r="336" spans="1:7">
      <c r="A336" s="250"/>
      <c r="B336" s="518"/>
      <c r="C336" s="476"/>
      <c r="D336" s="529"/>
      <c r="E336" s="529"/>
      <c r="F336" s="1187"/>
      <c r="G336" s="1186"/>
    </row>
    <row r="337" spans="1:7">
      <c r="A337" s="250"/>
      <c r="B337" s="518"/>
      <c r="C337" s="476"/>
      <c r="D337" s="529"/>
      <c r="E337" s="529"/>
      <c r="F337" s="1187"/>
      <c r="G337" s="1186"/>
    </row>
    <row r="338" spans="1:7">
      <c r="A338" s="250"/>
      <c r="B338" s="518"/>
      <c r="C338" s="476"/>
      <c r="D338" s="529"/>
      <c r="E338" s="529"/>
      <c r="F338" s="1187"/>
      <c r="G338" s="1186"/>
    </row>
    <row r="339" spans="1:7">
      <c r="A339" s="250"/>
      <c r="B339" s="518"/>
      <c r="C339" s="476"/>
      <c r="D339" s="529"/>
      <c r="E339" s="529"/>
      <c r="F339" s="1187"/>
      <c r="G339" s="1186"/>
    </row>
    <row r="340" spans="1:7">
      <c r="A340" s="250"/>
      <c r="B340" s="518"/>
      <c r="C340" s="476"/>
      <c r="D340" s="529"/>
      <c r="E340" s="529"/>
      <c r="F340" s="1187"/>
      <c r="G340" s="1186"/>
    </row>
    <row r="341" spans="1:7">
      <c r="A341" s="250"/>
      <c r="B341" s="518"/>
      <c r="C341" s="476"/>
      <c r="D341" s="529"/>
      <c r="E341" s="529"/>
      <c r="F341" s="1187"/>
      <c r="G341" s="1370"/>
    </row>
    <row r="342" spans="1:7">
      <c r="A342" s="250"/>
      <c r="B342" s="518"/>
      <c r="C342" s="476"/>
      <c r="D342" s="529"/>
      <c r="E342" s="529"/>
      <c r="F342" s="1187"/>
      <c r="G342" s="1186"/>
    </row>
    <row r="343" spans="1:7">
      <c r="A343" s="250"/>
      <c r="B343" s="518"/>
      <c r="C343" s="476"/>
      <c r="D343" s="529"/>
      <c r="E343" s="529"/>
      <c r="F343" s="1187"/>
      <c r="G343" s="1186"/>
    </row>
    <row r="344" spans="1:7">
      <c r="A344" s="250"/>
      <c r="B344" s="518"/>
      <c r="C344" s="476"/>
      <c r="D344" s="529"/>
      <c r="E344" s="529"/>
      <c r="F344" s="1187"/>
      <c r="G344" s="1186"/>
    </row>
    <row r="345" spans="1:7">
      <c r="A345" s="250"/>
      <c r="B345" s="518"/>
      <c r="C345" s="476"/>
      <c r="D345" s="529"/>
      <c r="E345" s="529"/>
      <c r="F345" s="1187"/>
      <c r="G345" s="1186"/>
    </row>
    <row r="346" spans="1:7">
      <c r="A346" s="250"/>
      <c r="B346" s="518"/>
      <c r="C346" s="476"/>
      <c r="D346" s="529"/>
      <c r="E346" s="529"/>
      <c r="F346" s="1187"/>
      <c r="G346" s="1186"/>
    </row>
    <row r="347" spans="1:7">
      <c r="A347" s="250"/>
      <c r="B347" s="518"/>
      <c r="C347" s="476"/>
      <c r="D347" s="529"/>
      <c r="E347" s="529"/>
      <c r="F347" s="1187"/>
      <c r="G347" s="1186"/>
    </row>
    <row r="348" spans="1:7">
      <c r="A348" s="250"/>
      <c r="B348" s="518"/>
      <c r="C348" s="476"/>
      <c r="D348" s="529"/>
      <c r="E348" s="529"/>
      <c r="F348" s="1187"/>
      <c r="G348" s="1186"/>
    </row>
    <row r="349" spans="1:7">
      <c r="A349" s="250"/>
      <c r="B349" s="243"/>
      <c r="C349" s="476"/>
      <c r="D349" s="529"/>
      <c r="E349" s="529"/>
      <c r="F349" s="1187"/>
      <c r="G349" s="1175"/>
    </row>
    <row r="350" spans="1:7">
      <c r="A350" s="250"/>
      <c r="B350" s="243"/>
      <c r="C350" s="476"/>
      <c r="D350" s="529"/>
      <c r="E350" s="529"/>
      <c r="F350" s="1188"/>
      <c r="G350" s="1175"/>
    </row>
    <row r="351" spans="1:7">
      <c r="A351" s="250"/>
      <c r="B351" s="243"/>
      <c r="C351" s="476"/>
      <c r="D351" s="529"/>
      <c r="E351" s="529"/>
      <c r="F351" s="1188"/>
      <c r="G351" s="1175"/>
    </row>
    <row r="352" spans="1:7">
      <c r="A352" s="250"/>
      <c r="B352" s="243"/>
      <c r="C352" s="476"/>
      <c r="D352" s="529"/>
      <c r="E352" s="529"/>
      <c r="F352" s="1188"/>
      <c r="G352" s="1175"/>
    </row>
    <row r="353" spans="1:7">
      <c r="A353" s="250"/>
      <c r="B353" s="243"/>
      <c r="C353" s="476"/>
      <c r="D353" s="529"/>
      <c r="E353" s="529"/>
      <c r="F353" s="1188"/>
      <c r="G353" s="1175"/>
    </row>
    <row r="354" spans="1:7">
      <c r="A354" s="250"/>
      <c r="B354" s="243"/>
      <c r="C354" s="476"/>
      <c r="D354" s="529"/>
      <c r="E354" s="529"/>
      <c r="F354" s="1188"/>
      <c r="G354" s="1175"/>
    </row>
    <row r="355" spans="1:7">
      <c r="A355" s="250"/>
      <c r="B355" s="243"/>
      <c r="C355" s="476"/>
      <c r="D355" s="529"/>
      <c r="E355" s="529"/>
      <c r="F355" s="1188"/>
      <c r="G355" s="1175"/>
    </row>
    <row r="356" spans="1:7">
      <c r="A356" s="250"/>
      <c r="B356" s="243"/>
      <c r="C356" s="476"/>
      <c r="D356" s="529"/>
      <c r="E356" s="529"/>
      <c r="F356" s="1188"/>
      <c r="G356" s="1175"/>
    </row>
    <row r="357" spans="1:7">
      <c r="A357" s="250"/>
      <c r="B357" s="243"/>
      <c r="C357" s="476"/>
      <c r="D357" s="529"/>
      <c r="E357" s="529"/>
      <c r="F357" s="1188"/>
      <c r="G357" s="1175"/>
    </row>
    <row r="358" spans="1:7">
      <c r="A358" s="250"/>
      <c r="B358" s="243"/>
      <c r="C358" s="476"/>
      <c r="D358" s="529"/>
      <c r="E358" s="529"/>
      <c r="F358" s="1188"/>
      <c r="G358" s="1175"/>
    </row>
    <row r="359" spans="1:7">
      <c r="A359" s="250"/>
      <c r="B359" s="243"/>
      <c r="C359" s="476"/>
      <c r="D359" s="529"/>
      <c r="E359" s="529"/>
      <c r="F359" s="1188"/>
      <c r="G359" s="1175"/>
    </row>
    <row r="360" spans="1:7">
      <c r="A360" s="250"/>
      <c r="B360" s="243"/>
      <c r="C360" s="476"/>
      <c r="D360" s="529"/>
      <c r="E360" s="529"/>
      <c r="F360" s="1188"/>
      <c r="G360" s="1175"/>
    </row>
    <row r="361" spans="1:7">
      <c r="A361" s="250"/>
      <c r="B361" s="243"/>
      <c r="C361" s="476"/>
      <c r="D361" s="529"/>
      <c r="E361" s="529"/>
      <c r="F361" s="1188"/>
      <c r="G361" s="1175"/>
    </row>
    <row r="362" spans="1:7">
      <c r="A362" s="250"/>
      <c r="B362" s="243"/>
      <c r="C362" s="476"/>
      <c r="D362" s="529"/>
      <c r="E362" s="529"/>
      <c r="F362" s="1188"/>
      <c r="G362" s="1175"/>
    </row>
    <row r="363" spans="1:7">
      <c r="A363" s="250"/>
      <c r="B363" s="243"/>
      <c r="C363" s="476"/>
      <c r="D363" s="529"/>
      <c r="E363" s="529"/>
      <c r="F363" s="1188"/>
      <c r="G363" s="1175"/>
    </row>
    <row r="364" spans="1:7">
      <c r="A364" s="250"/>
      <c r="B364" s="243"/>
      <c r="C364" s="476"/>
      <c r="D364" s="529"/>
      <c r="E364" s="529"/>
      <c r="F364" s="1172"/>
      <c r="G364" s="1170"/>
    </row>
    <row r="365" spans="1:7">
      <c r="A365" s="250"/>
      <c r="B365" s="243"/>
      <c r="C365" s="476"/>
      <c r="D365" s="529"/>
      <c r="E365" s="529"/>
      <c r="F365" s="1172"/>
      <c r="G365" s="1170"/>
    </row>
    <row r="366" spans="1:7">
      <c r="A366" s="250"/>
      <c r="B366" s="243"/>
      <c r="C366" s="476"/>
      <c r="D366" s="529"/>
      <c r="E366" s="529"/>
      <c r="F366" s="1172"/>
      <c r="G366" s="1170"/>
    </row>
    <row r="367" spans="1:7">
      <c r="A367" s="250"/>
      <c r="B367" s="243"/>
      <c r="C367" s="476"/>
      <c r="D367" s="529"/>
      <c r="E367" s="529"/>
      <c r="F367" s="1172"/>
      <c r="G367" s="1170"/>
    </row>
    <row r="368" spans="1:7">
      <c r="A368" s="250"/>
      <c r="B368" s="243"/>
      <c r="C368" s="476"/>
      <c r="D368" s="529"/>
      <c r="E368" s="529"/>
      <c r="F368" s="1172"/>
      <c r="G368" s="1170"/>
    </row>
    <row r="369" spans="1:7">
      <c r="A369" s="250"/>
      <c r="B369" s="243"/>
      <c r="C369" s="476"/>
      <c r="D369" s="529"/>
      <c r="E369" s="529"/>
      <c r="F369" s="1172"/>
      <c r="G369" s="1170"/>
    </row>
    <row r="370" spans="1:7">
      <c r="A370" s="250"/>
      <c r="B370" s="243"/>
      <c r="C370" s="476"/>
      <c r="D370" s="529"/>
      <c r="E370" s="529"/>
      <c r="F370" s="1172"/>
      <c r="G370" s="1170"/>
    </row>
    <row r="371" spans="1:7">
      <c r="A371" s="250"/>
      <c r="B371" s="243"/>
      <c r="C371" s="476"/>
      <c r="D371" s="529"/>
      <c r="E371" s="529"/>
      <c r="F371" s="1172"/>
      <c r="G371" s="1170"/>
    </row>
    <row r="372" spans="1:7">
      <c r="A372" s="250"/>
      <c r="B372" s="243"/>
      <c r="C372" s="476"/>
      <c r="D372" s="529"/>
      <c r="E372" s="529"/>
      <c r="F372" s="1172"/>
      <c r="G372" s="1170"/>
    </row>
    <row r="373" spans="1:7">
      <c r="A373" s="250"/>
      <c r="B373" s="243"/>
      <c r="C373" s="476"/>
      <c r="D373" s="529"/>
      <c r="E373" s="529"/>
      <c r="F373" s="1172"/>
      <c r="G373" s="1170"/>
    </row>
    <row r="374" spans="1:7">
      <c r="A374" s="250"/>
      <c r="B374" s="243"/>
      <c r="C374" s="476"/>
      <c r="D374" s="529"/>
      <c r="E374" s="529"/>
      <c r="F374" s="1172"/>
      <c r="G374" s="1170"/>
    </row>
    <row r="375" spans="1:7">
      <c r="A375" s="250"/>
      <c r="B375" s="243"/>
      <c r="C375" s="476"/>
      <c r="D375" s="529"/>
      <c r="E375" s="529"/>
      <c r="F375" s="1172"/>
      <c r="G375" s="1170"/>
    </row>
    <row r="376" spans="1:7">
      <c r="A376" s="250"/>
      <c r="B376" s="243"/>
      <c r="C376" s="476"/>
      <c r="D376" s="529"/>
      <c r="E376" s="529"/>
      <c r="F376" s="1172"/>
      <c r="G376" s="1170"/>
    </row>
    <row r="377" spans="1:7">
      <c r="A377" s="250"/>
      <c r="B377" s="243"/>
      <c r="C377" s="476"/>
      <c r="D377" s="529"/>
      <c r="E377" s="529"/>
      <c r="F377" s="1172"/>
      <c r="G377" s="1170"/>
    </row>
    <row r="378" spans="1:7">
      <c r="A378" s="250"/>
      <c r="B378" s="243"/>
      <c r="C378" s="476"/>
      <c r="D378" s="529"/>
      <c r="E378" s="529"/>
      <c r="F378" s="1172"/>
      <c r="G378" s="1170"/>
    </row>
    <row r="379" spans="1:7">
      <c r="A379" s="250"/>
      <c r="B379" s="243"/>
      <c r="C379" s="476"/>
      <c r="D379" s="529"/>
      <c r="E379" s="529"/>
      <c r="F379" s="1172"/>
      <c r="G379" s="1170"/>
    </row>
    <row r="380" spans="1:7">
      <c r="A380" s="250"/>
      <c r="B380" s="250"/>
      <c r="C380" s="476"/>
      <c r="D380" s="1399"/>
      <c r="E380" s="1442"/>
      <c r="F380" s="1189"/>
      <c r="G380" s="1170"/>
    </row>
    <row r="381" spans="1:7">
      <c r="A381" s="243"/>
      <c r="B381" s="1372"/>
      <c r="C381" s="1376"/>
      <c r="D381" s="529"/>
      <c r="E381" s="529"/>
      <c r="F381" s="1190"/>
      <c r="G381" s="1170"/>
    </row>
    <row r="382" spans="1:7">
      <c r="A382" s="1515" t="s">
        <v>605</v>
      </c>
      <c r="B382" s="1516"/>
      <c r="C382" s="1516"/>
      <c r="D382" s="1516"/>
      <c r="E382" s="1516"/>
      <c r="F382" s="1517"/>
      <c r="G382" s="1511"/>
    </row>
    <row r="383" spans="1:7">
      <c r="A383" s="1518"/>
      <c r="B383" s="1519"/>
      <c r="C383" s="1519"/>
      <c r="D383" s="1519"/>
      <c r="E383" s="1519"/>
      <c r="F383" s="1520"/>
      <c r="G383" s="1512"/>
    </row>
  </sheetData>
  <sheetProtection algorithmName="SHA-512" hashValue="CL4PA0ZlCYT8y16cY0WIY4KYBK1d5U2cyfqKwhSgthcDB+UvdAMA5FCxWZPiew139I3Y0+nHwSIvoYz7xQc6Vg==" saltValue="eQ6i3VX+plgPA0aSiGsqIA==" spinCount="100000" sheet="1" objects="1" scenarios="1"/>
  <protectedRanges>
    <protectedRange algorithmName="SHA-512" hashValue="CN6B0n9pJrUfquNvOM5Embl78fFoMQMJDbDwr1bAf22NnRgf0N6+KttnxKIIdb9aNbAqEkqYUMnYxynkaUq9/g==" saltValue="R348HFgWxMsK0zP7s96Ggg==" spinCount="100000" sqref="F308:F381 F229:F305 F152:F226 F4:F9 F11:F71 F74:F149" name="RATE"/>
  </protectedRanges>
  <mergeCells count="16">
    <mergeCell ref="A1:G1"/>
    <mergeCell ref="G382:G383"/>
    <mergeCell ref="A2:G2"/>
    <mergeCell ref="G150:G151"/>
    <mergeCell ref="A382:F383"/>
    <mergeCell ref="G72:G73"/>
    <mergeCell ref="G227:G228"/>
    <mergeCell ref="G306:G307"/>
    <mergeCell ref="A150:E151"/>
    <mergeCell ref="A72:E73"/>
    <mergeCell ref="A227:E228"/>
    <mergeCell ref="A306:E307"/>
    <mergeCell ref="F72:F73"/>
    <mergeCell ref="F150:F151"/>
    <mergeCell ref="F227:F228"/>
    <mergeCell ref="F306:F307"/>
  </mergeCells>
  <phoneticPr fontId="38" type="noConversion"/>
  <pageMargins left="0.70866141732283472" right="0.70866141732283472" top="0.86614173228346458" bottom="0.78740157480314965" header="0.31496062992125984" footer="0.19685039370078741"/>
  <pageSetup paperSize="9" scale="67" firstPageNumber="50" orientation="portrait" useFirstPageNumber="1" r:id="rId1"/>
  <headerFooter>
    <oddHeader>&amp;L&amp;G&amp;CCONTRACT NUMBER: JW14302
CONSTRUCTION OF 20ML CARLSWALD RESERVOIR
SCHEDULE OF QUANTITIES&amp;R&amp;G</oddHeader>
    <oddFooter>&amp;C&amp;G
C.&amp;P</oddFooter>
  </headerFooter>
  <rowBreaks count="4" manualBreakCount="4">
    <brk id="73" max="6" man="1"/>
    <brk id="151" max="6" man="1"/>
    <brk id="228" max="6" man="1"/>
    <brk id="307" max="6" man="1"/>
  </rowBreaks>
  <legacyDrawingHF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88D63-DA13-4300-9ADF-944232D8B05A}">
  <dimension ref="B2:O106"/>
  <sheetViews>
    <sheetView zoomScale="85" zoomScaleNormal="85" workbookViewId="0">
      <selection activeCell="C5" sqref="C5"/>
    </sheetView>
  </sheetViews>
  <sheetFormatPr defaultRowHeight="15"/>
  <cols>
    <col min="2" max="2" width="50.42578125" bestFit="1" customWidth="1"/>
    <col min="3" max="3" width="13.85546875" style="17" customWidth="1"/>
    <col min="6" max="6" width="34.7109375" bestFit="1" customWidth="1"/>
    <col min="7" max="7" width="15" customWidth="1"/>
    <col min="10" max="10" width="43" bestFit="1" customWidth="1"/>
    <col min="11" max="11" width="13.7109375" customWidth="1"/>
    <col min="14" max="14" width="38.28515625" bestFit="1" customWidth="1"/>
    <col min="15" max="15" width="11" bestFit="1" customWidth="1"/>
  </cols>
  <sheetData>
    <row r="2" spans="2:15" s="16" customFormat="1" ht="21">
      <c r="B2" s="20" t="s">
        <v>606</v>
      </c>
      <c r="C2" s="21"/>
      <c r="F2" s="20" t="s">
        <v>607</v>
      </c>
      <c r="G2" s="20"/>
      <c r="J2" s="1524" t="s">
        <v>606</v>
      </c>
      <c r="K2" s="1524"/>
      <c r="N2" s="1524" t="s">
        <v>607</v>
      </c>
      <c r="O2" s="1524"/>
    </row>
    <row r="3" spans="2:15">
      <c r="B3" s="18" t="s">
        <v>608</v>
      </c>
      <c r="C3" s="22">
        <v>5</v>
      </c>
      <c r="F3" s="18"/>
      <c r="G3" s="18"/>
      <c r="J3" s="1525"/>
      <c r="K3" s="1526"/>
      <c r="N3" s="53"/>
      <c r="O3" s="54"/>
    </row>
    <row r="4" spans="2:15">
      <c r="B4" s="18" t="s">
        <v>609</v>
      </c>
      <c r="C4" s="22">
        <v>2800</v>
      </c>
      <c r="F4" s="18" t="s">
        <v>610</v>
      </c>
      <c r="G4" s="18">
        <v>1</v>
      </c>
      <c r="J4" s="36" t="s">
        <v>611</v>
      </c>
      <c r="K4" s="37">
        <v>2750</v>
      </c>
      <c r="N4" s="55" t="s">
        <v>610</v>
      </c>
      <c r="O4" s="56">
        <v>1</v>
      </c>
    </row>
    <row r="5" spans="2:15">
      <c r="B5" s="18" t="s">
        <v>612</v>
      </c>
      <c r="C5" s="22">
        <v>755</v>
      </c>
      <c r="F5" s="18" t="s">
        <v>613</v>
      </c>
      <c r="G5" s="18">
        <v>1</v>
      </c>
      <c r="J5" s="36" t="s">
        <v>614</v>
      </c>
      <c r="K5" s="37">
        <v>130</v>
      </c>
      <c r="N5" s="55" t="s">
        <v>613</v>
      </c>
      <c r="O5" s="56">
        <v>1</v>
      </c>
    </row>
    <row r="6" spans="2:15">
      <c r="B6" s="18" t="s">
        <v>615</v>
      </c>
      <c r="C6" s="22">
        <v>1200</v>
      </c>
      <c r="F6" s="18" t="s">
        <v>616</v>
      </c>
      <c r="G6" s="18">
        <v>1.5</v>
      </c>
      <c r="H6" t="s">
        <v>617</v>
      </c>
      <c r="J6" s="36" t="s">
        <v>618</v>
      </c>
      <c r="K6" s="37">
        <v>755</v>
      </c>
      <c r="N6" s="55" t="s">
        <v>616</v>
      </c>
      <c r="O6" s="56">
        <v>1.5</v>
      </c>
    </row>
    <row r="7" spans="2:15">
      <c r="B7" s="18" t="s">
        <v>619</v>
      </c>
      <c r="C7" s="22">
        <v>500</v>
      </c>
      <c r="F7" s="18" t="s">
        <v>620</v>
      </c>
      <c r="G7" s="18">
        <v>1.3</v>
      </c>
      <c r="J7" s="36" t="s">
        <v>621</v>
      </c>
      <c r="K7" s="37">
        <f>ROUND(6.46*1.06^6,-1)</f>
        <v>10</v>
      </c>
      <c r="N7" s="55" t="s">
        <v>620</v>
      </c>
      <c r="O7" s="56">
        <v>1.3</v>
      </c>
    </row>
    <row r="8" spans="2:15">
      <c r="B8" s="18" t="s">
        <v>622</v>
      </c>
      <c r="C8" s="22">
        <v>18000</v>
      </c>
      <c r="F8" s="18" t="s">
        <v>623</v>
      </c>
      <c r="G8" s="18">
        <v>1.1299999999999999</v>
      </c>
      <c r="J8" s="36" t="s">
        <v>624</v>
      </c>
      <c r="K8" s="37">
        <v>18000</v>
      </c>
      <c r="N8" s="55" t="s">
        <v>623</v>
      </c>
      <c r="O8" s="56">
        <v>1.1299999999999999</v>
      </c>
    </row>
    <row r="9" spans="2:15">
      <c r="B9" s="18" t="s">
        <v>625</v>
      </c>
      <c r="C9" s="22">
        <v>50</v>
      </c>
      <c r="F9" s="18" t="s">
        <v>626</v>
      </c>
      <c r="G9" s="18">
        <v>1.25</v>
      </c>
      <c r="J9" s="36" t="s">
        <v>627</v>
      </c>
      <c r="K9" s="38"/>
      <c r="N9" s="55" t="s">
        <v>626</v>
      </c>
      <c r="O9" s="56">
        <v>1.25</v>
      </c>
    </row>
    <row r="10" spans="2:15">
      <c r="B10" s="18" t="s">
        <v>628</v>
      </c>
      <c r="C10" s="22">
        <v>90</v>
      </c>
      <c r="F10" s="18" t="s">
        <v>629</v>
      </c>
      <c r="G10" s="18">
        <v>1.3</v>
      </c>
      <c r="J10" s="39" t="s">
        <v>630</v>
      </c>
      <c r="K10" s="37">
        <v>120</v>
      </c>
      <c r="N10" s="55" t="s">
        <v>629</v>
      </c>
      <c r="O10" s="56">
        <v>1.3</v>
      </c>
    </row>
    <row r="11" spans="2:15">
      <c r="B11" s="18" t="s">
        <v>631</v>
      </c>
      <c r="C11" s="22">
        <v>18000</v>
      </c>
      <c r="F11" s="18" t="s">
        <v>632</v>
      </c>
      <c r="G11" s="18">
        <v>1.2</v>
      </c>
      <c r="J11" s="39" t="s">
        <v>633</v>
      </c>
      <c r="K11" s="37">
        <v>250</v>
      </c>
      <c r="N11" s="55" t="s">
        <v>632</v>
      </c>
      <c r="O11" s="56">
        <v>1.2</v>
      </c>
    </row>
    <row r="12" spans="2:15">
      <c r="B12" s="18"/>
      <c r="C12" s="22"/>
      <c r="F12" s="18" t="s">
        <v>634</v>
      </c>
      <c r="G12" s="18">
        <v>1</v>
      </c>
      <c r="J12" s="39" t="s">
        <v>635</v>
      </c>
      <c r="K12" s="37">
        <v>850</v>
      </c>
      <c r="N12" s="55" t="s">
        <v>634</v>
      </c>
      <c r="O12" s="56">
        <v>1</v>
      </c>
    </row>
    <row r="13" spans="2:15">
      <c r="B13" s="18" t="s">
        <v>636</v>
      </c>
      <c r="C13" s="22"/>
      <c r="F13" s="18" t="s">
        <v>637</v>
      </c>
      <c r="G13" s="18">
        <v>1.3</v>
      </c>
      <c r="J13" s="40" t="s">
        <v>638</v>
      </c>
      <c r="K13" s="37">
        <v>12</v>
      </c>
      <c r="N13" s="55" t="s">
        <v>637</v>
      </c>
      <c r="O13" s="56">
        <v>1.3</v>
      </c>
    </row>
    <row r="14" spans="2:15">
      <c r="B14" s="18" t="s">
        <v>630</v>
      </c>
      <c r="C14" s="22">
        <v>140</v>
      </c>
      <c r="F14" s="18" t="s">
        <v>639</v>
      </c>
      <c r="G14" s="18">
        <v>1.37</v>
      </c>
      <c r="J14" s="36" t="s">
        <v>640</v>
      </c>
      <c r="K14" s="38"/>
      <c r="N14" s="55" t="s">
        <v>639</v>
      </c>
      <c r="O14" s="56">
        <v>1.37</v>
      </c>
    </row>
    <row r="15" spans="2:15">
      <c r="B15" s="18" t="s">
        <v>633</v>
      </c>
      <c r="C15" s="22">
        <v>190</v>
      </c>
      <c r="F15" s="18" t="s">
        <v>63</v>
      </c>
      <c r="G15" s="18">
        <v>1.37</v>
      </c>
      <c r="J15" s="39" t="s">
        <v>630</v>
      </c>
      <c r="K15" s="37">
        <v>210</v>
      </c>
      <c r="N15" s="55" t="s">
        <v>63</v>
      </c>
      <c r="O15" s="57">
        <v>1.37</v>
      </c>
    </row>
    <row r="16" spans="2:15">
      <c r="B16" s="18" t="s">
        <v>635</v>
      </c>
      <c r="C16" s="22">
        <v>985</v>
      </c>
      <c r="F16" s="18"/>
      <c r="G16" s="18"/>
      <c r="J16" s="39" t="s">
        <v>633</v>
      </c>
      <c r="K16" s="37">
        <f>K11*1.5</f>
        <v>375</v>
      </c>
      <c r="N16" s="58"/>
      <c r="O16" s="59"/>
    </row>
    <row r="17" spans="2:15">
      <c r="B17" s="18"/>
      <c r="C17" s="22"/>
      <c r="F17" s="18"/>
      <c r="G17" s="18"/>
      <c r="J17" s="39" t="s">
        <v>635</v>
      </c>
      <c r="K17" s="37">
        <v>1182</v>
      </c>
    </row>
    <row r="18" spans="2:15" ht="21">
      <c r="B18" s="18" t="s">
        <v>641</v>
      </c>
      <c r="C18" s="22"/>
      <c r="F18" s="18" t="s">
        <v>642</v>
      </c>
      <c r="G18" s="18"/>
      <c r="J18" s="36" t="s">
        <v>643</v>
      </c>
      <c r="K18" s="41">
        <v>0.05</v>
      </c>
      <c r="N18" s="1524" t="s">
        <v>642</v>
      </c>
      <c r="O18" s="1524"/>
    </row>
    <row r="19" spans="2:15">
      <c r="B19" s="18" t="s">
        <v>630</v>
      </c>
      <c r="C19" s="22">
        <v>210</v>
      </c>
      <c r="F19" s="18" t="s">
        <v>0</v>
      </c>
      <c r="G19" s="18" t="s">
        <v>644</v>
      </c>
      <c r="J19" s="36" t="s">
        <v>645</v>
      </c>
      <c r="K19" s="41">
        <v>0</v>
      </c>
      <c r="N19" s="60" t="s">
        <v>0</v>
      </c>
      <c r="O19" s="61" t="s">
        <v>644</v>
      </c>
    </row>
    <row r="20" spans="2:15">
      <c r="B20" s="18" t="s">
        <v>633</v>
      </c>
      <c r="C20" s="22">
        <v>375</v>
      </c>
      <c r="F20" s="18" t="s">
        <v>646</v>
      </c>
      <c r="G20" s="18"/>
      <c r="J20" s="36" t="s">
        <v>647</v>
      </c>
      <c r="K20" s="37">
        <v>6500</v>
      </c>
      <c r="N20" s="50" t="s">
        <v>646</v>
      </c>
      <c r="O20" s="36"/>
    </row>
    <row r="21" spans="2:15">
      <c r="B21" s="18" t="s">
        <v>635</v>
      </c>
      <c r="C21" s="22">
        <v>1182</v>
      </c>
      <c r="F21" s="18" t="s">
        <v>648</v>
      </c>
      <c r="G21" s="19">
        <v>1300</v>
      </c>
      <c r="J21" s="36" t="s">
        <v>649</v>
      </c>
      <c r="K21" s="37">
        <v>10000</v>
      </c>
      <c r="N21" s="55" t="s">
        <v>650</v>
      </c>
      <c r="O21" s="62">
        <f>ROUND(282*2*1.2,0)</f>
        <v>677</v>
      </c>
    </row>
    <row r="22" spans="2:15">
      <c r="B22" s="18" t="s">
        <v>643</v>
      </c>
      <c r="C22" s="22">
        <v>0.05</v>
      </c>
      <c r="F22" s="18" t="s">
        <v>651</v>
      </c>
      <c r="G22" s="19">
        <v>1900</v>
      </c>
      <c r="J22" s="42" t="s">
        <v>652</v>
      </c>
      <c r="K22" s="43">
        <f>SUM(K23:K25)</f>
        <v>1</v>
      </c>
      <c r="N22" s="55" t="s">
        <v>653</v>
      </c>
      <c r="O22" s="62">
        <f>ROUND(439.84*2*1.2,0)</f>
        <v>1056</v>
      </c>
    </row>
    <row r="23" spans="2:15">
      <c r="B23" s="18" t="s">
        <v>645</v>
      </c>
      <c r="C23" s="22">
        <v>0</v>
      </c>
      <c r="F23" s="18" t="s">
        <v>654</v>
      </c>
      <c r="G23" s="19">
        <v>2500</v>
      </c>
      <c r="J23" s="44" t="s">
        <v>630</v>
      </c>
      <c r="K23" s="41">
        <v>0.55000000000000004</v>
      </c>
      <c r="N23" s="55" t="s">
        <v>651</v>
      </c>
      <c r="O23" s="62">
        <v>1600</v>
      </c>
    </row>
    <row r="24" spans="2:15">
      <c r="B24" s="18" t="s">
        <v>655</v>
      </c>
      <c r="C24" s="22">
        <v>10000</v>
      </c>
      <c r="F24" s="18" t="s">
        <v>656</v>
      </c>
      <c r="G24" s="19">
        <v>3500</v>
      </c>
      <c r="J24" s="44" t="s">
        <v>633</v>
      </c>
      <c r="K24" s="41">
        <v>0.22500000000000001</v>
      </c>
      <c r="N24" s="55" t="s">
        <v>654</v>
      </c>
      <c r="O24" s="62">
        <v>2100</v>
      </c>
    </row>
    <row r="25" spans="2:15">
      <c r="B25" s="18" t="s">
        <v>649</v>
      </c>
      <c r="C25" s="22">
        <v>12000</v>
      </c>
      <c r="F25" s="18" t="s">
        <v>657</v>
      </c>
      <c r="G25" s="19">
        <v>4700</v>
      </c>
      <c r="J25" s="44" t="s">
        <v>658</v>
      </c>
      <c r="K25" s="41">
        <v>0.22500000000000001</v>
      </c>
      <c r="N25" s="55" t="s">
        <v>656</v>
      </c>
      <c r="O25" s="62">
        <v>3000</v>
      </c>
    </row>
    <row r="26" spans="2:15">
      <c r="B26" s="18" t="s">
        <v>652</v>
      </c>
      <c r="C26" s="22">
        <v>1</v>
      </c>
      <c r="F26" s="18" t="s">
        <v>659</v>
      </c>
      <c r="G26" s="19">
        <v>6660</v>
      </c>
      <c r="J26" s="42" t="s">
        <v>660</v>
      </c>
      <c r="K26" s="43">
        <f>SUM(K27:K29)</f>
        <v>1</v>
      </c>
      <c r="N26" s="55" t="s">
        <v>657</v>
      </c>
      <c r="O26" s="62">
        <v>4000</v>
      </c>
    </row>
    <row r="27" spans="2:15">
      <c r="B27" s="18" t="s">
        <v>630</v>
      </c>
      <c r="C27" s="23">
        <v>0.2</v>
      </c>
      <c r="F27" s="18" t="s">
        <v>661</v>
      </c>
      <c r="G27" s="19">
        <v>9300</v>
      </c>
      <c r="J27" s="44" t="s">
        <v>630</v>
      </c>
      <c r="K27" s="41">
        <v>0.9</v>
      </c>
      <c r="N27" s="55" t="s">
        <v>659</v>
      </c>
      <c r="O27" s="62">
        <v>5750</v>
      </c>
    </row>
    <row r="28" spans="2:15">
      <c r="B28" s="18" t="s">
        <v>633</v>
      </c>
      <c r="C28" s="23">
        <v>0.2</v>
      </c>
      <c r="F28" s="18"/>
      <c r="G28" s="18"/>
      <c r="J28" s="44" t="s">
        <v>633</v>
      </c>
      <c r="K28" s="41">
        <v>0.1</v>
      </c>
      <c r="N28" s="55" t="s">
        <v>661</v>
      </c>
      <c r="O28" s="62">
        <v>8000</v>
      </c>
    </row>
    <row r="29" spans="2:15">
      <c r="B29" s="18" t="s">
        <v>658</v>
      </c>
      <c r="C29" s="23">
        <v>0.6</v>
      </c>
      <c r="F29" s="18" t="s">
        <v>662</v>
      </c>
      <c r="G29" s="18"/>
      <c r="J29" s="44" t="s">
        <v>658</v>
      </c>
      <c r="K29" s="41">
        <v>0</v>
      </c>
      <c r="N29" s="1527"/>
      <c r="O29" s="1528"/>
    </row>
    <row r="30" spans="2:15">
      <c r="B30" s="18" t="s">
        <v>660</v>
      </c>
      <c r="C30" s="23">
        <v>1</v>
      </c>
      <c r="F30" s="18" t="s">
        <v>663</v>
      </c>
      <c r="G30" s="19">
        <v>530</v>
      </c>
      <c r="J30" s="36" t="s">
        <v>664</v>
      </c>
      <c r="K30" s="37">
        <v>120</v>
      </c>
      <c r="N30" s="63" t="s">
        <v>662</v>
      </c>
      <c r="O30" s="64"/>
    </row>
    <row r="31" spans="2:15">
      <c r="B31" s="18" t="s">
        <v>630</v>
      </c>
      <c r="C31" s="23">
        <v>0.2</v>
      </c>
      <c r="F31" s="18" t="s">
        <v>665</v>
      </c>
      <c r="G31" s="19">
        <v>1800</v>
      </c>
      <c r="J31" s="36" t="s">
        <v>666</v>
      </c>
      <c r="K31" s="37">
        <f>ROUND(138.12*1.06^6,-1)</f>
        <v>200</v>
      </c>
      <c r="N31" s="55" t="s">
        <v>663</v>
      </c>
      <c r="O31" s="62">
        <v>450</v>
      </c>
    </row>
    <row r="32" spans="2:15">
      <c r="B32" s="18" t="s">
        <v>633</v>
      </c>
      <c r="C32" s="23">
        <v>0.2</v>
      </c>
      <c r="F32" s="18"/>
      <c r="G32" s="18"/>
      <c r="J32" s="36" t="s">
        <v>667</v>
      </c>
      <c r="K32" s="41">
        <v>0.1</v>
      </c>
      <c r="N32" s="55" t="s">
        <v>665</v>
      </c>
      <c r="O32" s="62">
        <v>1500</v>
      </c>
    </row>
    <row r="33" spans="2:15">
      <c r="B33" s="18" t="s">
        <v>658</v>
      </c>
      <c r="C33" s="23">
        <v>0.6</v>
      </c>
      <c r="F33" s="18" t="s">
        <v>668</v>
      </c>
      <c r="G33" s="18"/>
      <c r="J33" s="36" t="s">
        <v>669</v>
      </c>
      <c r="K33" s="41">
        <v>0.9</v>
      </c>
      <c r="N33" s="1529"/>
      <c r="O33" s="1529"/>
    </row>
    <row r="34" spans="2:15">
      <c r="B34" s="18" t="s">
        <v>670</v>
      </c>
      <c r="C34" s="22">
        <v>140</v>
      </c>
      <c r="F34" s="18" t="s">
        <v>671</v>
      </c>
      <c r="G34" s="19">
        <v>1400</v>
      </c>
      <c r="J34" s="36" t="s">
        <v>672</v>
      </c>
      <c r="K34" s="37">
        <v>250</v>
      </c>
      <c r="N34" s="63" t="s">
        <v>668</v>
      </c>
      <c r="O34" s="64"/>
    </row>
    <row r="35" spans="2:15">
      <c r="B35" s="18" t="s">
        <v>667</v>
      </c>
      <c r="C35" s="23">
        <v>0.1</v>
      </c>
      <c r="F35" s="18" t="s">
        <v>673</v>
      </c>
      <c r="G35" s="19">
        <v>4650</v>
      </c>
      <c r="J35" s="36" t="s">
        <v>674</v>
      </c>
      <c r="K35" s="37">
        <v>260</v>
      </c>
      <c r="N35" s="55" t="s">
        <v>675</v>
      </c>
      <c r="O35" s="62">
        <v>1200</v>
      </c>
    </row>
    <row r="36" spans="2:15">
      <c r="B36" s="18" t="s">
        <v>669</v>
      </c>
      <c r="C36" s="23">
        <v>0.9</v>
      </c>
      <c r="F36" s="18" t="s">
        <v>676</v>
      </c>
      <c r="G36" s="19">
        <v>6220</v>
      </c>
      <c r="J36" s="36" t="s">
        <v>677</v>
      </c>
      <c r="K36" s="37">
        <v>200</v>
      </c>
      <c r="N36" s="55" t="s">
        <v>678</v>
      </c>
      <c r="O36" s="62">
        <v>6000</v>
      </c>
    </row>
    <row r="37" spans="2:15">
      <c r="B37" s="18" t="s">
        <v>672</v>
      </c>
      <c r="C37" s="22">
        <v>205</v>
      </c>
      <c r="F37" s="18" t="s">
        <v>678</v>
      </c>
      <c r="G37" s="19">
        <v>7000</v>
      </c>
      <c r="J37" s="36" t="s">
        <v>679</v>
      </c>
      <c r="K37" s="37">
        <v>150</v>
      </c>
      <c r="N37" s="55" t="s">
        <v>680</v>
      </c>
      <c r="O37" s="62">
        <v>10000</v>
      </c>
    </row>
    <row r="38" spans="2:15">
      <c r="B38" s="18" t="s">
        <v>681</v>
      </c>
      <c r="C38" s="22">
        <v>235</v>
      </c>
      <c r="F38" s="18" t="s">
        <v>682</v>
      </c>
      <c r="G38" s="19">
        <v>8000</v>
      </c>
      <c r="J38" s="36" t="s">
        <v>683</v>
      </c>
      <c r="K38" s="37">
        <v>250</v>
      </c>
      <c r="N38" s="55" t="s">
        <v>684</v>
      </c>
      <c r="O38" s="62">
        <v>12000</v>
      </c>
    </row>
    <row r="39" spans="2:15">
      <c r="B39" s="18" t="s">
        <v>679</v>
      </c>
      <c r="C39" s="22">
        <v>175</v>
      </c>
      <c r="F39" s="18" t="s">
        <v>685</v>
      </c>
      <c r="G39" s="19">
        <v>10000</v>
      </c>
      <c r="J39" s="36" t="s">
        <v>686</v>
      </c>
      <c r="K39" s="37">
        <v>120</v>
      </c>
      <c r="N39" s="1522"/>
      <c r="O39" s="1523"/>
    </row>
    <row r="40" spans="2:15">
      <c r="B40" s="18" t="s">
        <v>687</v>
      </c>
      <c r="C40" s="22">
        <v>290</v>
      </c>
      <c r="F40" s="18" t="s">
        <v>684</v>
      </c>
      <c r="G40" s="19">
        <v>14000</v>
      </c>
      <c r="J40" s="36" t="s">
        <v>688</v>
      </c>
      <c r="K40" s="37">
        <v>250</v>
      </c>
      <c r="N40" s="63" t="s">
        <v>689</v>
      </c>
      <c r="O40" s="64"/>
    </row>
    <row r="41" spans="2:15">
      <c r="B41" s="18" t="s">
        <v>690</v>
      </c>
      <c r="C41" s="22">
        <v>140</v>
      </c>
      <c r="F41" s="18" t="s">
        <v>691</v>
      </c>
      <c r="G41" s="19">
        <v>20000</v>
      </c>
      <c r="J41" s="36" t="s">
        <v>692</v>
      </c>
      <c r="K41" s="37">
        <f>ROUND(((893.45*2)+824.31+396.19)*2,0)</f>
        <v>6015</v>
      </c>
      <c r="N41" s="55" t="s">
        <v>693</v>
      </c>
      <c r="O41" s="62">
        <v>300</v>
      </c>
    </row>
    <row r="42" spans="2:15">
      <c r="B42" s="18" t="s">
        <v>688</v>
      </c>
      <c r="C42" s="22">
        <v>290</v>
      </c>
      <c r="F42" s="18"/>
      <c r="G42" s="18"/>
      <c r="J42" s="36" t="s">
        <v>694</v>
      </c>
      <c r="K42" s="37">
        <v>8000</v>
      </c>
      <c r="N42" s="55" t="s">
        <v>695</v>
      </c>
      <c r="O42" s="37">
        <f>ROUND(85.75*1.06^6,)</f>
        <v>122</v>
      </c>
    </row>
    <row r="43" spans="2:15">
      <c r="B43" s="18" t="s">
        <v>696</v>
      </c>
      <c r="C43" s="22">
        <v>7530</v>
      </c>
      <c r="F43" s="18" t="s">
        <v>689</v>
      </c>
      <c r="G43" s="18"/>
      <c r="J43" s="36" t="s">
        <v>697</v>
      </c>
      <c r="K43" s="37">
        <f>ROUND(((893.45*2)+824.31+2247)*2,0)</f>
        <v>9716</v>
      </c>
      <c r="N43" s="1522"/>
      <c r="O43" s="1523"/>
    </row>
    <row r="44" spans="2:15">
      <c r="B44" s="18" t="s">
        <v>694</v>
      </c>
      <c r="C44" s="22">
        <v>9300</v>
      </c>
      <c r="F44" s="18" t="s">
        <v>698</v>
      </c>
      <c r="G44" s="19">
        <v>150</v>
      </c>
      <c r="J44" s="36" t="s">
        <v>699</v>
      </c>
      <c r="K44" s="37">
        <v>6500</v>
      </c>
      <c r="N44" s="50" t="s">
        <v>700</v>
      </c>
      <c r="O44" s="36"/>
    </row>
    <row r="45" spans="2:15">
      <c r="B45" s="18" t="s">
        <v>701</v>
      </c>
      <c r="C45" s="22">
        <v>2320</v>
      </c>
      <c r="F45" s="18" t="s">
        <v>702</v>
      </c>
      <c r="G45" s="19">
        <v>180</v>
      </c>
      <c r="J45" s="36"/>
      <c r="K45" s="45"/>
      <c r="N45" s="65" t="s">
        <v>703</v>
      </c>
      <c r="O45" s="62">
        <f>1.6*805</f>
        <v>1288</v>
      </c>
    </row>
    <row r="46" spans="2:15">
      <c r="B46" s="18" t="s">
        <v>699</v>
      </c>
      <c r="C46" s="22">
        <v>7525</v>
      </c>
      <c r="F46" s="18" t="s">
        <v>704</v>
      </c>
      <c r="G46" s="19">
        <v>210</v>
      </c>
      <c r="J46" s="36" t="s">
        <v>705</v>
      </c>
      <c r="K46" s="37">
        <v>750</v>
      </c>
      <c r="N46" s="65" t="s">
        <v>706</v>
      </c>
      <c r="O46" s="62">
        <f>1.6*6650</f>
        <v>10640</v>
      </c>
    </row>
    <row r="47" spans="2:15">
      <c r="B47" s="18"/>
      <c r="C47" s="22"/>
      <c r="F47" s="18" t="s">
        <v>693</v>
      </c>
      <c r="G47" s="19">
        <v>350</v>
      </c>
      <c r="J47" s="36" t="s">
        <v>707</v>
      </c>
      <c r="K47" s="41">
        <v>0.2</v>
      </c>
      <c r="N47" s="65" t="s">
        <v>708</v>
      </c>
      <c r="O47" s="62">
        <f>1.6*9705</f>
        <v>15528</v>
      </c>
    </row>
    <row r="48" spans="2:15">
      <c r="B48" s="18" t="s">
        <v>709</v>
      </c>
      <c r="C48" s="22">
        <v>870</v>
      </c>
      <c r="F48" s="18"/>
      <c r="G48" s="18"/>
      <c r="J48" s="18"/>
      <c r="K48" s="46"/>
    </row>
    <row r="49" spans="2:15">
      <c r="B49" s="18" t="s">
        <v>707</v>
      </c>
      <c r="C49" s="22">
        <v>0.2</v>
      </c>
      <c r="F49" s="18" t="s">
        <v>700</v>
      </c>
      <c r="G49" s="18"/>
      <c r="J49" s="36" t="s">
        <v>710</v>
      </c>
      <c r="K49" s="37">
        <v>650</v>
      </c>
      <c r="N49" s="50" t="s">
        <v>711</v>
      </c>
      <c r="O49" s="18"/>
    </row>
    <row r="50" spans="2:15">
      <c r="B50" s="18"/>
      <c r="C50" s="22"/>
      <c r="F50" s="18" t="s">
        <v>703</v>
      </c>
      <c r="G50" s="19">
        <v>1500</v>
      </c>
      <c r="J50" s="36" t="s">
        <v>712</v>
      </c>
      <c r="K50" s="37">
        <f>ROUND(261.93*1.06^6,-1)</f>
        <v>370</v>
      </c>
      <c r="N50" s="65" t="s">
        <v>713</v>
      </c>
      <c r="O50" s="66">
        <f>ROUND(212.96*1.06^6,-1)</f>
        <v>300</v>
      </c>
    </row>
    <row r="51" spans="2:15">
      <c r="B51" s="18" t="s">
        <v>714</v>
      </c>
      <c r="C51" s="22">
        <v>1195</v>
      </c>
      <c r="F51" s="18" t="s">
        <v>706</v>
      </c>
      <c r="G51" s="19">
        <v>12320</v>
      </c>
      <c r="J51" s="36" t="s">
        <v>715</v>
      </c>
      <c r="K51" s="37">
        <v>3000</v>
      </c>
      <c r="N51" s="65" t="s">
        <v>716</v>
      </c>
      <c r="O51" s="66">
        <f>ROUND(283.94*1.06^6,-1)</f>
        <v>400</v>
      </c>
    </row>
    <row r="52" spans="2:15">
      <c r="B52" s="18" t="s">
        <v>715</v>
      </c>
      <c r="C52" s="22">
        <v>3000</v>
      </c>
      <c r="F52" s="18" t="s">
        <v>708</v>
      </c>
      <c r="G52" s="19">
        <v>18000</v>
      </c>
      <c r="J52" s="36" t="s">
        <v>717</v>
      </c>
      <c r="K52" s="37">
        <v>2500</v>
      </c>
      <c r="O52" s="34"/>
    </row>
    <row r="53" spans="2:15">
      <c r="B53" s="18" t="s">
        <v>717</v>
      </c>
      <c r="C53" s="22">
        <v>2500</v>
      </c>
      <c r="F53" s="18"/>
      <c r="G53" s="18"/>
      <c r="J53" s="36" t="s">
        <v>718</v>
      </c>
      <c r="K53" s="37">
        <v>850</v>
      </c>
      <c r="N53" s="50" t="s">
        <v>719</v>
      </c>
      <c r="O53" s="67"/>
    </row>
    <row r="54" spans="2:15">
      <c r="B54" s="18" t="s">
        <v>718</v>
      </c>
      <c r="C54" s="22">
        <v>850</v>
      </c>
      <c r="F54" s="18" t="s">
        <v>720</v>
      </c>
      <c r="G54" s="18"/>
      <c r="J54" s="36" t="s">
        <v>721</v>
      </c>
      <c r="K54" s="37">
        <v>500</v>
      </c>
      <c r="N54" s="18" t="s">
        <v>722</v>
      </c>
      <c r="O54" s="66">
        <f>ROUND(59.77*1.06^6,-1)</f>
        <v>80</v>
      </c>
    </row>
    <row r="55" spans="2:15">
      <c r="B55" s="18" t="s">
        <v>721</v>
      </c>
      <c r="C55" s="22">
        <v>500</v>
      </c>
      <c r="F55" s="18" t="s">
        <v>723</v>
      </c>
      <c r="G55" s="19">
        <v>170</v>
      </c>
      <c r="J55" s="47" t="s">
        <v>724</v>
      </c>
      <c r="K55" s="37">
        <v>2000</v>
      </c>
      <c r="N55" s="18" t="s">
        <v>725</v>
      </c>
      <c r="O55" s="66">
        <f>ROUND(131.48*1.06^6,-1)</f>
        <v>190</v>
      </c>
    </row>
    <row r="56" spans="2:15">
      <c r="B56" s="18" t="s">
        <v>724</v>
      </c>
      <c r="C56" s="22">
        <v>1500</v>
      </c>
      <c r="F56" s="18" t="s">
        <v>726</v>
      </c>
      <c r="G56" s="19">
        <v>200</v>
      </c>
      <c r="J56" s="48" t="s">
        <v>727</v>
      </c>
      <c r="K56" s="37">
        <v>1500</v>
      </c>
      <c r="N56" s="18" t="s">
        <v>728</v>
      </c>
      <c r="O56" s="66">
        <f>ROUND(215.17*1.06^6,-1)</f>
        <v>310</v>
      </c>
    </row>
    <row r="57" spans="2:15">
      <c r="B57" s="18" t="s">
        <v>727</v>
      </c>
      <c r="C57" s="22">
        <v>1000</v>
      </c>
      <c r="F57" s="18" t="s">
        <v>729</v>
      </c>
      <c r="G57" s="19">
        <v>250</v>
      </c>
      <c r="J57" s="18"/>
      <c r="K57" s="38"/>
      <c r="O57" s="34"/>
    </row>
    <row r="58" spans="2:15">
      <c r="B58" s="18"/>
      <c r="C58" s="22"/>
      <c r="J58" s="48" t="s">
        <v>730</v>
      </c>
      <c r="K58" s="37">
        <f>1800+350+220</f>
        <v>2370</v>
      </c>
      <c r="N58" s="68" t="s">
        <v>731</v>
      </c>
      <c r="O58" s="67"/>
    </row>
    <row r="59" spans="2:15">
      <c r="B59" s="18" t="s">
        <v>732</v>
      </c>
      <c r="C59" s="22">
        <v>2000</v>
      </c>
      <c r="J59" s="48" t="s">
        <v>733</v>
      </c>
      <c r="K59" s="37">
        <v>20000</v>
      </c>
      <c r="N59" s="18" t="s">
        <v>734</v>
      </c>
      <c r="O59" s="66">
        <f>ROUND(86.08*1.06^6,-1)</f>
        <v>120</v>
      </c>
    </row>
    <row r="60" spans="2:15">
      <c r="B60" s="18" t="s">
        <v>733</v>
      </c>
      <c r="C60" s="22">
        <v>17500</v>
      </c>
      <c r="K60" s="49"/>
      <c r="N60" s="18" t="s">
        <v>735</v>
      </c>
      <c r="O60" s="66">
        <f>ROUND(225.32*1.06^6,-1)</f>
        <v>320</v>
      </c>
    </row>
    <row r="61" spans="2:15">
      <c r="B61" s="18" t="s">
        <v>736</v>
      </c>
      <c r="C61" s="22">
        <v>830</v>
      </c>
      <c r="J61" s="50" t="s">
        <v>737</v>
      </c>
      <c r="K61" s="46"/>
      <c r="N61" s="18" t="s">
        <v>738</v>
      </c>
      <c r="O61" s="69">
        <v>380</v>
      </c>
    </row>
    <row r="62" spans="2:15">
      <c r="B62" s="18" t="s">
        <v>739</v>
      </c>
      <c r="C62" s="22">
        <v>130</v>
      </c>
      <c r="J62" s="51" t="s">
        <v>740</v>
      </c>
      <c r="K62" s="37">
        <f>ROUND(5096.65*1.06^6,-1)</f>
        <v>7230</v>
      </c>
    </row>
    <row r="63" spans="2:15">
      <c r="B63" s="18" t="s">
        <v>741</v>
      </c>
      <c r="C63" s="22">
        <v>120</v>
      </c>
      <c r="J63" s="18" t="s">
        <v>742</v>
      </c>
      <c r="K63" s="37">
        <f>ROUND(5.1*(1.06^6),-1)</f>
        <v>10</v>
      </c>
      <c r="N63" s="68" t="s">
        <v>743</v>
      </c>
      <c r="O63" s="67"/>
    </row>
    <row r="64" spans="2:15">
      <c r="B64" s="18" t="s">
        <v>744</v>
      </c>
      <c r="C64" s="22">
        <v>23</v>
      </c>
      <c r="K64" s="52"/>
      <c r="N64" s="68" t="s">
        <v>745</v>
      </c>
      <c r="O64" s="67"/>
    </row>
    <row r="65" spans="2:15">
      <c r="B65" s="18"/>
      <c r="C65" s="22"/>
      <c r="J65" s="50" t="s">
        <v>746</v>
      </c>
      <c r="K65" s="38"/>
      <c r="N65" s="18" t="s">
        <v>747</v>
      </c>
      <c r="O65" s="66">
        <f>ROUND(50*1.06^2,-1)</f>
        <v>60</v>
      </c>
    </row>
    <row r="66" spans="2:15">
      <c r="B66" s="18" t="s">
        <v>748</v>
      </c>
      <c r="C66" s="22">
        <v>5000</v>
      </c>
      <c r="J66" s="18" t="s">
        <v>749</v>
      </c>
      <c r="K66" s="37">
        <f>ROUND(44.26*(1.06^6),-1)</f>
        <v>60</v>
      </c>
      <c r="N66" s="18" t="s">
        <v>750</v>
      </c>
      <c r="O66" s="66">
        <f>ROUND(150*1.06^2,-1)</f>
        <v>170</v>
      </c>
    </row>
    <row r="67" spans="2:15">
      <c r="B67" s="18" t="s">
        <v>751</v>
      </c>
      <c r="C67" s="22">
        <v>4500</v>
      </c>
      <c r="J67" s="18" t="s">
        <v>752</v>
      </c>
      <c r="K67" s="37">
        <f>ROUND(265.56*(1.06^6),-1)</f>
        <v>380</v>
      </c>
      <c r="N67" s="68" t="s">
        <v>753</v>
      </c>
      <c r="O67" s="67"/>
    </row>
    <row r="68" spans="2:15">
      <c r="B68" s="18" t="s">
        <v>754</v>
      </c>
      <c r="C68" s="22">
        <v>3500</v>
      </c>
      <c r="K68" s="52"/>
      <c r="N68" s="18" t="s">
        <v>747</v>
      </c>
      <c r="O68" s="66">
        <f>ROUND(50*1.06^2,-1)</f>
        <v>60</v>
      </c>
    </row>
    <row r="69" spans="2:15">
      <c r="B69" s="18" t="s">
        <v>755</v>
      </c>
      <c r="C69" s="22">
        <v>2000</v>
      </c>
      <c r="J69" s="50" t="s">
        <v>756</v>
      </c>
      <c r="K69" s="38"/>
      <c r="N69" s="18" t="s">
        <v>750</v>
      </c>
      <c r="O69" s="66">
        <f>ROUND(150*1.06^2,-1)</f>
        <v>170</v>
      </c>
    </row>
    <row r="70" spans="2:15">
      <c r="B70" s="18" t="s">
        <v>757</v>
      </c>
      <c r="C70" s="22">
        <v>10000</v>
      </c>
      <c r="J70" s="18" t="s">
        <v>758</v>
      </c>
      <c r="K70" s="37">
        <f>ROUND((878)/(2.4*6),-1)</f>
        <v>60</v>
      </c>
    </row>
    <row r="71" spans="2:15">
      <c r="B71" s="18" t="s">
        <v>759</v>
      </c>
      <c r="C71" s="22">
        <v>200</v>
      </c>
      <c r="J71" s="18" t="s">
        <v>760</v>
      </c>
      <c r="K71" s="37">
        <f>ROUND((468)/(2.4*6),)</f>
        <v>33</v>
      </c>
      <c r="N71" s="68" t="s">
        <v>761</v>
      </c>
      <c r="O71" s="18"/>
    </row>
    <row r="72" spans="2:15">
      <c r="B72" s="18"/>
      <c r="C72" s="22"/>
      <c r="K72" s="49"/>
      <c r="N72" s="18" t="s">
        <v>762</v>
      </c>
      <c r="O72" s="66">
        <f>ROUND(265.58*1.06^2,-1)</f>
        <v>300</v>
      </c>
    </row>
    <row r="73" spans="2:15">
      <c r="B73" s="18" t="s">
        <v>763</v>
      </c>
      <c r="C73" s="22"/>
      <c r="J73" s="50" t="s">
        <v>743</v>
      </c>
      <c r="K73" s="37">
        <f>ROUND(70.25*1.06^6,-1)</f>
        <v>100</v>
      </c>
    </row>
    <row r="74" spans="2:15" ht="30">
      <c r="B74" s="18" t="s">
        <v>764</v>
      </c>
      <c r="C74" s="22">
        <v>1000</v>
      </c>
      <c r="K74" s="52"/>
      <c r="N74" s="672" t="s">
        <v>765</v>
      </c>
      <c r="O74" s="37">
        <f>ROUND(893.45*2,)</f>
        <v>1787</v>
      </c>
    </row>
    <row r="75" spans="2:15">
      <c r="B75" s="18" t="s">
        <v>766</v>
      </c>
      <c r="C75" s="22">
        <v>1375</v>
      </c>
      <c r="J75" s="50" t="s">
        <v>767</v>
      </c>
      <c r="K75" s="37">
        <f>ROUND(9.13*1.06^6,)</f>
        <v>13</v>
      </c>
      <c r="N75" t="s">
        <v>768</v>
      </c>
      <c r="O75" s="37">
        <v>825</v>
      </c>
    </row>
    <row r="76" spans="2:15">
      <c r="B76" s="18" t="s">
        <v>769</v>
      </c>
      <c r="C76" s="22">
        <v>120</v>
      </c>
      <c r="K76" s="34"/>
      <c r="N76" t="s">
        <v>770</v>
      </c>
      <c r="O76" s="37">
        <v>397</v>
      </c>
    </row>
    <row r="77" spans="2:15">
      <c r="B77" s="18" t="s">
        <v>771</v>
      </c>
      <c r="C77" s="22">
        <v>250</v>
      </c>
      <c r="J77" s="50" t="s">
        <v>772</v>
      </c>
      <c r="K77" s="38"/>
      <c r="N77" s="673" t="s">
        <v>773</v>
      </c>
      <c r="O77" s="37">
        <f>ROUND((2600+2300)*1.06^2,)</f>
        <v>5506</v>
      </c>
    </row>
    <row r="78" spans="2:15">
      <c r="B78" s="18" t="s">
        <v>774</v>
      </c>
      <c r="C78" s="22">
        <v>450</v>
      </c>
      <c r="J78" s="18" t="s">
        <v>775</v>
      </c>
      <c r="K78" s="37">
        <f>ROUND(23.14*1.06^6,)</f>
        <v>33</v>
      </c>
      <c r="N78" t="s">
        <v>776</v>
      </c>
      <c r="O78" s="37">
        <f>ROUND(11756*1.06^6,)</f>
        <v>16676</v>
      </c>
    </row>
    <row r="79" spans="2:15">
      <c r="B79" s="18" t="s">
        <v>777</v>
      </c>
      <c r="C79" s="22">
        <v>1200</v>
      </c>
      <c r="J79" s="18" t="s">
        <v>778</v>
      </c>
      <c r="K79" s="37">
        <f>ROUND(24*1.06^6,)</f>
        <v>34</v>
      </c>
    </row>
    <row r="80" spans="2:15">
      <c r="B80" s="18" t="s">
        <v>779</v>
      </c>
      <c r="C80" s="22">
        <v>1200</v>
      </c>
      <c r="J80" s="18" t="s">
        <v>780</v>
      </c>
      <c r="K80" s="37">
        <f>ROUND(1355*1.06^6,)</f>
        <v>1922</v>
      </c>
      <c r="N80" s="16" t="s">
        <v>781</v>
      </c>
    </row>
    <row r="81" spans="2:15">
      <c r="B81" s="18"/>
      <c r="C81" s="22"/>
      <c r="J81" s="18" t="s">
        <v>782</v>
      </c>
      <c r="K81" s="37">
        <f>ROUND(126.32*1.06^6,)</f>
        <v>179</v>
      </c>
      <c r="N81" s="18" t="s">
        <v>783</v>
      </c>
      <c r="O81" s="70">
        <v>238</v>
      </c>
    </row>
    <row r="82" spans="2:15">
      <c r="B82" s="18"/>
      <c r="C82" s="22"/>
      <c r="J82" s="18" t="s">
        <v>784</v>
      </c>
      <c r="K82" s="37">
        <f>ROUND(66.81*1.06^6,)</f>
        <v>95</v>
      </c>
      <c r="N82" s="18" t="s">
        <v>785</v>
      </c>
      <c r="O82" s="70">
        <v>251</v>
      </c>
    </row>
    <row r="83" spans="2:15">
      <c r="B83" s="18" t="s">
        <v>786</v>
      </c>
      <c r="C83" s="22">
        <v>15000</v>
      </c>
      <c r="J83" s="18" t="s">
        <v>787</v>
      </c>
      <c r="K83" s="37">
        <f>ROUND(7.66*1.06^6,)</f>
        <v>11</v>
      </c>
      <c r="N83" s="18" t="s">
        <v>788</v>
      </c>
      <c r="O83" s="70">
        <v>940</v>
      </c>
    </row>
    <row r="84" spans="2:15">
      <c r="B84" s="18" t="s">
        <v>789</v>
      </c>
      <c r="C84" s="22">
        <v>9500</v>
      </c>
      <c r="N84" s="18" t="s">
        <v>790</v>
      </c>
      <c r="O84" s="70">
        <v>534</v>
      </c>
    </row>
    <row r="85" spans="2:15">
      <c r="B85" s="18"/>
      <c r="C85" s="22"/>
      <c r="J85" s="18" t="s">
        <v>791</v>
      </c>
      <c r="K85" s="37">
        <v>125</v>
      </c>
    </row>
    <row r="86" spans="2:15">
      <c r="B86" s="18" t="s">
        <v>792</v>
      </c>
      <c r="C86" s="22">
        <v>600</v>
      </c>
      <c r="J86" s="18" t="s">
        <v>793</v>
      </c>
      <c r="K86" s="37">
        <v>125</v>
      </c>
    </row>
    <row r="87" spans="2:15">
      <c r="B87" s="18" t="s">
        <v>794</v>
      </c>
      <c r="C87" s="22">
        <v>900</v>
      </c>
    </row>
    <row r="88" spans="2:15">
      <c r="B88" s="18" t="s">
        <v>795</v>
      </c>
      <c r="C88" s="22">
        <v>2300</v>
      </c>
    </row>
    <row r="89" spans="2:15">
      <c r="B89" s="18" t="s">
        <v>796</v>
      </c>
      <c r="C89" s="22">
        <v>120</v>
      </c>
    </row>
    <row r="90" spans="2:15">
      <c r="B90" s="18" t="s">
        <v>797</v>
      </c>
      <c r="C90" s="22">
        <v>1550</v>
      </c>
    </row>
    <row r="91" spans="2:15">
      <c r="B91" s="18" t="s">
        <v>798</v>
      </c>
      <c r="C91" s="22">
        <v>35</v>
      </c>
    </row>
    <row r="92" spans="2:15">
      <c r="B92" s="18" t="s">
        <v>799</v>
      </c>
      <c r="C92" s="22">
        <v>45</v>
      </c>
    </row>
    <row r="93" spans="2:15">
      <c r="B93" s="18" t="s">
        <v>800</v>
      </c>
      <c r="C93" s="22">
        <v>25</v>
      </c>
    </row>
    <row r="94" spans="2:15">
      <c r="B94" s="18" t="s">
        <v>801</v>
      </c>
      <c r="C94" s="22">
        <v>40</v>
      </c>
    </row>
    <row r="95" spans="2:15">
      <c r="B95" s="18" t="s">
        <v>802</v>
      </c>
      <c r="C95" s="22">
        <v>4200</v>
      </c>
    </row>
    <row r="96" spans="2:15">
      <c r="B96" s="18"/>
      <c r="C96" s="22"/>
    </row>
    <row r="97" spans="2:3">
      <c r="B97" s="18" t="s">
        <v>803</v>
      </c>
      <c r="C97" s="22"/>
    </row>
    <row r="98" spans="2:3">
      <c r="B98" s="18" t="s">
        <v>804</v>
      </c>
      <c r="C98" s="22">
        <v>80</v>
      </c>
    </row>
    <row r="99" spans="2:3">
      <c r="B99" s="29" t="s">
        <v>805</v>
      </c>
      <c r="C99" s="22">
        <v>100</v>
      </c>
    </row>
    <row r="100" spans="2:3">
      <c r="B100" s="30" t="s">
        <v>806</v>
      </c>
      <c r="C100" s="22">
        <v>130</v>
      </c>
    </row>
    <row r="101" spans="2:3">
      <c r="B101" s="18" t="s">
        <v>807</v>
      </c>
      <c r="C101" s="22"/>
    </row>
    <row r="102" spans="2:3">
      <c r="B102" s="18" t="s">
        <v>633</v>
      </c>
      <c r="C102" s="22">
        <v>25</v>
      </c>
    </row>
    <row r="103" spans="2:3">
      <c r="B103" s="18" t="s">
        <v>808</v>
      </c>
      <c r="C103" s="22">
        <v>200</v>
      </c>
    </row>
    <row r="104" spans="2:3">
      <c r="B104" s="18"/>
      <c r="C104" s="22"/>
    </row>
    <row r="105" spans="2:3">
      <c r="B105" s="18" t="s">
        <v>809</v>
      </c>
      <c r="C105" s="22">
        <v>320</v>
      </c>
    </row>
    <row r="106" spans="2:3">
      <c r="B106" s="18" t="s">
        <v>810</v>
      </c>
      <c r="C106" s="22">
        <f>CEILING((275*(1+0.07)^3),10)</f>
        <v>340</v>
      </c>
    </row>
  </sheetData>
  <mergeCells count="8">
    <mergeCell ref="N39:O39"/>
    <mergeCell ref="N43:O43"/>
    <mergeCell ref="J2:K2"/>
    <mergeCell ref="J3:K3"/>
    <mergeCell ref="N2:O2"/>
    <mergeCell ref="N18:O18"/>
    <mergeCell ref="N29:O29"/>
    <mergeCell ref="N33:O33"/>
  </mergeCells>
  <phoneticPr fontId="38" type="noConversion"/>
  <pageMargins left="0.7" right="0.7" top="0.75" bottom="0.75" header="0.3" footer="0.3"/>
  <pageSetup paperSize="9"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DF7D6-1B4C-49A2-ADA9-3211E4E9FCCC}">
  <dimension ref="A1:O163"/>
  <sheetViews>
    <sheetView view="pageBreakPreview" topLeftCell="A128" zoomScaleNormal="100" zoomScaleSheetLayoutView="100" workbookViewId="0">
      <selection activeCell="F68" sqref="F68"/>
    </sheetView>
  </sheetViews>
  <sheetFormatPr defaultColWidth="6.140625" defaultRowHeight="12.75"/>
  <cols>
    <col min="1" max="1" width="9.5703125" style="245" customWidth="1"/>
    <col min="2" max="2" width="15.28515625" style="246" customWidth="1"/>
    <col min="3" max="3" width="47.7109375" style="246" customWidth="1"/>
    <col min="4" max="4" width="8.7109375" style="245" customWidth="1"/>
    <col min="5" max="5" width="9.7109375" style="253" customWidth="1"/>
    <col min="6" max="6" width="15.42578125" style="274" customWidth="1"/>
    <col min="7" max="7" width="21.42578125" style="245" customWidth="1"/>
    <col min="8" max="8" width="32.140625" style="246" hidden="1" customWidth="1"/>
    <col min="9" max="12" width="0" style="246" hidden="1" customWidth="1"/>
    <col min="13" max="13" width="9.42578125" style="255" bestFit="1" customWidth="1"/>
    <col min="14" max="14" width="9.42578125" style="246" bestFit="1" customWidth="1"/>
    <col min="15" max="16384" width="6.140625" style="246"/>
  </cols>
  <sheetData>
    <row r="1" spans="1:15" s="249" customFormat="1" ht="15" customHeight="1">
      <c r="A1" s="1538" t="s">
        <v>811</v>
      </c>
      <c r="B1" s="1538"/>
      <c r="C1" s="1538"/>
      <c r="D1" s="1538"/>
      <c r="E1" s="1538"/>
      <c r="F1" s="1538"/>
      <c r="G1" s="1538"/>
      <c r="M1" s="256"/>
    </row>
    <row r="3" spans="1:15" s="249" customFormat="1">
      <c r="A3" s="258" t="s">
        <v>322</v>
      </c>
      <c r="B3" s="259" t="s">
        <v>323</v>
      </c>
      <c r="C3" s="258" t="s">
        <v>33</v>
      </c>
      <c r="D3" s="258" t="s">
        <v>324</v>
      </c>
      <c r="E3" s="260" t="s">
        <v>325</v>
      </c>
      <c r="F3" s="261" t="s">
        <v>326</v>
      </c>
      <c r="G3" s="261" t="s">
        <v>327</v>
      </c>
      <c r="M3" s="256"/>
    </row>
    <row r="4" spans="1:15">
      <c r="A4" s="675"/>
      <c r="B4" s="676"/>
      <c r="C4" s="677"/>
      <c r="D4" s="678"/>
      <c r="E4" s="659"/>
      <c r="F4" s="1191"/>
      <c r="G4" s="1192"/>
      <c r="H4" s="679"/>
      <c r="I4" s="679"/>
      <c r="J4" s="679"/>
      <c r="K4" s="679"/>
      <c r="L4" s="679"/>
      <c r="N4" s="679"/>
      <c r="O4" s="679"/>
    </row>
    <row r="5" spans="1:15">
      <c r="A5" s="659"/>
      <c r="B5" s="679"/>
      <c r="C5" s="238" t="s">
        <v>812</v>
      </c>
      <c r="D5" s="678"/>
      <c r="E5" s="659"/>
      <c r="F5" s="1191"/>
      <c r="G5" s="1192"/>
      <c r="H5" s="679"/>
      <c r="I5" s="679"/>
      <c r="J5" s="679"/>
      <c r="K5" s="679"/>
      <c r="L5" s="679"/>
      <c r="N5" s="679"/>
      <c r="O5" s="679"/>
    </row>
    <row r="6" spans="1:15">
      <c r="A6" s="659"/>
      <c r="B6" s="680"/>
      <c r="C6" s="677"/>
      <c r="D6" s="678"/>
      <c r="E6" s="659"/>
      <c r="F6" s="1191"/>
      <c r="G6" s="1193"/>
      <c r="H6" s="679"/>
      <c r="I6" s="679"/>
      <c r="J6" s="679"/>
      <c r="K6" s="679"/>
      <c r="L6" s="679"/>
      <c r="N6" s="679"/>
      <c r="O6" s="679"/>
    </row>
    <row r="7" spans="1:15" ht="25.5">
      <c r="A7" s="262">
        <v>2.1</v>
      </c>
      <c r="B7" s="560" t="s">
        <v>813</v>
      </c>
      <c r="C7" s="263" t="s">
        <v>737</v>
      </c>
      <c r="D7" s="678"/>
      <c r="E7" s="659"/>
      <c r="F7" s="1191"/>
      <c r="G7" s="1193"/>
      <c r="H7" s="679"/>
      <c r="I7" s="679"/>
      <c r="J7" s="679"/>
      <c r="K7" s="679"/>
      <c r="L7" s="679"/>
      <c r="N7" s="679"/>
      <c r="O7" s="679"/>
    </row>
    <row r="8" spans="1:15">
      <c r="A8" s="659"/>
      <c r="B8" s="676"/>
      <c r="C8" s="677"/>
      <c r="D8" s="678"/>
      <c r="E8" s="659"/>
      <c r="F8" s="1191"/>
      <c r="G8" s="1193"/>
      <c r="H8" s="679"/>
      <c r="I8" s="679"/>
      <c r="J8" s="679"/>
      <c r="K8" s="679"/>
      <c r="L8" s="679"/>
      <c r="N8" s="679"/>
      <c r="O8" s="679"/>
    </row>
    <row r="9" spans="1:15">
      <c r="A9" s="659" t="s">
        <v>814</v>
      </c>
      <c r="B9" s="680" t="s">
        <v>815</v>
      </c>
      <c r="C9" s="667" t="s">
        <v>740</v>
      </c>
      <c r="D9" s="659" t="s">
        <v>816</v>
      </c>
      <c r="E9" s="681">
        <f>_xlfn.CEILING.MATH(((10567.516)+(2%*10600))/10000,1)</f>
        <v>2</v>
      </c>
      <c r="F9" s="1194"/>
      <c r="G9" s="1195"/>
      <c r="H9" s="679"/>
      <c r="I9" s="679"/>
      <c r="J9" s="679"/>
      <c r="K9" s="679"/>
      <c r="L9" s="679"/>
      <c r="N9" s="679"/>
      <c r="O9" s="679"/>
    </row>
    <row r="10" spans="1:15">
      <c r="A10" s="659"/>
      <c r="B10" s="676"/>
      <c r="C10" s="677"/>
      <c r="D10" s="678"/>
      <c r="E10" s="659"/>
      <c r="F10" s="1191"/>
      <c r="G10" s="1192"/>
      <c r="H10" s="679"/>
      <c r="I10" s="679"/>
      <c r="J10" s="679"/>
      <c r="K10" s="679"/>
      <c r="L10" s="679"/>
      <c r="N10" s="679"/>
      <c r="O10" s="679"/>
    </row>
    <row r="11" spans="1:15">
      <c r="A11" s="659" t="s">
        <v>817</v>
      </c>
      <c r="B11" s="680" t="s">
        <v>815</v>
      </c>
      <c r="C11" s="667" t="s">
        <v>742</v>
      </c>
      <c r="D11" s="659" t="s">
        <v>818</v>
      </c>
      <c r="E11" s="681">
        <f>CEILING(413.468+(0.1*413.468),1)</f>
        <v>455</v>
      </c>
      <c r="F11" s="1195"/>
      <c r="G11" s="1195"/>
      <c r="H11" s="679"/>
      <c r="I11" s="679"/>
      <c r="J11" s="679"/>
      <c r="K11" s="679"/>
      <c r="L11" s="679"/>
      <c r="N11" s="679"/>
      <c r="O11" s="679"/>
    </row>
    <row r="12" spans="1:15">
      <c r="A12" s="659"/>
      <c r="B12" s="676"/>
      <c r="C12" s="677"/>
      <c r="D12" s="678"/>
      <c r="E12" s="659"/>
      <c r="F12" s="1191"/>
      <c r="G12" s="1192"/>
      <c r="H12" s="679"/>
      <c r="I12" s="679"/>
      <c r="J12" s="679"/>
      <c r="K12" s="679"/>
      <c r="L12" s="679"/>
      <c r="N12" s="679"/>
      <c r="O12" s="679"/>
    </row>
    <row r="13" spans="1:15" ht="25.5">
      <c r="A13" s="262">
        <v>2.2000000000000002</v>
      </c>
      <c r="B13" s="560" t="s">
        <v>819</v>
      </c>
      <c r="C13" s="263" t="s">
        <v>820</v>
      </c>
      <c r="D13" s="678"/>
      <c r="E13" s="659"/>
      <c r="F13" s="1191"/>
      <c r="G13" s="1192"/>
      <c r="H13" s="679"/>
      <c r="I13" s="679"/>
      <c r="J13" s="679"/>
      <c r="K13" s="679"/>
      <c r="L13" s="679"/>
      <c r="N13" s="679"/>
      <c r="O13" s="679"/>
    </row>
    <row r="14" spans="1:15">
      <c r="A14" s="659"/>
      <c r="B14" s="676"/>
      <c r="C14" s="677"/>
      <c r="D14" s="678"/>
      <c r="E14" s="659"/>
      <c r="F14" s="1191"/>
      <c r="G14" s="1192"/>
      <c r="H14" s="679"/>
      <c r="I14" s="679"/>
      <c r="J14" s="679"/>
      <c r="K14" s="679"/>
      <c r="L14" s="679"/>
      <c r="N14" s="679"/>
      <c r="O14" s="679"/>
    </row>
    <row r="15" spans="1:15">
      <c r="A15" s="659"/>
      <c r="B15" s="680" t="s">
        <v>331</v>
      </c>
      <c r="C15" s="264" t="s">
        <v>821</v>
      </c>
      <c r="D15" s="678"/>
      <c r="E15" s="659"/>
      <c r="F15" s="1191"/>
      <c r="G15" s="1192"/>
      <c r="H15" s="679"/>
      <c r="I15" s="679"/>
      <c r="J15" s="679"/>
      <c r="K15" s="679"/>
      <c r="L15" s="679"/>
      <c r="N15" s="679"/>
      <c r="O15" s="679"/>
    </row>
    <row r="16" spans="1:15">
      <c r="A16" s="659"/>
      <c r="B16" s="676"/>
      <c r="C16" s="677"/>
      <c r="D16" s="678"/>
      <c r="E16" s="659"/>
      <c r="F16" s="1191"/>
      <c r="G16" s="1192"/>
      <c r="H16" s="679"/>
      <c r="I16" s="679"/>
      <c r="J16" s="679"/>
      <c r="K16" s="679"/>
      <c r="L16" s="679"/>
      <c r="N16" s="679"/>
      <c r="O16" s="679"/>
    </row>
    <row r="17" spans="1:15" ht="25.5">
      <c r="A17" s="659" t="s">
        <v>822</v>
      </c>
      <c r="B17" s="680" t="s">
        <v>823</v>
      </c>
      <c r="C17" s="667" t="s">
        <v>824</v>
      </c>
      <c r="D17" s="659" t="s">
        <v>825</v>
      </c>
      <c r="E17" s="682">
        <f>_xlfn.CEILING.MATH(10567.516+(20%*10567.516),1)</f>
        <v>12682</v>
      </c>
      <c r="F17" s="1195"/>
      <c r="G17" s="1195"/>
      <c r="H17" s="679"/>
      <c r="I17" s="679"/>
      <c r="J17" s="679"/>
      <c r="K17" s="679"/>
      <c r="L17" s="679"/>
      <c r="N17" s="679"/>
      <c r="O17" s="679"/>
    </row>
    <row r="18" spans="1:15">
      <c r="A18" s="659"/>
      <c r="B18" s="676"/>
      <c r="C18" s="677"/>
      <c r="D18" s="678"/>
      <c r="E18" s="659"/>
      <c r="F18" s="1191"/>
      <c r="G18" s="1192"/>
      <c r="H18" s="679"/>
      <c r="I18" s="679"/>
      <c r="J18" s="679"/>
      <c r="K18" s="679"/>
      <c r="L18" s="679"/>
      <c r="N18" s="679"/>
      <c r="O18" s="679"/>
    </row>
    <row r="19" spans="1:15">
      <c r="A19" s="659"/>
      <c r="B19" s="680" t="s">
        <v>826</v>
      </c>
      <c r="C19" s="264" t="s">
        <v>827</v>
      </c>
      <c r="D19" s="678"/>
      <c r="E19" s="659"/>
      <c r="F19" s="1191"/>
      <c r="G19" s="1192"/>
      <c r="H19" s="679"/>
      <c r="I19" s="679"/>
      <c r="J19" s="679"/>
      <c r="K19" s="679"/>
      <c r="L19" s="679"/>
      <c r="N19" s="679"/>
      <c r="O19" s="679"/>
    </row>
    <row r="20" spans="1:15">
      <c r="A20" s="659"/>
      <c r="B20" s="676"/>
      <c r="C20" s="677"/>
      <c r="D20" s="678"/>
      <c r="E20" s="659"/>
      <c r="F20" s="1191"/>
      <c r="G20" s="1192"/>
      <c r="H20" s="679"/>
      <c r="I20" s="679"/>
      <c r="J20" s="679"/>
      <c r="K20" s="679"/>
      <c r="L20" s="679"/>
      <c r="N20" s="679"/>
      <c r="O20" s="679"/>
    </row>
    <row r="21" spans="1:15" ht="25.5">
      <c r="A21" s="659"/>
      <c r="B21" s="665" t="s">
        <v>828</v>
      </c>
      <c r="C21" s="264" t="s">
        <v>829</v>
      </c>
      <c r="D21" s="678"/>
      <c r="E21" s="683"/>
      <c r="F21" s="1191"/>
      <c r="G21" s="1192"/>
      <c r="H21" s="679"/>
      <c r="I21" s="679"/>
      <c r="J21" s="679"/>
      <c r="K21" s="679"/>
      <c r="L21" s="679"/>
      <c r="N21" s="679"/>
      <c r="O21" s="679"/>
    </row>
    <row r="22" spans="1:15">
      <c r="A22" s="659"/>
      <c r="B22" s="676"/>
      <c r="C22" s="667"/>
      <c r="D22" s="678"/>
      <c r="E22" s="683"/>
      <c r="F22" s="1191"/>
      <c r="G22" s="1192"/>
      <c r="H22" s="679"/>
      <c r="I22" s="679"/>
      <c r="J22" s="679"/>
      <c r="K22" s="679"/>
      <c r="L22" s="679"/>
      <c r="N22" s="679"/>
      <c r="O22" s="679"/>
    </row>
    <row r="23" spans="1:15" s="255" customFormat="1" ht="25.5">
      <c r="A23" s="331" t="s">
        <v>830</v>
      </c>
      <c r="B23" s="563"/>
      <c r="C23" s="411" t="s">
        <v>831</v>
      </c>
      <c r="D23" s="331" t="s">
        <v>574</v>
      </c>
      <c r="E23" s="637">
        <v>2560</v>
      </c>
      <c r="F23" s="1195"/>
      <c r="G23" s="1195"/>
      <c r="H23" s="255" t="s">
        <v>832</v>
      </c>
      <c r="N23" s="265"/>
    </row>
    <row r="24" spans="1:15" s="255" customFormat="1">
      <c r="A24" s="331"/>
      <c r="B24" s="563"/>
      <c r="C24" s="411"/>
      <c r="D24" s="638"/>
      <c r="E24" s="639"/>
      <c r="F24" s="1196"/>
      <c r="G24" s="1197"/>
    </row>
    <row r="25" spans="1:15" s="255" customFormat="1">
      <c r="A25" s="331" t="s">
        <v>833</v>
      </c>
      <c r="B25" s="563"/>
      <c r="C25" s="411" t="s">
        <v>834</v>
      </c>
      <c r="D25" s="331" t="s">
        <v>574</v>
      </c>
      <c r="E25" s="637">
        <v>250</v>
      </c>
      <c r="F25" s="1195"/>
      <c r="G25" s="1195"/>
      <c r="N25" s="265"/>
      <c r="O25" s="265"/>
    </row>
    <row r="26" spans="1:15">
      <c r="A26" s="659"/>
      <c r="B26" s="676"/>
      <c r="C26" s="667"/>
      <c r="D26" s="659"/>
      <c r="E26" s="683"/>
      <c r="F26" s="1191"/>
      <c r="G26" s="1192"/>
      <c r="H26" s="679"/>
      <c r="I26" s="679"/>
      <c r="J26" s="679"/>
      <c r="K26" s="679"/>
      <c r="L26" s="679"/>
      <c r="N26" s="684"/>
      <c r="O26" s="684"/>
    </row>
    <row r="27" spans="1:15" ht="28.9" customHeight="1">
      <c r="A27" s="659" t="s">
        <v>835</v>
      </c>
      <c r="B27" s="676"/>
      <c r="C27" s="667" t="s">
        <v>836</v>
      </c>
      <c r="D27" s="659" t="s">
        <v>574</v>
      </c>
      <c r="E27" s="682">
        <f>_xlfn.CEILING.MATH((0.3*E23)+(0.2*E25),5)</f>
        <v>820</v>
      </c>
      <c r="F27" s="1195"/>
      <c r="G27" s="1195"/>
      <c r="H27" s="679"/>
      <c r="I27" s="679"/>
      <c r="J27" s="679"/>
      <c r="K27" s="679"/>
      <c r="L27" s="679"/>
      <c r="N27" s="684"/>
      <c r="O27" s="684"/>
    </row>
    <row r="28" spans="1:15">
      <c r="A28" s="659"/>
      <c r="B28" s="676"/>
      <c r="C28" s="667"/>
      <c r="D28" s="659"/>
      <c r="E28" s="683"/>
      <c r="F28" s="1191"/>
      <c r="G28" s="1192"/>
      <c r="H28" s="679"/>
      <c r="I28" s="679"/>
      <c r="J28" s="679"/>
      <c r="K28" s="679"/>
      <c r="L28" s="679"/>
      <c r="N28" s="679"/>
      <c r="O28" s="679"/>
    </row>
    <row r="29" spans="1:15">
      <c r="A29" s="659"/>
      <c r="B29" s="680" t="s">
        <v>837</v>
      </c>
      <c r="C29" s="264" t="s">
        <v>838</v>
      </c>
      <c r="D29" s="678"/>
      <c r="E29" s="659"/>
      <c r="F29" s="1191"/>
      <c r="G29" s="1192"/>
      <c r="H29" s="679"/>
      <c r="I29" s="679"/>
      <c r="J29" s="679"/>
      <c r="K29" s="679"/>
      <c r="L29" s="679"/>
      <c r="N29" s="679"/>
      <c r="O29" s="679"/>
    </row>
    <row r="30" spans="1:15">
      <c r="A30" s="659"/>
      <c r="B30" s="676"/>
      <c r="C30" s="677"/>
      <c r="D30" s="678"/>
      <c r="E30" s="659"/>
      <c r="F30" s="1191"/>
      <c r="G30" s="1192"/>
      <c r="H30" s="679" t="s">
        <v>617</v>
      </c>
      <c r="I30" s="679"/>
      <c r="J30" s="679"/>
      <c r="K30" s="679"/>
      <c r="L30" s="679"/>
      <c r="N30" s="679"/>
      <c r="O30" s="679"/>
    </row>
    <row r="31" spans="1:15">
      <c r="A31" s="659" t="s">
        <v>839</v>
      </c>
      <c r="B31" s="676"/>
      <c r="C31" s="667" t="s">
        <v>840</v>
      </c>
      <c r="D31" s="659" t="s">
        <v>574</v>
      </c>
      <c r="E31" s="659">
        <f>CEILING((E23+E25)*0.6,1)</f>
        <v>1686</v>
      </c>
      <c r="F31" s="1191"/>
      <c r="G31" s="1195"/>
      <c r="H31" s="679"/>
      <c r="I31" s="679"/>
      <c r="J31" s="679"/>
      <c r="K31" s="679"/>
      <c r="L31" s="679"/>
      <c r="M31" s="265"/>
      <c r="N31" s="679"/>
      <c r="O31" s="679"/>
    </row>
    <row r="32" spans="1:15">
      <c r="A32" s="659"/>
      <c r="B32" s="676"/>
      <c r="C32" s="667"/>
      <c r="D32" s="659"/>
      <c r="E32" s="659"/>
      <c r="F32" s="1191"/>
      <c r="G32" s="1192"/>
      <c r="H32" s="679"/>
      <c r="I32" s="679"/>
      <c r="J32" s="679"/>
      <c r="K32" s="679"/>
      <c r="L32" s="679"/>
      <c r="M32" s="265"/>
      <c r="N32" s="679"/>
      <c r="O32" s="679"/>
    </row>
    <row r="33" spans="1:13">
      <c r="A33" s="659" t="s">
        <v>841</v>
      </c>
      <c r="B33" s="676"/>
      <c r="C33" s="667" t="s">
        <v>842</v>
      </c>
      <c r="D33" s="659" t="s">
        <v>574</v>
      </c>
      <c r="E33" s="659">
        <f>_xlfn.CEILING.MATH((E23+E25)*0.3,1)</f>
        <v>843</v>
      </c>
      <c r="F33" s="1191"/>
      <c r="G33" s="1195"/>
      <c r="H33" s="679"/>
      <c r="I33" s="679"/>
      <c r="J33" s="679"/>
      <c r="K33" s="679"/>
      <c r="L33" s="679"/>
      <c r="M33" s="265"/>
    </row>
    <row r="34" spans="1:13">
      <c r="A34" s="659"/>
      <c r="B34" s="676"/>
      <c r="C34" s="667"/>
      <c r="D34" s="659"/>
      <c r="E34" s="659"/>
      <c r="F34" s="1191"/>
      <c r="G34" s="1192"/>
      <c r="H34" s="679"/>
      <c r="I34" s="679"/>
      <c r="J34" s="679"/>
      <c r="K34" s="679"/>
      <c r="L34" s="679"/>
      <c r="M34" s="265"/>
    </row>
    <row r="35" spans="1:13">
      <c r="A35" s="659" t="s">
        <v>843</v>
      </c>
      <c r="B35" s="665" t="s">
        <v>844</v>
      </c>
      <c r="C35" s="667" t="s">
        <v>845</v>
      </c>
      <c r="D35" s="659" t="s">
        <v>846</v>
      </c>
      <c r="E35" s="659">
        <v>200</v>
      </c>
      <c r="F35" s="1191"/>
      <c r="G35" s="1195"/>
      <c r="H35" s="679"/>
      <c r="I35" s="679"/>
      <c r="J35" s="679"/>
      <c r="K35" s="679"/>
      <c r="L35" s="679"/>
      <c r="M35" s="265"/>
    </row>
    <row r="36" spans="1:13">
      <c r="A36" s="659"/>
      <c r="B36" s="665"/>
      <c r="C36" s="667"/>
      <c r="D36" s="659"/>
      <c r="E36" s="659"/>
      <c r="F36" s="1191"/>
      <c r="G36" s="1192"/>
      <c r="H36" s="679"/>
      <c r="I36" s="679"/>
      <c r="J36" s="679"/>
      <c r="K36" s="679"/>
      <c r="L36" s="679"/>
      <c r="M36" s="265"/>
    </row>
    <row r="37" spans="1:13" s="249" customFormat="1">
      <c r="A37" s="659"/>
      <c r="B37" s="561" t="s">
        <v>847</v>
      </c>
      <c r="C37" s="264" t="s">
        <v>848</v>
      </c>
      <c r="D37" s="262"/>
      <c r="E37" s="262"/>
      <c r="F37" s="1198"/>
      <c r="G37" s="1199"/>
      <c r="M37" s="256"/>
    </row>
    <row r="38" spans="1:13">
      <c r="A38" s="659"/>
      <c r="B38" s="680"/>
      <c r="C38" s="667"/>
      <c r="D38" s="659"/>
      <c r="E38" s="659"/>
      <c r="F38" s="1200"/>
      <c r="G38" s="1201"/>
      <c r="H38" s="679" t="s">
        <v>849</v>
      </c>
      <c r="I38" s="679"/>
      <c r="J38" s="679"/>
      <c r="K38" s="679"/>
      <c r="L38" s="679"/>
    </row>
    <row r="39" spans="1:13">
      <c r="A39" s="685"/>
      <c r="B39" s="686"/>
      <c r="C39" s="268" t="s">
        <v>850</v>
      </c>
      <c r="D39" s="687"/>
      <c r="E39" s="659"/>
      <c r="F39" s="1200"/>
      <c r="G39" s="1201"/>
      <c r="H39" s="679">
        <f>1.987*(0.6+0.11)*30</f>
        <v>42.323100000000004</v>
      </c>
      <c r="I39" s="679"/>
      <c r="J39" s="679"/>
      <c r="K39" s="679"/>
      <c r="L39" s="679"/>
    </row>
    <row r="40" spans="1:13">
      <c r="A40" s="685"/>
      <c r="B40" s="688"/>
      <c r="C40" s="689"/>
      <c r="D40" s="687"/>
      <c r="E40" s="659"/>
      <c r="F40" s="1200"/>
      <c r="G40" s="1201"/>
      <c r="H40" s="679"/>
      <c r="I40" s="679"/>
      <c r="J40" s="679"/>
      <c r="K40" s="679"/>
      <c r="L40" s="679"/>
    </row>
    <row r="41" spans="1:13">
      <c r="A41" s="640" t="s">
        <v>851</v>
      </c>
      <c r="B41" s="570" t="s">
        <v>852</v>
      </c>
      <c r="C41" s="641" t="s">
        <v>853</v>
      </c>
      <c r="D41" s="331" t="s">
        <v>825</v>
      </c>
      <c r="E41" s="331">
        <f>_xlfn.CEILING.MATH(10000-1034-213-34-3382.4-11.7-22-13.7,1)</f>
        <v>5290</v>
      </c>
      <c r="F41" s="1202"/>
      <c r="G41" s="1195"/>
      <c r="H41" s="679"/>
      <c r="I41" s="679"/>
      <c r="J41" s="679"/>
      <c r="K41" s="679"/>
      <c r="L41" s="679"/>
    </row>
    <row r="42" spans="1:13">
      <c r="A42" s="685"/>
      <c r="B42" s="688"/>
      <c r="C42" s="690"/>
      <c r="D42" s="687"/>
      <c r="E42" s="659"/>
      <c r="F42" s="1200"/>
      <c r="G42" s="1201"/>
      <c r="H42" s="679"/>
      <c r="I42" s="679"/>
      <c r="J42" s="679"/>
      <c r="K42" s="679"/>
      <c r="L42" s="679"/>
    </row>
    <row r="43" spans="1:13" ht="28.15" customHeight="1">
      <c r="A43" s="685"/>
      <c r="B43" s="686"/>
      <c r="C43" s="269" t="s">
        <v>854</v>
      </c>
      <c r="D43" s="659"/>
      <c r="E43" s="659"/>
      <c r="F43" s="1200"/>
      <c r="G43" s="1201"/>
      <c r="H43" s="679"/>
      <c r="I43" s="679"/>
      <c r="J43" s="679"/>
      <c r="K43" s="679"/>
      <c r="L43" s="679"/>
    </row>
    <row r="44" spans="1:13">
      <c r="A44" s="685"/>
      <c r="B44" s="686"/>
      <c r="C44" s="268"/>
      <c r="D44" s="659"/>
      <c r="E44" s="659"/>
      <c r="F44" s="1200"/>
      <c r="G44" s="1201"/>
      <c r="H44" s="679"/>
      <c r="I44" s="679"/>
      <c r="J44" s="679"/>
      <c r="K44" s="679"/>
      <c r="L44" s="679"/>
    </row>
    <row r="45" spans="1:13">
      <c r="A45" s="685" t="s">
        <v>855</v>
      </c>
      <c r="B45" s="688" t="s">
        <v>856</v>
      </c>
      <c r="C45" s="690" t="s">
        <v>857</v>
      </c>
      <c r="D45" s="659" t="s">
        <v>825</v>
      </c>
      <c r="E45" s="681">
        <f>E41*0.2</f>
        <v>1058</v>
      </c>
      <c r="F45" s="1200"/>
      <c r="G45" s="1195"/>
      <c r="H45" s="679"/>
      <c r="I45" s="679"/>
      <c r="J45" s="679"/>
      <c r="K45" s="679"/>
      <c r="L45" s="679"/>
      <c r="M45" s="267"/>
    </row>
    <row r="46" spans="1:13">
      <c r="A46" s="659"/>
      <c r="B46" s="680"/>
      <c r="C46" s="691"/>
      <c r="D46" s="659"/>
      <c r="E46" s="659"/>
      <c r="F46" s="1200"/>
      <c r="G46" s="1201"/>
      <c r="H46" s="679"/>
      <c r="I46" s="679"/>
      <c r="J46" s="679"/>
      <c r="K46" s="679"/>
      <c r="L46" s="679"/>
    </row>
    <row r="47" spans="1:13">
      <c r="A47" s="659"/>
      <c r="B47" s="688" t="s">
        <v>858</v>
      </c>
      <c r="C47" s="270" t="s">
        <v>859</v>
      </c>
      <c r="D47" s="659"/>
      <c r="E47" s="659"/>
      <c r="F47" s="1200"/>
      <c r="G47" s="1201"/>
      <c r="H47" s="679"/>
      <c r="I47" s="679"/>
      <c r="J47" s="679"/>
      <c r="K47" s="679"/>
      <c r="L47" s="679"/>
    </row>
    <row r="48" spans="1:13">
      <c r="A48" s="659"/>
      <c r="B48" s="680"/>
      <c r="C48" s="691"/>
      <c r="D48" s="659"/>
      <c r="E48" s="659"/>
      <c r="F48" s="1200"/>
      <c r="G48" s="1201"/>
      <c r="H48" s="679"/>
      <c r="I48" s="679"/>
      <c r="J48" s="679"/>
      <c r="K48" s="679"/>
      <c r="L48" s="679"/>
    </row>
    <row r="49" spans="1:13">
      <c r="A49" s="659" t="s">
        <v>860</v>
      </c>
      <c r="B49" s="688"/>
      <c r="C49" s="690" t="s">
        <v>861</v>
      </c>
      <c r="D49" s="659" t="s">
        <v>825</v>
      </c>
      <c r="E49" s="681">
        <f>E41*0.1</f>
        <v>529</v>
      </c>
      <c r="F49" s="1200"/>
      <c r="G49" s="1195"/>
      <c r="H49" s="679"/>
      <c r="I49" s="679"/>
      <c r="J49" s="679"/>
      <c r="K49" s="679"/>
      <c r="L49" s="679"/>
      <c r="M49" s="267"/>
    </row>
    <row r="50" spans="1:13">
      <c r="A50" s="659"/>
      <c r="B50" s="680"/>
      <c r="C50" s="691"/>
      <c r="D50" s="659"/>
      <c r="E50" s="659"/>
      <c r="F50" s="1200"/>
      <c r="G50" s="1201"/>
      <c r="H50" s="679"/>
      <c r="I50" s="679"/>
      <c r="J50" s="679"/>
      <c r="K50" s="679"/>
      <c r="L50" s="679"/>
    </row>
    <row r="51" spans="1:13">
      <c r="A51" s="659" t="s">
        <v>862</v>
      </c>
      <c r="B51" s="688"/>
      <c r="C51" s="692" t="s">
        <v>863</v>
      </c>
      <c r="D51" s="659" t="s">
        <v>825</v>
      </c>
      <c r="E51" s="681">
        <f>E41</f>
        <v>5290</v>
      </c>
      <c r="F51" s="1200"/>
      <c r="G51" s="1195"/>
      <c r="H51" s="679"/>
      <c r="I51" s="679"/>
      <c r="J51" s="679"/>
      <c r="K51" s="679"/>
      <c r="L51" s="679"/>
    </row>
    <row r="52" spans="1:13">
      <c r="A52" s="659"/>
      <c r="B52" s="680"/>
      <c r="C52" s="691"/>
      <c r="D52" s="659"/>
      <c r="E52" s="659"/>
      <c r="F52" s="1200"/>
      <c r="G52" s="1201"/>
      <c r="H52" s="679"/>
      <c r="I52" s="679"/>
      <c r="J52" s="679"/>
      <c r="K52" s="679"/>
      <c r="L52" s="679"/>
    </row>
    <row r="53" spans="1:13" ht="15">
      <c r="A53" s="659"/>
      <c r="B53" s="688" t="s">
        <v>864</v>
      </c>
      <c r="C53" s="271" t="s">
        <v>865</v>
      </c>
      <c r="D53" s="659"/>
      <c r="E53" s="659"/>
      <c r="F53" s="1200"/>
      <c r="G53" s="1201"/>
      <c r="H53" s="679"/>
      <c r="I53" s="679"/>
      <c r="J53" s="679"/>
      <c r="K53" s="679"/>
      <c r="L53" s="679"/>
    </row>
    <row r="54" spans="1:13">
      <c r="A54" s="659"/>
      <c r="B54" s="693"/>
      <c r="C54" s="691"/>
      <c r="D54" s="659"/>
      <c r="E54" s="659"/>
      <c r="F54" s="1200"/>
      <c r="G54" s="1201"/>
      <c r="H54" s="679"/>
      <c r="I54" s="679"/>
      <c r="J54" s="679"/>
      <c r="K54" s="679"/>
      <c r="L54" s="679"/>
    </row>
    <row r="55" spans="1:13">
      <c r="A55" s="659" t="s">
        <v>866</v>
      </c>
      <c r="B55" s="686"/>
      <c r="C55" s="690" t="s">
        <v>867</v>
      </c>
      <c r="D55" s="659" t="s">
        <v>868</v>
      </c>
      <c r="E55" s="694">
        <f>(50*E51)/1000</f>
        <v>264.5</v>
      </c>
      <c r="F55" s="1200"/>
      <c r="G55" s="1201"/>
      <c r="H55" s="679"/>
      <c r="I55" s="679"/>
      <c r="J55" s="679"/>
      <c r="K55" s="679"/>
      <c r="L55" s="679"/>
    </row>
    <row r="56" spans="1:13">
      <c r="A56" s="659"/>
      <c r="B56" s="680"/>
      <c r="C56" s="691"/>
      <c r="D56" s="659"/>
      <c r="E56" s="659"/>
      <c r="F56" s="1200"/>
      <c r="G56" s="1201"/>
      <c r="H56" s="679"/>
      <c r="I56" s="679"/>
      <c r="J56" s="679"/>
      <c r="K56" s="679"/>
      <c r="L56" s="679"/>
    </row>
    <row r="57" spans="1:13">
      <c r="A57" s="659"/>
      <c r="B57" s="686" t="s">
        <v>869</v>
      </c>
      <c r="C57" s="272" t="s">
        <v>870</v>
      </c>
      <c r="D57" s="659"/>
      <c r="E57" s="659"/>
      <c r="F57" s="1200"/>
      <c r="G57" s="1201"/>
      <c r="H57" s="679"/>
      <c r="I57" s="679"/>
      <c r="J57" s="679"/>
      <c r="K57" s="679"/>
      <c r="L57" s="679"/>
    </row>
    <row r="58" spans="1:13">
      <c r="A58" s="659"/>
      <c r="B58" s="686"/>
      <c r="C58" s="695"/>
      <c r="D58" s="659"/>
      <c r="E58" s="659"/>
      <c r="F58" s="1200"/>
      <c r="G58" s="1201"/>
      <c r="H58" s="679"/>
      <c r="I58" s="679"/>
      <c r="J58" s="679"/>
      <c r="K58" s="679"/>
      <c r="L58" s="679"/>
    </row>
    <row r="59" spans="1:13">
      <c r="A59" s="659" t="s">
        <v>871</v>
      </c>
      <c r="B59" s="686" t="s">
        <v>872</v>
      </c>
      <c r="C59" s="695" t="s">
        <v>873</v>
      </c>
      <c r="D59" s="659" t="s">
        <v>825</v>
      </c>
      <c r="E59" s="659">
        <f>E41*0.3</f>
        <v>1587</v>
      </c>
      <c r="F59" s="1200"/>
      <c r="G59" s="1201"/>
      <c r="H59" s="679"/>
      <c r="I59" s="679"/>
      <c r="J59" s="679"/>
      <c r="K59" s="679"/>
      <c r="L59" s="679"/>
      <c r="M59" s="273"/>
    </row>
    <row r="60" spans="1:13">
      <c r="A60" s="659"/>
      <c r="B60" s="676"/>
      <c r="C60" s="667"/>
      <c r="D60" s="659"/>
      <c r="E60" s="659"/>
      <c r="F60" s="1191"/>
      <c r="G60" s="1192"/>
      <c r="H60" s="679"/>
      <c r="I60" s="679"/>
      <c r="J60" s="679"/>
      <c r="K60" s="679"/>
      <c r="L60" s="679"/>
      <c r="M60" s="265"/>
    </row>
    <row r="61" spans="1:13">
      <c r="A61" s="659" t="s">
        <v>874</v>
      </c>
      <c r="B61" s="686" t="s">
        <v>875</v>
      </c>
      <c r="C61" s="695" t="s">
        <v>876</v>
      </c>
      <c r="D61" s="659" t="s">
        <v>825</v>
      </c>
      <c r="E61" s="681">
        <f>E41*0.15</f>
        <v>793.5</v>
      </c>
      <c r="F61" s="1200"/>
      <c r="G61" s="1201"/>
      <c r="H61" s="679"/>
      <c r="I61" s="679"/>
      <c r="J61" s="679"/>
      <c r="K61" s="679"/>
      <c r="L61" s="679"/>
      <c r="M61" s="267"/>
    </row>
    <row r="62" spans="1:13">
      <c r="A62" s="659"/>
      <c r="B62" s="686"/>
      <c r="C62" s="695"/>
      <c r="D62" s="659"/>
      <c r="E62" s="694"/>
      <c r="F62" s="1200"/>
      <c r="G62" s="1201"/>
      <c r="H62" s="679"/>
      <c r="I62" s="679"/>
      <c r="J62" s="679"/>
      <c r="K62" s="679"/>
      <c r="L62" s="679"/>
      <c r="M62" s="267"/>
    </row>
    <row r="63" spans="1:13">
      <c r="A63" s="659" t="s">
        <v>877</v>
      </c>
      <c r="B63" s="686" t="s">
        <v>878</v>
      </c>
      <c r="C63" s="695" t="s">
        <v>879</v>
      </c>
      <c r="D63" s="659" t="s">
        <v>825</v>
      </c>
      <c r="E63" s="681">
        <f>E41*0.25</f>
        <v>1322.5</v>
      </c>
      <c r="F63" s="1200"/>
      <c r="G63" s="1201"/>
      <c r="H63" s="679"/>
      <c r="I63" s="679"/>
      <c r="J63" s="679"/>
      <c r="K63" s="679"/>
      <c r="L63" s="679"/>
    </row>
    <row r="64" spans="1:13">
      <c r="A64" s="659"/>
      <c r="B64" s="686"/>
      <c r="C64" s="695"/>
      <c r="D64" s="659"/>
      <c r="E64" s="681"/>
      <c r="F64" s="1200"/>
      <c r="G64" s="1201"/>
      <c r="H64" s="679"/>
      <c r="I64" s="679"/>
      <c r="J64" s="679"/>
      <c r="K64" s="679"/>
      <c r="L64" s="679"/>
    </row>
    <row r="65" spans="1:12">
      <c r="A65" s="659" t="s">
        <v>880</v>
      </c>
      <c r="B65" s="686" t="s">
        <v>881</v>
      </c>
      <c r="C65" s="695" t="s">
        <v>882</v>
      </c>
      <c r="D65" s="659" t="s">
        <v>357</v>
      </c>
      <c r="E65" s="681">
        <v>1</v>
      </c>
      <c r="F65" s="1447">
        <v>50000</v>
      </c>
      <c r="G65" s="1201"/>
      <c r="H65" s="679"/>
      <c r="I65" s="679"/>
      <c r="J65" s="679"/>
      <c r="K65" s="679"/>
      <c r="L65" s="679"/>
    </row>
    <row r="66" spans="1:12">
      <c r="A66" s="659"/>
      <c r="B66" s="686"/>
      <c r="C66" s="695"/>
      <c r="D66" s="659"/>
      <c r="E66" s="681"/>
      <c r="F66" s="1200"/>
      <c r="G66" s="1201"/>
      <c r="H66" s="679"/>
      <c r="I66" s="679"/>
      <c r="J66" s="679"/>
      <c r="K66" s="679"/>
      <c r="L66" s="679"/>
    </row>
    <row r="67" spans="1:12">
      <c r="A67" s="659"/>
      <c r="B67" s="686"/>
      <c r="C67" s="695"/>
      <c r="D67" s="659"/>
      <c r="E67" s="681"/>
      <c r="F67" s="1200"/>
      <c r="G67" s="1201"/>
      <c r="H67" s="679"/>
      <c r="I67" s="679"/>
      <c r="J67" s="679"/>
      <c r="K67" s="679"/>
      <c r="L67" s="679"/>
    </row>
    <row r="68" spans="1:12">
      <c r="A68" s="659"/>
      <c r="B68" s="686"/>
      <c r="C68" s="695"/>
      <c r="D68" s="659"/>
      <c r="E68" s="681"/>
      <c r="F68" s="1200"/>
      <c r="G68" s="1201"/>
      <c r="H68" s="679"/>
      <c r="I68" s="679"/>
      <c r="J68" s="679"/>
      <c r="K68" s="679"/>
      <c r="L68" s="679"/>
    </row>
    <row r="69" spans="1:12">
      <c r="A69" s="659"/>
      <c r="B69" s="686"/>
      <c r="C69" s="695"/>
      <c r="D69" s="659"/>
      <c r="E69" s="681"/>
      <c r="F69" s="1200"/>
      <c r="G69" s="1201"/>
      <c r="H69" s="679"/>
      <c r="I69" s="679"/>
      <c r="J69" s="679"/>
      <c r="K69" s="679"/>
      <c r="L69" s="679"/>
    </row>
    <row r="70" spans="1:12">
      <c r="A70" s="659"/>
      <c r="B70" s="686"/>
      <c r="C70" s="695"/>
      <c r="D70" s="659"/>
      <c r="E70" s="681"/>
      <c r="F70" s="1200"/>
      <c r="G70" s="1201"/>
      <c r="H70" s="679"/>
      <c r="I70" s="679"/>
      <c r="J70" s="679"/>
      <c r="K70" s="679"/>
      <c r="L70" s="679"/>
    </row>
    <row r="71" spans="1:12">
      <c r="A71" s="659"/>
      <c r="B71" s="686"/>
      <c r="C71" s="695"/>
      <c r="D71" s="659"/>
      <c r="E71" s="681"/>
      <c r="F71" s="1200"/>
      <c r="G71" s="1201"/>
      <c r="H71" s="679"/>
      <c r="I71" s="679"/>
      <c r="J71" s="679"/>
      <c r="K71" s="679"/>
      <c r="L71" s="679"/>
    </row>
    <row r="72" spans="1:12">
      <c r="A72" s="659"/>
      <c r="B72" s="686"/>
      <c r="C72" s="695"/>
      <c r="D72" s="659"/>
      <c r="E72" s="681"/>
      <c r="F72" s="1200"/>
      <c r="G72" s="1201"/>
      <c r="H72" s="679"/>
      <c r="I72" s="679"/>
      <c r="J72" s="679"/>
      <c r="K72" s="679"/>
      <c r="L72" s="679"/>
    </row>
    <row r="73" spans="1:12">
      <c r="A73" s="659"/>
      <c r="B73" s="686"/>
      <c r="C73" s="695"/>
      <c r="D73" s="659"/>
      <c r="E73" s="681"/>
      <c r="F73" s="1200"/>
      <c r="G73" s="1201"/>
      <c r="H73" s="679"/>
      <c r="I73" s="679"/>
      <c r="J73" s="679"/>
      <c r="K73" s="679"/>
      <c r="L73" s="679"/>
    </row>
    <row r="74" spans="1:12">
      <c r="A74" s="659"/>
      <c r="B74" s="686"/>
      <c r="C74" s="695"/>
      <c r="D74" s="659"/>
      <c r="E74" s="681"/>
      <c r="F74" s="1200"/>
      <c r="G74" s="1201"/>
      <c r="H74" s="679"/>
      <c r="I74" s="679"/>
      <c r="J74" s="679"/>
      <c r="K74" s="679"/>
      <c r="L74" s="679"/>
    </row>
    <row r="75" spans="1:12">
      <c r="A75" s="659"/>
      <c r="B75" s="686"/>
      <c r="C75" s="695"/>
      <c r="D75" s="659"/>
      <c r="E75" s="681"/>
      <c r="F75" s="1200"/>
      <c r="G75" s="1201"/>
      <c r="H75" s="679"/>
      <c r="I75" s="679"/>
      <c r="J75" s="679"/>
      <c r="K75" s="679"/>
      <c r="L75" s="679"/>
    </row>
    <row r="76" spans="1:12">
      <c r="A76" s="659"/>
      <c r="B76" s="686"/>
      <c r="C76" s="695"/>
      <c r="D76" s="659"/>
      <c r="E76" s="681"/>
      <c r="F76" s="1200"/>
      <c r="G76" s="1201"/>
      <c r="H76" s="679"/>
      <c r="I76" s="679"/>
      <c r="J76" s="679"/>
      <c r="K76" s="679"/>
      <c r="L76" s="679"/>
    </row>
    <row r="77" spans="1:12">
      <c r="A77" s="659"/>
      <c r="B77" s="686"/>
      <c r="C77" s="695"/>
      <c r="D77" s="659"/>
      <c r="E77" s="681"/>
      <c r="F77" s="1200"/>
      <c r="G77" s="1201"/>
      <c r="H77" s="679"/>
      <c r="I77" s="679"/>
      <c r="J77" s="679"/>
      <c r="K77" s="679"/>
      <c r="L77" s="679"/>
    </row>
    <row r="78" spans="1:12">
      <c r="A78" s="659"/>
      <c r="B78" s="686"/>
      <c r="C78" s="695"/>
      <c r="D78" s="659"/>
      <c r="E78" s="681"/>
      <c r="F78" s="1200"/>
      <c r="G78" s="1201"/>
      <c r="H78" s="679"/>
      <c r="I78" s="679"/>
      <c r="J78" s="679"/>
      <c r="K78" s="679"/>
      <c r="L78" s="679"/>
    </row>
    <row r="79" spans="1:12" ht="15" customHeight="1">
      <c r="A79" s="1539" t="s">
        <v>96</v>
      </c>
      <c r="B79" s="1540"/>
      <c r="C79" s="1540"/>
      <c r="D79" s="1540"/>
      <c r="E79" s="1540"/>
      <c r="F79" s="1514"/>
      <c r="G79" s="1514"/>
      <c r="H79" s="679"/>
      <c r="I79" s="679"/>
      <c r="J79" s="679"/>
      <c r="K79" s="679"/>
      <c r="L79" s="679"/>
    </row>
    <row r="80" spans="1:12">
      <c r="A80" s="1541"/>
      <c r="B80" s="1542"/>
      <c r="C80" s="1542"/>
      <c r="D80" s="1542"/>
      <c r="E80" s="1542"/>
      <c r="F80" s="1514"/>
      <c r="G80" s="1514"/>
      <c r="H80" s="679"/>
      <c r="I80" s="679"/>
      <c r="J80" s="679"/>
      <c r="K80" s="679"/>
      <c r="L80" s="679"/>
    </row>
    <row r="81" spans="1:13">
      <c r="A81" s="696"/>
      <c r="B81" s="697"/>
      <c r="C81" s="698" t="s">
        <v>220</v>
      </c>
      <c r="D81" s="696"/>
      <c r="E81" s="697"/>
      <c r="F81" s="1203"/>
      <c r="G81" s="1203"/>
      <c r="H81" s="679"/>
      <c r="I81" s="679"/>
      <c r="J81" s="679"/>
      <c r="K81" s="679"/>
      <c r="L81" s="679"/>
    </row>
    <row r="82" spans="1:13">
      <c r="A82" s="659"/>
      <c r="B82" s="686"/>
      <c r="C82" s="695"/>
      <c r="D82" s="659"/>
      <c r="E82" s="694"/>
      <c r="F82" s="1200"/>
      <c r="G82" s="1201"/>
      <c r="H82" s="679"/>
      <c r="I82" s="679"/>
      <c r="J82" s="679"/>
      <c r="K82" s="679"/>
      <c r="L82" s="679"/>
      <c r="M82" s="267"/>
    </row>
    <row r="83" spans="1:13">
      <c r="A83" s="262">
        <v>2.2999999999999998</v>
      </c>
      <c r="B83" s="562" t="s">
        <v>883</v>
      </c>
      <c r="C83" s="264" t="s">
        <v>884</v>
      </c>
      <c r="D83" s="266"/>
      <c r="E83" s="262"/>
      <c r="F83" s="1204"/>
      <c r="G83" s="1199"/>
      <c r="H83" s="679">
        <f>0.97*(0.6+0.6)*15</f>
        <v>17.459999999999997</v>
      </c>
      <c r="I83" s="679"/>
      <c r="J83" s="679"/>
      <c r="K83" s="699" t="s">
        <v>885</v>
      </c>
      <c r="L83" s="679" t="e">
        <f>#REF!</f>
        <v>#REF!</v>
      </c>
    </row>
    <row r="84" spans="1:13">
      <c r="A84" s="659"/>
      <c r="B84" s="676"/>
      <c r="C84" s="677"/>
      <c r="D84" s="678"/>
      <c r="E84" s="659"/>
      <c r="F84" s="1191"/>
      <c r="G84" s="1201"/>
      <c r="H84" s="679">
        <f>1.245*(0.6+0.6)*35</f>
        <v>52.29</v>
      </c>
      <c r="I84" s="679"/>
      <c r="J84" s="679"/>
      <c r="K84" s="699" t="s">
        <v>886</v>
      </c>
      <c r="L84" s="679"/>
    </row>
    <row r="85" spans="1:13">
      <c r="A85" s="659"/>
      <c r="B85" s="676"/>
      <c r="C85" s="264" t="s">
        <v>887</v>
      </c>
      <c r="D85" s="678"/>
      <c r="E85" s="659"/>
      <c r="F85" s="1191"/>
      <c r="G85" s="1201"/>
      <c r="H85" s="679" t="s">
        <v>888</v>
      </c>
      <c r="I85" s="679"/>
      <c r="J85" s="679"/>
      <c r="K85" s="679"/>
      <c r="L85" s="679"/>
    </row>
    <row r="86" spans="1:13">
      <c r="A86" s="659"/>
      <c r="B86" s="676"/>
      <c r="C86" s="667"/>
      <c r="D86" s="678"/>
      <c r="E86" s="659"/>
      <c r="F86" s="1191"/>
      <c r="G86" s="1201"/>
      <c r="H86" s="679">
        <f>0.988*(0.6+0.45)*10</f>
        <v>10.374000000000001</v>
      </c>
      <c r="I86" s="679"/>
      <c r="J86" s="679"/>
      <c r="K86" s="679"/>
      <c r="L86" s="679"/>
    </row>
    <row r="87" spans="1:13">
      <c r="A87" s="659" t="s">
        <v>889</v>
      </c>
      <c r="B87" s="680" t="s">
        <v>890</v>
      </c>
      <c r="C87" s="667" t="s">
        <v>891</v>
      </c>
      <c r="D87" s="659" t="s">
        <v>818</v>
      </c>
      <c r="E87" s="659">
        <f>_xlfn.CEILING.MATH(414,5)</f>
        <v>415</v>
      </c>
      <c r="F87" s="1200"/>
      <c r="G87" s="1201"/>
      <c r="H87" s="679">
        <f>1.565*(0.6+0.45)*65</f>
        <v>106.81125</v>
      </c>
      <c r="I87" s="679"/>
      <c r="J87" s="679"/>
      <c r="K87" s="679"/>
      <c r="L87" s="679"/>
    </row>
    <row r="88" spans="1:13">
      <c r="A88" s="659"/>
      <c r="B88" s="680"/>
      <c r="C88" s="667"/>
      <c r="D88" s="659"/>
      <c r="E88" s="659"/>
      <c r="F88" s="1191"/>
      <c r="G88" s="1201"/>
      <c r="H88" s="679"/>
      <c r="I88" s="679"/>
      <c r="J88" s="679"/>
      <c r="K88" s="679"/>
      <c r="L88" s="679"/>
    </row>
    <row r="89" spans="1:13" ht="25.5">
      <c r="A89" s="659" t="s">
        <v>892</v>
      </c>
      <c r="B89" s="680"/>
      <c r="C89" s="667" t="s">
        <v>893</v>
      </c>
      <c r="D89" s="659" t="s">
        <v>574</v>
      </c>
      <c r="E89" s="659">
        <f>_xlfn.CEILING.MATH(414*0.6*0.2,1)</f>
        <v>50</v>
      </c>
      <c r="F89" s="1200"/>
      <c r="G89" s="1201"/>
      <c r="H89" s="679"/>
      <c r="I89" s="679"/>
      <c r="J89" s="679"/>
      <c r="K89" s="679"/>
      <c r="L89" s="679"/>
      <c r="M89" s="267"/>
    </row>
    <row r="90" spans="1:13">
      <c r="A90" s="659"/>
      <c r="B90" s="680"/>
      <c r="C90" s="677"/>
      <c r="D90" s="678"/>
      <c r="E90" s="659"/>
      <c r="F90" s="1191"/>
      <c r="G90" s="1201"/>
      <c r="H90" s="679">
        <f>2.324*(0.6+0.45)*35</f>
        <v>85.406999999999996</v>
      </c>
      <c r="I90" s="679"/>
      <c r="J90" s="679"/>
      <c r="K90" s="699" t="s">
        <v>885</v>
      </c>
      <c r="L90" s="679">
        <f>H90</f>
        <v>85.406999999999996</v>
      </c>
    </row>
    <row r="91" spans="1:13" ht="25.5">
      <c r="A91" s="659" t="s">
        <v>894</v>
      </c>
      <c r="B91" s="665" t="s">
        <v>895</v>
      </c>
      <c r="C91" s="667" t="s">
        <v>896</v>
      </c>
      <c r="D91" s="659" t="s">
        <v>70</v>
      </c>
      <c r="E91" s="659">
        <v>1</v>
      </c>
      <c r="F91" s="1200"/>
      <c r="G91" s="1201"/>
      <c r="H91" s="679">
        <f>1.963*(0.6+0.45)*110</f>
        <v>226.72650000000002</v>
      </c>
      <c r="I91" s="679"/>
      <c r="J91" s="679"/>
      <c r="K91" s="699" t="s">
        <v>897</v>
      </c>
      <c r="L91" s="679">
        <v>0</v>
      </c>
      <c r="M91" s="247"/>
    </row>
    <row r="92" spans="1:13">
      <c r="A92" s="659"/>
      <c r="B92" s="686"/>
      <c r="C92" s="695"/>
      <c r="D92" s="659"/>
      <c r="E92" s="694"/>
      <c r="F92" s="1200"/>
      <c r="G92" s="1201"/>
      <c r="H92" s="679"/>
      <c r="I92" s="679"/>
      <c r="J92" s="679"/>
      <c r="K92" s="679"/>
      <c r="L92" s="679"/>
      <c r="M92" s="267"/>
    </row>
    <row r="93" spans="1:13">
      <c r="A93" s="659"/>
      <c r="B93" s="686"/>
      <c r="C93" s="695"/>
      <c r="D93" s="659"/>
      <c r="E93" s="694"/>
      <c r="F93" s="1200"/>
      <c r="G93" s="1201"/>
      <c r="H93" s="679"/>
      <c r="I93" s="679"/>
      <c r="J93" s="679"/>
      <c r="K93" s="679"/>
      <c r="L93" s="679"/>
      <c r="M93" s="267"/>
    </row>
    <row r="94" spans="1:13">
      <c r="A94" s="659"/>
      <c r="B94" s="686"/>
      <c r="C94" s="695"/>
      <c r="D94" s="659"/>
      <c r="E94" s="694"/>
      <c r="F94" s="1200"/>
      <c r="G94" s="1201"/>
      <c r="H94" s="679"/>
      <c r="I94" s="679"/>
      <c r="J94" s="679"/>
      <c r="K94" s="679"/>
      <c r="L94" s="679"/>
      <c r="M94" s="267"/>
    </row>
    <row r="95" spans="1:13">
      <c r="A95" s="659"/>
      <c r="B95" s="686"/>
      <c r="C95" s="695"/>
      <c r="D95" s="659"/>
      <c r="E95" s="694"/>
      <c r="F95" s="1200"/>
      <c r="G95" s="1201"/>
      <c r="H95" s="679"/>
      <c r="I95" s="679"/>
      <c r="J95" s="679"/>
      <c r="K95" s="679"/>
      <c r="L95" s="679"/>
      <c r="M95" s="267"/>
    </row>
    <row r="96" spans="1:13">
      <c r="A96" s="659"/>
      <c r="B96" s="686"/>
      <c r="C96" s="695"/>
      <c r="D96" s="659"/>
      <c r="E96" s="694"/>
      <c r="F96" s="1200"/>
      <c r="G96" s="1201"/>
      <c r="H96" s="679"/>
      <c r="I96" s="679"/>
      <c r="J96" s="679"/>
      <c r="K96" s="679"/>
      <c r="L96" s="679"/>
      <c r="M96" s="267"/>
    </row>
    <row r="97" spans="1:13">
      <c r="A97" s="659"/>
      <c r="B97" s="686"/>
      <c r="C97" s="695"/>
      <c r="D97" s="659"/>
      <c r="E97" s="694"/>
      <c r="F97" s="1200"/>
      <c r="G97" s="1201"/>
      <c r="H97" s="679"/>
      <c r="I97" s="679"/>
      <c r="J97" s="679"/>
      <c r="K97" s="679"/>
      <c r="L97" s="679"/>
      <c r="M97" s="267"/>
    </row>
    <row r="98" spans="1:13">
      <c r="A98" s="659"/>
      <c r="B98" s="686"/>
      <c r="C98" s="695"/>
      <c r="D98" s="659"/>
      <c r="E98" s="694"/>
      <c r="F98" s="1200"/>
      <c r="G98" s="1201"/>
      <c r="H98" s="679"/>
      <c r="I98" s="679"/>
      <c r="J98" s="679"/>
      <c r="K98" s="679"/>
      <c r="L98" s="679"/>
      <c r="M98" s="267"/>
    </row>
    <row r="99" spans="1:13">
      <c r="A99" s="659"/>
      <c r="B99" s="686"/>
      <c r="C99" s="695"/>
      <c r="D99" s="659"/>
      <c r="E99" s="694"/>
      <c r="F99" s="1200"/>
      <c r="G99" s="1201"/>
      <c r="H99" s="679"/>
      <c r="I99" s="679"/>
      <c r="J99" s="679"/>
      <c r="K99" s="679"/>
      <c r="L99" s="679"/>
      <c r="M99" s="267"/>
    </row>
    <row r="100" spans="1:13">
      <c r="A100" s="659"/>
      <c r="B100" s="686"/>
      <c r="C100" s="695"/>
      <c r="D100" s="659"/>
      <c r="E100" s="694"/>
      <c r="F100" s="1200"/>
      <c r="G100" s="1201"/>
      <c r="H100" s="679"/>
      <c r="I100" s="679"/>
      <c r="J100" s="679"/>
      <c r="K100" s="679"/>
      <c r="L100" s="679"/>
      <c r="M100" s="267"/>
    </row>
    <row r="101" spans="1:13">
      <c r="A101" s="659"/>
      <c r="B101" s="686"/>
      <c r="C101" s="695"/>
      <c r="D101" s="659"/>
      <c r="E101" s="694"/>
      <c r="F101" s="1200"/>
      <c r="G101" s="1201"/>
      <c r="H101" s="679"/>
      <c r="I101" s="679"/>
      <c r="J101" s="679"/>
      <c r="K101" s="679"/>
      <c r="L101" s="679"/>
      <c r="M101" s="267"/>
    </row>
    <row r="102" spans="1:13">
      <c r="A102" s="659"/>
      <c r="B102" s="686"/>
      <c r="C102" s="695"/>
      <c r="D102" s="659"/>
      <c r="E102" s="694"/>
      <c r="F102" s="1200"/>
      <c r="G102" s="1201"/>
      <c r="H102" s="679"/>
      <c r="I102" s="679"/>
      <c r="J102" s="679"/>
      <c r="K102" s="679"/>
      <c r="L102" s="679"/>
      <c r="M102" s="267"/>
    </row>
    <row r="103" spans="1:13">
      <c r="A103" s="659"/>
      <c r="B103" s="686"/>
      <c r="C103" s="695"/>
      <c r="D103" s="659"/>
      <c r="E103" s="694"/>
      <c r="F103" s="1200"/>
      <c r="G103" s="1201"/>
      <c r="H103" s="679"/>
      <c r="I103" s="679"/>
      <c r="J103" s="679"/>
      <c r="K103" s="679"/>
      <c r="L103" s="679"/>
      <c r="M103" s="267"/>
    </row>
    <row r="104" spans="1:13">
      <c r="A104" s="659"/>
      <c r="B104" s="686"/>
      <c r="C104" s="695"/>
      <c r="D104" s="659"/>
      <c r="E104" s="694"/>
      <c r="F104" s="1200"/>
      <c r="G104" s="1201"/>
      <c r="H104" s="679"/>
      <c r="I104" s="679"/>
      <c r="J104" s="679"/>
      <c r="K104" s="679"/>
      <c r="L104" s="679"/>
      <c r="M104" s="267"/>
    </row>
    <row r="105" spans="1:13">
      <c r="A105" s="659"/>
      <c r="B105" s="686"/>
      <c r="C105" s="695"/>
      <c r="D105" s="659"/>
      <c r="E105" s="694"/>
      <c r="F105" s="1200"/>
      <c r="G105" s="1201"/>
      <c r="H105" s="679"/>
      <c r="I105" s="679"/>
      <c r="J105" s="679"/>
      <c r="K105" s="679"/>
      <c r="L105" s="679"/>
      <c r="M105" s="267"/>
    </row>
    <row r="106" spans="1:13">
      <c r="A106" s="659"/>
      <c r="B106" s="686"/>
      <c r="C106" s="695"/>
      <c r="D106" s="659"/>
      <c r="E106" s="694"/>
      <c r="F106" s="1200"/>
      <c r="G106" s="1201"/>
      <c r="H106" s="679"/>
      <c r="I106" s="679"/>
      <c r="J106" s="679"/>
      <c r="K106" s="679"/>
      <c r="L106" s="679"/>
      <c r="M106" s="267"/>
    </row>
    <row r="107" spans="1:13">
      <c r="A107" s="659"/>
      <c r="B107" s="686"/>
      <c r="C107" s="695"/>
      <c r="D107" s="659"/>
      <c r="E107" s="694"/>
      <c r="F107" s="1200"/>
      <c r="G107" s="1201"/>
      <c r="H107" s="679"/>
      <c r="I107" s="679"/>
      <c r="J107" s="679"/>
      <c r="K107" s="679"/>
      <c r="L107" s="679"/>
      <c r="M107" s="267"/>
    </row>
    <row r="108" spans="1:13">
      <c r="A108" s="659"/>
      <c r="B108" s="686"/>
      <c r="C108" s="695"/>
      <c r="D108" s="659"/>
      <c r="E108" s="694"/>
      <c r="F108" s="1200"/>
      <c r="G108" s="1201"/>
      <c r="H108" s="679"/>
      <c r="I108" s="679"/>
      <c r="J108" s="679"/>
      <c r="K108" s="679"/>
      <c r="L108" s="679"/>
      <c r="M108" s="267"/>
    </row>
    <row r="109" spans="1:13">
      <c r="A109" s="659"/>
      <c r="B109" s="686"/>
      <c r="C109" s="695"/>
      <c r="D109" s="659"/>
      <c r="E109" s="694"/>
      <c r="F109" s="1200"/>
      <c r="G109" s="1201"/>
      <c r="H109" s="679"/>
      <c r="I109" s="679"/>
      <c r="J109" s="679"/>
      <c r="K109" s="679"/>
      <c r="L109" s="679"/>
      <c r="M109" s="267"/>
    </row>
    <row r="110" spans="1:13">
      <c r="A110" s="659"/>
      <c r="B110" s="686"/>
      <c r="C110" s="695"/>
      <c r="D110" s="659"/>
      <c r="E110" s="694"/>
      <c r="F110" s="1200"/>
      <c r="G110" s="1201"/>
      <c r="H110" s="679"/>
      <c r="I110" s="679"/>
      <c r="J110" s="679"/>
      <c r="K110" s="679"/>
      <c r="L110" s="679"/>
      <c r="M110" s="267"/>
    </row>
    <row r="111" spans="1:13">
      <c r="A111" s="659"/>
      <c r="B111" s="686"/>
      <c r="C111" s="695"/>
      <c r="D111" s="659"/>
      <c r="E111" s="694"/>
      <c r="F111" s="1200"/>
      <c r="G111" s="1201"/>
      <c r="H111" s="679"/>
      <c r="I111" s="679"/>
      <c r="J111" s="679"/>
      <c r="K111" s="679"/>
      <c r="L111" s="679"/>
      <c r="M111" s="267"/>
    </row>
    <row r="112" spans="1:13">
      <c r="A112" s="659"/>
      <c r="B112" s="686"/>
      <c r="C112" s="695"/>
      <c r="D112" s="659"/>
      <c r="E112" s="694"/>
      <c r="F112" s="1200"/>
      <c r="G112" s="1201"/>
      <c r="H112" s="679"/>
      <c r="I112" s="679"/>
      <c r="J112" s="679"/>
      <c r="K112" s="679"/>
      <c r="L112" s="679"/>
      <c r="M112" s="267"/>
    </row>
    <row r="113" spans="1:13">
      <c r="A113" s="659"/>
      <c r="B113" s="686"/>
      <c r="C113" s="695"/>
      <c r="D113" s="659"/>
      <c r="E113" s="694"/>
      <c r="F113" s="1200"/>
      <c r="G113" s="1201"/>
      <c r="H113" s="679"/>
      <c r="I113" s="679"/>
      <c r="J113" s="679"/>
      <c r="K113" s="679"/>
      <c r="L113" s="679"/>
      <c r="M113" s="267"/>
    </row>
    <row r="114" spans="1:13">
      <c r="A114" s="659"/>
      <c r="B114" s="686"/>
      <c r="C114" s="695"/>
      <c r="D114" s="659"/>
      <c r="E114" s="694"/>
      <c r="F114" s="1200"/>
      <c r="G114" s="1201"/>
      <c r="H114" s="679"/>
      <c r="I114" s="679"/>
      <c r="J114" s="679"/>
      <c r="K114" s="679"/>
      <c r="L114" s="679"/>
      <c r="M114" s="267"/>
    </row>
    <row r="115" spans="1:13">
      <c r="A115" s="659"/>
      <c r="B115" s="686"/>
      <c r="C115" s="695"/>
      <c r="D115" s="659"/>
      <c r="E115" s="694"/>
      <c r="F115" s="1200"/>
      <c r="G115" s="1201"/>
      <c r="H115" s="679"/>
      <c r="I115" s="679"/>
      <c r="J115" s="679"/>
      <c r="K115" s="679"/>
      <c r="L115" s="679"/>
      <c r="M115" s="267"/>
    </row>
    <row r="116" spans="1:13">
      <c r="A116" s="659"/>
      <c r="B116" s="686"/>
      <c r="C116" s="695"/>
      <c r="D116" s="659"/>
      <c r="E116" s="694"/>
      <c r="F116" s="1200"/>
      <c r="G116" s="1201"/>
      <c r="H116" s="679"/>
      <c r="I116" s="679"/>
      <c r="J116" s="679"/>
      <c r="K116" s="679"/>
      <c r="L116" s="679"/>
      <c r="M116" s="267"/>
    </row>
    <row r="117" spans="1:13">
      <c r="A117" s="659"/>
      <c r="B117" s="686"/>
      <c r="C117" s="695"/>
      <c r="D117" s="659"/>
      <c r="E117" s="694"/>
      <c r="F117" s="1200"/>
      <c r="G117" s="1201"/>
      <c r="H117" s="679"/>
      <c r="I117" s="679"/>
      <c r="J117" s="679"/>
      <c r="K117" s="679"/>
      <c r="L117" s="679"/>
      <c r="M117" s="267"/>
    </row>
    <row r="118" spans="1:13">
      <c r="A118" s="659"/>
      <c r="B118" s="686"/>
      <c r="C118" s="695"/>
      <c r="D118" s="659"/>
      <c r="E118" s="694"/>
      <c r="F118" s="1200"/>
      <c r="G118" s="1201"/>
      <c r="H118" s="679"/>
      <c r="I118" s="679"/>
      <c r="J118" s="679"/>
      <c r="K118" s="679"/>
      <c r="L118" s="679"/>
      <c r="M118" s="267"/>
    </row>
    <row r="119" spans="1:13">
      <c r="A119" s="659"/>
      <c r="B119" s="686"/>
      <c r="C119" s="695"/>
      <c r="D119" s="659"/>
      <c r="E119" s="694"/>
      <c r="F119" s="1200"/>
      <c r="G119" s="1201"/>
      <c r="H119" s="679"/>
      <c r="I119" s="679"/>
      <c r="J119" s="679"/>
      <c r="K119" s="679"/>
      <c r="L119" s="679"/>
      <c r="M119" s="267"/>
    </row>
    <row r="120" spans="1:13">
      <c r="A120" s="659"/>
      <c r="B120" s="686"/>
      <c r="C120" s="695"/>
      <c r="D120" s="659"/>
      <c r="E120" s="694"/>
      <c r="F120" s="1200"/>
      <c r="G120" s="1201"/>
      <c r="H120" s="679"/>
      <c r="I120" s="679"/>
      <c r="J120" s="679"/>
      <c r="K120" s="679"/>
      <c r="L120" s="679"/>
      <c r="M120" s="267"/>
    </row>
    <row r="121" spans="1:13">
      <c r="A121" s="659"/>
      <c r="B121" s="686"/>
      <c r="C121" s="695"/>
      <c r="D121" s="659"/>
      <c r="E121" s="694"/>
      <c r="F121" s="1200"/>
      <c r="G121" s="1201"/>
      <c r="H121" s="679"/>
      <c r="I121" s="679"/>
      <c r="J121" s="679"/>
      <c r="K121" s="679"/>
      <c r="L121" s="679"/>
      <c r="M121" s="267"/>
    </row>
    <row r="122" spans="1:13">
      <c r="A122" s="659"/>
      <c r="B122" s="686"/>
      <c r="C122" s="695"/>
      <c r="D122" s="659"/>
      <c r="E122" s="694"/>
      <c r="F122" s="1200"/>
      <c r="G122" s="1201"/>
      <c r="H122" s="679"/>
      <c r="I122" s="679"/>
      <c r="J122" s="679"/>
      <c r="K122" s="679"/>
      <c r="L122" s="679"/>
      <c r="M122" s="267"/>
    </row>
    <row r="123" spans="1:13">
      <c r="A123" s="659"/>
      <c r="B123" s="686"/>
      <c r="C123" s="695"/>
      <c r="D123" s="659"/>
      <c r="E123" s="694"/>
      <c r="F123" s="1200"/>
      <c r="G123" s="1201"/>
      <c r="H123" s="679"/>
      <c r="I123" s="679"/>
      <c r="J123" s="679"/>
      <c r="K123" s="679"/>
      <c r="L123" s="679"/>
      <c r="M123" s="267"/>
    </row>
    <row r="124" spans="1:13">
      <c r="A124" s="659"/>
      <c r="B124" s="686"/>
      <c r="C124" s="695"/>
      <c r="D124" s="659"/>
      <c r="E124" s="694"/>
      <c r="F124" s="1200"/>
      <c r="G124" s="1201"/>
      <c r="H124" s="679"/>
      <c r="I124" s="679"/>
      <c r="J124" s="679"/>
      <c r="K124" s="679"/>
      <c r="L124" s="679"/>
      <c r="M124" s="267"/>
    </row>
    <row r="125" spans="1:13">
      <c r="A125" s="659"/>
      <c r="B125" s="686"/>
      <c r="C125" s="695"/>
      <c r="D125" s="659"/>
      <c r="E125" s="694"/>
      <c r="F125" s="1200"/>
      <c r="G125" s="1201"/>
      <c r="H125" s="679"/>
      <c r="I125" s="679"/>
      <c r="J125" s="679"/>
      <c r="K125" s="679"/>
      <c r="L125" s="679"/>
      <c r="M125" s="267"/>
    </row>
    <row r="126" spans="1:13">
      <c r="A126" s="659"/>
      <c r="B126" s="686"/>
      <c r="C126" s="695"/>
      <c r="D126" s="659"/>
      <c r="E126" s="694"/>
      <c r="F126" s="1200"/>
      <c r="G126" s="1201"/>
      <c r="H126" s="679"/>
      <c r="I126" s="679"/>
      <c r="J126" s="679"/>
      <c r="K126" s="679"/>
      <c r="L126" s="679"/>
      <c r="M126" s="267"/>
    </row>
    <row r="127" spans="1:13">
      <c r="A127" s="659"/>
      <c r="B127" s="686"/>
      <c r="C127" s="695"/>
      <c r="D127" s="659"/>
      <c r="E127" s="694"/>
      <c r="F127" s="1200"/>
      <c r="G127" s="1201"/>
      <c r="H127" s="679"/>
      <c r="I127" s="679"/>
      <c r="J127" s="679"/>
      <c r="K127" s="679"/>
      <c r="L127" s="679"/>
      <c r="M127" s="267"/>
    </row>
    <row r="128" spans="1:13">
      <c r="A128" s="659"/>
      <c r="B128" s="686"/>
      <c r="C128" s="695"/>
      <c r="D128" s="659"/>
      <c r="E128" s="694"/>
      <c r="F128" s="1200"/>
      <c r="G128" s="1201"/>
      <c r="H128" s="679"/>
      <c r="I128" s="679"/>
      <c r="J128" s="679"/>
      <c r="K128" s="679"/>
      <c r="L128" s="679"/>
      <c r="M128" s="267"/>
    </row>
    <row r="129" spans="1:13">
      <c r="A129" s="659"/>
      <c r="B129" s="686"/>
      <c r="C129" s="695"/>
      <c r="D129" s="659"/>
      <c r="E129" s="694"/>
      <c r="F129" s="1200"/>
      <c r="G129" s="1201"/>
      <c r="H129" s="679"/>
      <c r="I129" s="679"/>
      <c r="J129" s="679"/>
      <c r="K129" s="679"/>
      <c r="L129" s="679"/>
      <c r="M129" s="267"/>
    </row>
    <row r="130" spans="1:13">
      <c r="A130" s="659"/>
      <c r="B130" s="686"/>
      <c r="C130" s="695"/>
      <c r="D130" s="659"/>
      <c r="E130" s="694"/>
      <c r="F130" s="1200"/>
      <c r="G130" s="1201"/>
      <c r="H130" s="679"/>
      <c r="I130" s="679"/>
      <c r="J130" s="679"/>
      <c r="K130" s="679"/>
      <c r="L130" s="679"/>
      <c r="M130" s="267"/>
    </row>
    <row r="131" spans="1:13">
      <c r="A131" s="659"/>
      <c r="B131" s="686"/>
      <c r="C131" s="695"/>
      <c r="D131" s="659"/>
      <c r="E131" s="694"/>
      <c r="F131" s="1200"/>
      <c r="G131" s="1201"/>
      <c r="H131" s="679"/>
      <c r="I131" s="679"/>
      <c r="J131" s="679"/>
      <c r="K131" s="679"/>
      <c r="L131" s="679"/>
      <c r="M131" s="267"/>
    </row>
    <row r="132" spans="1:13">
      <c r="A132" s="659"/>
      <c r="B132" s="686"/>
      <c r="C132" s="695"/>
      <c r="D132" s="659"/>
      <c r="E132" s="694"/>
      <c r="F132" s="1200"/>
      <c r="G132" s="1201"/>
      <c r="H132" s="679"/>
      <c r="I132" s="679"/>
      <c r="J132" s="679"/>
      <c r="K132" s="679"/>
      <c r="L132" s="679"/>
      <c r="M132" s="267"/>
    </row>
    <row r="133" spans="1:13">
      <c r="A133" s="659"/>
      <c r="B133" s="686"/>
      <c r="C133" s="695"/>
      <c r="D133" s="659"/>
      <c r="E133" s="694"/>
      <c r="F133" s="1200"/>
      <c r="G133" s="1201"/>
      <c r="H133" s="679"/>
      <c r="I133" s="679"/>
      <c r="J133" s="679"/>
      <c r="K133" s="679"/>
      <c r="L133" s="679"/>
      <c r="M133" s="267"/>
    </row>
    <row r="134" spans="1:13">
      <c r="A134" s="659"/>
      <c r="B134" s="686"/>
      <c r="C134" s="695"/>
      <c r="D134" s="659"/>
      <c r="E134" s="694"/>
      <c r="F134" s="1200"/>
      <c r="G134" s="1201"/>
      <c r="H134" s="679"/>
      <c r="I134" s="679"/>
      <c r="J134" s="679"/>
      <c r="K134" s="679"/>
      <c r="L134" s="679"/>
      <c r="M134" s="267"/>
    </row>
    <row r="135" spans="1:13">
      <c r="A135" s="659"/>
      <c r="B135" s="686"/>
      <c r="C135" s="695"/>
      <c r="D135" s="659"/>
      <c r="E135" s="694"/>
      <c r="F135" s="1200"/>
      <c r="G135" s="1201"/>
      <c r="H135" s="679"/>
      <c r="I135" s="679"/>
      <c r="J135" s="679"/>
      <c r="K135" s="679"/>
      <c r="L135" s="679"/>
      <c r="M135" s="267"/>
    </row>
    <row r="136" spans="1:13">
      <c r="A136" s="659"/>
      <c r="B136" s="686"/>
      <c r="C136" s="695"/>
      <c r="D136" s="659"/>
      <c r="E136" s="694"/>
      <c r="F136" s="1200"/>
      <c r="G136" s="1201"/>
      <c r="H136" s="679"/>
      <c r="I136" s="679"/>
      <c r="J136" s="679"/>
      <c r="K136" s="679"/>
      <c r="L136" s="679"/>
      <c r="M136" s="267"/>
    </row>
    <row r="137" spans="1:13">
      <c r="A137" s="659"/>
      <c r="B137" s="686"/>
      <c r="C137" s="695"/>
      <c r="D137" s="659"/>
      <c r="E137" s="694"/>
      <c r="F137" s="1200"/>
      <c r="G137" s="1201"/>
      <c r="H137" s="679"/>
      <c r="I137" s="679"/>
      <c r="J137" s="679"/>
      <c r="K137" s="679"/>
      <c r="L137" s="679"/>
      <c r="M137" s="267"/>
    </row>
    <row r="138" spans="1:13">
      <c r="A138" s="659"/>
      <c r="B138" s="686"/>
      <c r="C138" s="695"/>
      <c r="D138" s="659"/>
      <c r="E138" s="694"/>
      <c r="F138" s="1200"/>
      <c r="G138" s="1201"/>
      <c r="H138" s="679"/>
      <c r="I138" s="679"/>
      <c r="J138" s="679"/>
      <c r="K138" s="679"/>
      <c r="L138" s="679"/>
      <c r="M138" s="267"/>
    </row>
    <row r="139" spans="1:13">
      <c r="A139" s="659"/>
      <c r="B139" s="686"/>
      <c r="C139" s="695"/>
      <c r="D139" s="659"/>
      <c r="E139" s="694"/>
      <c r="F139" s="1200"/>
      <c r="G139" s="1201"/>
      <c r="H139" s="679"/>
      <c r="I139" s="679"/>
      <c r="J139" s="679"/>
      <c r="K139" s="679"/>
      <c r="L139" s="679"/>
      <c r="M139" s="267"/>
    </row>
    <row r="140" spans="1:13">
      <c r="A140" s="659"/>
      <c r="B140" s="686"/>
      <c r="C140" s="695"/>
      <c r="D140" s="659"/>
      <c r="E140" s="694"/>
      <c r="F140" s="1200"/>
      <c r="G140" s="1201"/>
      <c r="H140" s="679"/>
      <c r="I140" s="679"/>
      <c r="J140" s="679"/>
      <c r="K140" s="679"/>
      <c r="L140" s="679"/>
      <c r="M140" s="267"/>
    </row>
    <row r="141" spans="1:13">
      <c r="A141" s="659"/>
      <c r="B141" s="686"/>
      <c r="C141" s="695"/>
      <c r="D141" s="659"/>
      <c r="E141" s="694"/>
      <c r="F141" s="1200"/>
      <c r="G141" s="1201"/>
      <c r="H141" s="679"/>
      <c r="I141" s="679"/>
      <c r="J141" s="679"/>
      <c r="K141" s="679"/>
      <c r="L141" s="679"/>
      <c r="M141" s="267"/>
    </row>
    <row r="142" spans="1:13">
      <c r="A142" s="659"/>
      <c r="B142" s="686"/>
      <c r="C142" s="695"/>
      <c r="D142" s="659"/>
      <c r="E142" s="694"/>
      <c r="F142" s="1200"/>
      <c r="G142" s="1201"/>
      <c r="H142" s="679"/>
      <c r="I142" s="679"/>
      <c r="J142" s="679"/>
      <c r="K142" s="679"/>
      <c r="L142" s="679"/>
      <c r="M142" s="267"/>
    </row>
    <row r="143" spans="1:13">
      <c r="A143" s="659"/>
      <c r="B143" s="686"/>
      <c r="C143" s="695"/>
      <c r="D143" s="659"/>
      <c r="E143" s="694"/>
      <c r="F143" s="1200"/>
      <c r="G143" s="1201"/>
      <c r="H143" s="679"/>
      <c r="I143" s="679"/>
      <c r="J143" s="679"/>
      <c r="K143" s="679"/>
      <c r="L143" s="679"/>
      <c r="M143" s="267"/>
    </row>
    <row r="144" spans="1:13">
      <c r="A144" s="659"/>
      <c r="B144" s="686"/>
      <c r="C144" s="695"/>
      <c r="D144" s="659"/>
      <c r="E144" s="694"/>
      <c r="F144" s="1200"/>
      <c r="G144" s="1201"/>
      <c r="H144" s="679"/>
      <c r="I144" s="679"/>
      <c r="J144" s="679"/>
      <c r="K144" s="679"/>
      <c r="L144" s="679"/>
      <c r="M144" s="267"/>
    </row>
    <row r="145" spans="1:13">
      <c r="A145" s="659"/>
      <c r="B145" s="686"/>
      <c r="C145" s="695"/>
      <c r="D145" s="659"/>
      <c r="E145" s="694"/>
      <c r="F145" s="1200"/>
      <c r="G145" s="1201"/>
      <c r="H145" s="679"/>
      <c r="I145" s="679"/>
      <c r="J145" s="679"/>
      <c r="K145" s="679"/>
      <c r="L145" s="679"/>
      <c r="M145" s="267"/>
    </row>
    <row r="146" spans="1:13">
      <c r="A146" s="659"/>
      <c r="B146" s="686"/>
      <c r="C146" s="695"/>
      <c r="D146" s="659"/>
      <c r="E146" s="694"/>
      <c r="F146" s="1200"/>
      <c r="G146" s="1201"/>
      <c r="H146" s="679"/>
      <c r="I146" s="679"/>
      <c r="J146" s="679"/>
      <c r="K146" s="679"/>
      <c r="L146" s="679"/>
      <c r="M146" s="267"/>
    </row>
    <row r="147" spans="1:13">
      <c r="A147" s="659"/>
      <c r="B147" s="686"/>
      <c r="C147" s="695"/>
      <c r="D147" s="659"/>
      <c r="E147" s="694"/>
      <c r="F147" s="1200"/>
      <c r="G147" s="1201"/>
      <c r="H147" s="679"/>
      <c r="I147" s="679"/>
      <c r="J147" s="679"/>
      <c r="K147" s="679"/>
      <c r="L147" s="679"/>
      <c r="M147" s="267"/>
    </row>
    <row r="148" spans="1:13">
      <c r="A148" s="659"/>
      <c r="B148" s="686"/>
      <c r="C148" s="695"/>
      <c r="D148" s="659"/>
      <c r="E148" s="694"/>
      <c r="F148" s="1200"/>
      <c r="G148" s="1201"/>
      <c r="H148" s="679"/>
      <c r="I148" s="679"/>
      <c r="J148" s="679"/>
      <c r="K148" s="679"/>
      <c r="L148" s="679"/>
      <c r="M148" s="267"/>
    </row>
    <row r="149" spans="1:13">
      <c r="A149" s="659"/>
      <c r="B149" s="686"/>
      <c r="C149" s="695"/>
      <c r="D149" s="659"/>
      <c r="E149" s="694"/>
      <c r="F149" s="1200"/>
      <c r="G149" s="1201"/>
      <c r="H149" s="679"/>
      <c r="I149" s="679"/>
      <c r="J149" s="679"/>
      <c r="K149" s="679"/>
      <c r="L149" s="679"/>
      <c r="M149" s="267"/>
    </row>
    <row r="150" spans="1:13">
      <c r="A150" s="659"/>
      <c r="B150" s="686"/>
      <c r="C150" s="695"/>
      <c r="D150" s="659"/>
      <c r="E150" s="694"/>
      <c r="F150" s="1200"/>
      <c r="G150" s="1201"/>
      <c r="H150" s="679"/>
      <c r="I150" s="679"/>
      <c r="J150" s="679"/>
      <c r="K150" s="679"/>
      <c r="L150" s="679"/>
      <c r="M150" s="267"/>
    </row>
    <row r="151" spans="1:13">
      <c r="A151" s="659"/>
      <c r="B151" s="686"/>
      <c r="C151" s="695"/>
      <c r="D151" s="659"/>
      <c r="E151" s="694"/>
      <c r="F151" s="1200"/>
      <c r="G151" s="1201"/>
      <c r="H151" s="679"/>
      <c r="I151" s="679"/>
      <c r="J151" s="679"/>
      <c r="K151" s="679"/>
      <c r="L151" s="679"/>
      <c r="M151" s="267"/>
    </row>
    <row r="152" spans="1:13">
      <c r="A152" s="659"/>
      <c r="B152" s="686"/>
      <c r="C152" s="695"/>
      <c r="D152" s="659"/>
      <c r="E152" s="694"/>
      <c r="F152" s="1200"/>
      <c r="G152" s="1201"/>
      <c r="H152" s="679"/>
      <c r="I152" s="679"/>
      <c r="J152" s="679"/>
      <c r="K152" s="679"/>
      <c r="L152" s="679"/>
      <c r="M152" s="267"/>
    </row>
    <row r="153" spans="1:13">
      <c r="A153" s="659"/>
      <c r="B153" s="686"/>
      <c r="C153" s="695"/>
      <c r="D153" s="659"/>
      <c r="E153" s="694"/>
      <c r="F153" s="1200"/>
      <c r="G153" s="1201"/>
      <c r="H153" s="679"/>
      <c r="I153" s="679"/>
      <c r="J153" s="679"/>
      <c r="K153" s="679"/>
      <c r="L153" s="679"/>
      <c r="M153" s="267"/>
    </row>
    <row r="154" spans="1:13">
      <c r="A154" s="659"/>
      <c r="B154" s="686"/>
      <c r="C154" s="695"/>
      <c r="D154" s="659"/>
      <c r="E154" s="694"/>
      <c r="F154" s="1200"/>
      <c r="G154" s="1201"/>
      <c r="H154" s="679"/>
      <c r="I154" s="679"/>
      <c r="J154" s="679"/>
      <c r="K154" s="679"/>
      <c r="L154" s="679"/>
      <c r="M154" s="267"/>
    </row>
    <row r="155" spans="1:13">
      <c r="A155" s="659"/>
      <c r="B155" s="686"/>
      <c r="C155" s="695"/>
      <c r="D155" s="659"/>
      <c r="E155" s="694"/>
      <c r="F155" s="1200"/>
      <c r="G155" s="1201"/>
      <c r="H155" s="679"/>
      <c r="I155" s="679"/>
      <c r="J155" s="679"/>
      <c r="K155" s="679"/>
      <c r="L155" s="679"/>
      <c r="M155" s="267"/>
    </row>
    <row r="156" spans="1:13">
      <c r="A156" s="659"/>
      <c r="B156" s="686"/>
      <c r="C156" s="695"/>
      <c r="D156" s="659"/>
      <c r="E156" s="694"/>
      <c r="F156" s="1200"/>
      <c r="G156" s="1201"/>
      <c r="H156" s="679"/>
      <c r="I156" s="679"/>
      <c r="J156" s="679"/>
      <c r="K156" s="679"/>
      <c r="L156" s="679"/>
      <c r="M156" s="267"/>
    </row>
    <row r="157" spans="1:13">
      <c r="A157" s="659"/>
      <c r="B157" s="686"/>
      <c r="C157" s="695"/>
      <c r="D157" s="659"/>
      <c r="E157" s="694"/>
      <c r="F157" s="1200"/>
      <c r="G157" s="1201"/>
      <c r="H157" s="679"/>
      <c r="I157" s="679"/>
      <c r="J157" s="679"/>
      <c r="K157" s="679"/>
      <c r="L157" s="679"/>
      <c r="M157" s="267"/>
    </row>
    <row r="158" spans="1:13">
      <c r="A158" s="659"/>
      <c r="B158" s="686"/>
      <c r="C158" s="695"/>
      <c r="D158" s="659"/>
      <c r="E158" s="694"/>
      <c r="F158" s="1200"/>
      <c r="G158" s="1201"/>
      <c r="H158" s="679"/>
      <c r="I158" s="679"/>
      <c r="J158" s="679"/>
      <c r="K158" s="679"/>
      <c r="L158" s="679"/>
      <c r="M158" s="267"/>
    </row>
    <row r="159" spans="1:13">
      <c r="A159" s="659"/>
      <c r="B159" s="686"/>
      <c r="C159" s="695"/>
      <c r="D159" s="659"/>
      <c r="E159" s="694"/>
      <c r="F159" s="1200"/>
      <c r="G159" s="1201"/>
      <c r="H159" s="679"/>
      <c r="I159" s="679"/>
      <c r="J159" s="679"/>
      <c r="K159" s="679"/>
      <c r="L159" s="679"/>
      <c r="M159" s="267"/>
    </row>
    <row r="160" spans="1:13">
      <c r="A160" s="659"/>
      <c r="B160" s="686"/>
      <c r="C160" s="695"/>
      <c r="D160" s="659"/>
      <c r="E160" s="694"/>
      <c r="F160" s="1200"/>
      <c r="G160" s="1201"/>
      <c r="H160" s="679"/>
      <c r="I160" s="679"/>
      <c r="J160" s="679"/>
      <c r="K160" s="679"/>
      <c r="L160" s="679"/>
      <c r="M160" s="267"/>
    </row>
    <row r="161" spans="1:13">
      <c r="A161" s="659"/>
      <c r="B161" s="686"/>
      <c r="C161" s="695"/>
      <c r="D161" s="659"/>
      <c r="E161" s="694"/>
      <c r="F161" s="1200"/>
      <c r="G161" s="1201"/>
      <c r="H161" s="679"/>
      <c r="I161" s="679"/>
      <c r="J161" s="679"/>
      <c r="K161" s="679"/>
      <c r="L161" s="679"/>
      <c r="M161" s="267"/>
    </row>
    <row r="162" spans="1:13" ht="15" customHeight="1">
      <c r="A162" s="1532" t="s">
        <v>898</v>
      </c>
      <c r="B162" s="1533"/>
      <c r="C162" s="1533"/>
      <c r="D162" s="1533"/>
      <c r="E162" s="1533"/>
      <c r="F162" s="1534"/>
      <c r="G162" s="1530"/>
      <c r="H162" s="679"/>
      <c r="I162" s="679"/>
      <c r="J162" s="679"/>
      <c r="K162" s="679"/>
      <c r="L162" s="679"/>
    </row>
    <row r="163" spans="1:13" s="249" customFormat="1">
      <c r="A163" s="1535"/>
      <c r="B163" s="1536"/>
      <c r="C163" s="1536"/>
      <c r="D163" s="1536"/>
      <c r="E163" s="1536"/>
      <c r="F163" s="1537"/>
      <c r="G163" s="1531"/>
      <c r="M163" s="256"/>
    </row>
  </sheetData>
  <sheetProtection algorithmName="SHA-512" hashValue="13Ob3Z96vojLgGk2pR4U3gW9tUZBw5r+gLC+Ad6mbMutRaQFCMtH8LWTtunWAiKRgcYA7vm4VCjOq90UWZALKg==" saltValue="vPmAcgbC45ZQW7OF/Kb4Ew==" spinCount="100000" sheet="1" objects="1" scenarios="1"/>
  <mergeCells count="6">
    <mergeCell ref="G162:G163"/>
    <mergeCell ref="G79:G80"/>
    <mergeCell ref="A162:F163"/>
    <mergeCell ref="A1:G1"/>
    <mergeCell ref="A79:E80"/>
    <mergeCell ref="F79:F80"/>
  </mergeCells>
  <phoneticPr fontId="38" type="noConversion"/>
  <pageMargins left="0.70866141732283472" right="0.70866141732283472" top="0.86614173228346458" bottom="0.78740157480314965" header="0.31496062992125984" footer="0.19685039370078741"/>
  <pageSetup paperSize="9" scale="67" firstPageNumber="55" orientation="portrait" useFirstPageNumber="1" r:id="rId1"/>
  <headerFooter>
    <oddHeader>&amp;L&amp;G&amp;CCONSTRUCTION OF 20ML CARLSWALD RESERVOIR
SCHEDULE OF QUANTITIES&amp;R&amp;G</oddHeader>
    <oddFooter>&amp;C&amp;G
C.&amp;P</oddFooter>
  </headerFooter>
  <rowBreaks count="1" manualBreakCount="1">
    <brk id="80" max="9" man="1"/>
  </rowBreaks>
  <legacyDrawing r:id="rId2"/>
  <legacyDrawingHF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A2ED6-E268-4C92-B27E-CD69217C72B6}">
  <dimension ref="A1:O236"/>
  <sheetViews>
    <sheetView view="pageBreakPreview" topLeftCell="A222" zoomScaleNormal="85" zoomScaleSheetLayoutView="100" zoomScalePageLayoutView="30" workbookViewId="0">
      <selection activeCell="F127" sqref="F127"/>
    </sheetView>
  </sheetViews>
  <sheetFormatPr defaultColWidth="6.140625" defaultRowHeight="12.75"/>
  <cols>
    <col min="1" max="1" width="9.5703125" style="253" customWidth="1"/>
    <col min="2" max="2" width="15.28515625" style="508" customWidth="1"/>
    <col min="3" max="3" width="47.7109375" style="245" customWidth="1"/>
    <col min="4" max="4" width="8.7109375" style="246" customWidth="1"/>
    <col min="5" max="5" width="9.7109375" style="246" customWidth="1"/>
    <col min="6" max="6" width="15.42578125" style="275" customWidth="1"/>
    <col min="7" max="7" width="21.42578125" style="275" customWidth="1"/>
    <col min="8" max="8" width="8.85546875" style="246" hidden="1" customWidth="1"/>
    <col min="9" max="9" width="6.42578125" style="246" hidden="1" customWidth="1"/>
    <col min="10" max="10" width="6.140625" style="246" hidden="1" customWidth="1"/>
    <col min="11" max="11" width="8.85546875" style="255" hidden="1" customWidth="1"/>
    <col min="12" max="12" width="0" style="246" hidden="1" customWidth="1"/>
    <col min="13" max="16384" width="6.140625" style="246"/>
  </cols>
  <sheetData>
    <row r="1" spans="1:15" s="249" customFormat="1" ht="15" customHeight="1">
      <c r="A1" s="1538" t="s">
        <v>899</v>
      </c>
      <c r="B1" s="1538"/>
      <c r="C1" s="1538"/>
      <c r="D1" s="1538"/>
      <c r="E1" s="1538"/>
      <c r="F1" s="1538"/>
      <c r="G1" s="1538"/>
      <c r="K1" s="256"/>
    </row>
    <row r="3" spans="1:15" s="249" customFormat="1">
      <c r="A3" s="258" t="s">
        <v>322</v>
      </c>
      <c r="B3" s="558" t="s">
        <v>323</v>
      </c>
      <c r="C3" s="258" t="s">
        <v>33</v>
      </c>
      <c r="D3" s="258" t="s">
        <v>324</v>
      </c>
      <c r="E3" s="260" t="s">
        <v>325</v>
      </c>
      <c r="F3" s="261" t="s">
        <v>326</v>
      </c>
      <c r="G3" s="261" t="s">
        <v>327</v>
      </c>
      <c r="K3" s="256"/>
    </row>
    <row r="4" spans="1:15">
      <c r="A4" s="659"/>
      <c r="B4" s="563"/>
      <c r="C4" s="677"/>
      <c r="D4" s="678"/>
      <c r="E4" s="659"/>
      <c r="F4" s="1191"/>
      <c r="G4" s="1192"/>
      <c r="H4" s="679"/>
      <c r="I4" s="679"/>
      <c r="J4" s="679"/>
      <c r="K4" s="679"/>
      <c r="L4" s="679"/>
      <c r="M4" s="255"/>
      <c r="N4" s="679"/>
      <c r="O4" s="679"/>
    </row>
    <row r="5" spans="1:15">
      <c r="A5" s="659"/>
      <c r="B5" s="290"/>
      <c r="C5" s="238" t="s">
        <v>900</v>
      </c>
      <c r="D5" s="678"/>
      <c r="E5" s="659"/>
      <c r="F5" s="1191"/>
      <c r="G5" s="1192"/>
      <c r="H5" s="679"/>
      <c r="I5" s="679"/>
      <c r="J5" s="679"/>
      <c r="K5" s="679"/>
      <c r="L5" s="679"/>
      <c r="M5" s="255"/>
      <c r="N5" s="679"/>
      <c r="O5" s="679"/>
    </row>
    <row r="6" spans="1:15">
      <c r="A6" s="659"/>
      <c r="B6" s="564"/>
      <c r="C6" s="677"/>
      <c r="D6" s="678"/>
      <c r="E6" s="659"/>
      <c r="F6" s="1191"/>
      <c r="G6" s="1193"/>
      <c r="H6" s="679"/>
      <c r="I6" s="679"/>
      <c r="J6" s="679"/>
      <c r="K6" s="679"/>
      <c r="L6" s="679"/>
      <c r="M6" s="255"/>
      <c r="N6" s="679"/>
      <c r="O6" s="679"/>
    </row>
    <row r="7" spans="1:15" s="245" customFormat="1">
      <c r="A7" s="276">
        <v>3.1</v>
      </c>
      <c r="B7" s="565" t="s">
        <v>901</v>
      </c>
      <c r="C7" s="277" t="s">
        <v>902</v>
      </c>
      <c r="D7" s="659"/>
      <c r="E7" s="700"/>
      <c r="F7" s="1205"/>
      <c r="G7" s="1205"/>
      <c r="H7" s="674"/>
      <c r="I7" s="674"/>
      <c r="J7" s="674"/>
      <c r="K7" s="247"/>
      <c r="L7" s="674"/>
      <c r="M7" s="674"/>
      <c r="N7" s="674"/>
      <c r="O7" s="674"/>
    </row>
    <row r="8" spans="1:15">
      <c r="A8" s="659"/>
      <c r="B8" s="566"/>
      <c r="C8" s="701"/>
      <c r="D8" s="702"/>
      <c r="E8" s="703"/>
      <c r="F8" s="1206"/>
      <c r="G8" s="1206"/>
      <c r="H8" s="679"/>
      <c r="I8" s="679"/>
      <c r="J8" s="679"/>
      <c r="L8" s="679"/>
      <c r="M8" s="679"/>
      <c r="N8" s="679"/>
      <c r="O8" s="679"/>
    </row>
    <row r="9" spans="1:15" s="245" customFormat="1" ht="46.15" customHeight="1">
      <c r="A9" s="659"/>
      <c r="B9" s="566" t="s">
        <v>826</v>
      </c>
      <c r="C9" s="263" t="s">
        <v>903</v>
      </c>
      <c r="D9" s="659"/>
      <c r="E9" s="700"/>
      <c r="F9" s="1205"/>
      <c r="G9" s="1205"/>
      <c r="H9" s="674"/>
      <c r="I9" s="674"/>
      <c r="J9" s="674"/>
      <c r="K9" s="247"/>
      <c r="L9" s="674"/>
      <c r="M9" s="674"/>
      <c r="N9" s="674"/>
      <c r="O9" s="674"/>
    </row>
    <row r="10" spans="1:15">
      <c r="A10" s="659"/>
      <c r="B10" s="566"/>
      <c r="C10" s="704"/>
      <c r="D10" s="702"/>
      <c r="E10" s="703"/>
      <c r="F10" s="1206"/>
      <c r="G10" s="1206"/>
      <c r="H10" s="679"/>
      <c r="I10" s="679"/>
      <c r="J10" s="679"/>
      <c r="L10" s="679"/>
      <c r="M10" s="679"/>
      <c r="N10" s="679"/>
      <c r="O10" s="679"/>
    </row>
    <row r="11" spans="1:15" s="290" customFormat="1">
      <c r="A11" s="331" t="s">
        <v>904</v>
      </c>
      <c r="B11" s="566"/>
      <c r="C11" s="587" t="s">
        <v>905</v>
      </c>
      <c r="D11" s="341" t="s">
        <v>818</v>
      </c>
      <c r="E11" s="620">
        <v>35</v>
      </c>
      <c r="F11" s="1200"/>
      <c r="G11" s="1201"/>
      <c r="K11" s="290" t="s">
        <v>906</v>
      </c>
    </row>
    <row r="12" spans="1:15" s="290" customFormat="1">
      <c r="A12" s="331"/>
      <c r="B12" s="566"/>
      <c r="C12" s="588"/>
      <c r="D12" s="341"/>
      <c r="E12" s="620"/>
      <c r="F12" s="1207"/>
      <c r="G12" s="1207"/>
      <c r="I12" s="294"/>
      <c r="K12" s="290" t="s">
        <v>907</v>
      </c>
    </row>
    <row r="13" spans="1:15" s="290" customFormat="1">
      <c r="A13" s="331" t="s">
        <v>908</v>
      </c>
      <c r="B13" s="566"/>
      <c r="C13" s="588" t="s">
        <v>909</v>
      </c>
      <c r="D13" s="341" t="s">
        <v>818</v>
      </c>
      <c r="E13" s="620">
        <v>5</v>
      </c>
      <c r="F13" s="1200"/>
      <c r="G13" s="1201"/>
      <c r="K13" s="290" t="s">
        <v>910</v>
      </c>
    </row>
    <row r="14" spans="1:15" s="290" customFormat="1">
      <c r="A14" s="331"/>
      <c r="B14" s="566"/>
      <c r="C14" s="588"/>
      <c r="D14" s="341"/>
      <c r="E14" s="620"/>
      <c r="F14" s="1208"/>
      <c r="G14" s="1207"/>
    </row>
    <row r="15" spans="1:15" s="290" customFormat="1" ht="25.5">
      <c r="A15" s="331" t="s">
        <v>911</v>
      </c>
      <c r="B15" s="563"/>
      <c r="C15" s="411" t="s">
        <v>912</v>
      </c>
      <c r="D15" s="331" t="s">
        <v>574</v>
      </c>
      <c r="E15" s="620">
        <f>_xlfn.CEILING.MATH(40*0.2,1)</f>
        <v>8</v>
      </c>
      <c r="F15" s="1200"/>
      <c r="G15" s="1201"/>
      <c r="N15" s="642"/>
      <c r="O15" s="642"/>
    </row>
    <row r="16" spans="1:15" s="290" customFormat="1">
      <c r="A16" s="331"/>
      <c r="B16" s="566"/>
      <c r="C16" s="588"/>
      <c r="D16" s="341"/>
      <c r="E16" s="620"/>
      <c r="F16" s="1207"/>
      <c r="G16" s="1207"/>
    </row>
    <row r="17" spans="1:15" s="290" customFormat="1">
      <c r="A17" s="331"/>
      <c r="B17" s="566" t="s">
        <v>913</v>
      </c>
      <c r="C17" s="499" t="s">
        <v>914</v>
      </c>
      <c r="D17" s="341"/>
      <c r="E17" s="620"/>
      <c r="F17" s="1207"/>
      <c r="G17" s="1207"/>
    </row>
    <row r="18" spans="1:15" s="290" customFormat="1">
      <c r="A18" s="331"/>
      <c r="B18" s="566"/>
      <c r="C18" s="588"/>
      <c r="D18" s="341"/>
      <c r="E18" s="620"/>
      <c r="F18" s="1207"/>
      <c r="G18" s="1207"/>
    </row>
    <row r="19" spans="1:15" s="290" customFormat="1" ht="15">
      <c r="A19" s="331" t="s">
        <v>915</v>
      </c>
      <c r="B19" s="566"/>
      <c r="C19" s="588" t="s">
        <v>916</v>
      </c>
      <c r="D19" s="341" t="s">
        <v>917</v>
      </c>
      <c r="E19" s="620">
        <f>E13</f>
        <v>5</v>
      </c>
      <c r="F19" s="1200"/>
      <c r="G19" s="1201"/>
    </row>
    <row r="20" spans="1:15" s="290" customFormat="1">
      <c r="A20" s="331"/>
      <c r="B20" s="566"/>
      <c r="C20" s="588"/>
      <c r="D20" s="341"/>
      <c r="E20" s="620"/>
      <c r="F20" s="1207"/>
      <c r="G20" s="1207"/>
    </row>
    <row r="21" spans="1:15" s="290" customFormat="1" ht="15">
      <c r="A21" s="331" t="s">
        <v>918</v>
      </c>
      <c r="B21" s="566"/>
      <c r="C21" s="643" t="s">
        <v>919</v>
      </c>
      <c r="D21" s="341" t="s">
        <v>917</v>
      </c>
      <c r="E21" s="620">
        <v>5</v>
      </c>
      <c r="F21" s="1200"/>
      <c r="G21" s="1201"/>
    </row>
    <row r="22" spans="1:15" s="290" customFormat="1">
      <c r="A22" s="331"/>
      <c r="B22" s="566"/>
      <c r="C22" s="588"/>
      <c r="D22" s="341"/>
      <c r="E22" s="620"/>
      <c r="F22" s="1207"/>
      <c r="G22" s="1207"/>
    </row>
    <row r="23" spans="1:15" s="290" customFormat="1" ht="25.5">
      <c r="A23" s="331" t="s">
        <v>920</v>
      </c>
      <c r="B23" s="566" t="s">
        <v>921</v>
      </c>
      <c r="C23" s="588" t="s">
        <v>922</v>
      </c>
      <c r="D23" s="341" t="s">
        <v>917</v>
      </c>
      <c r="E23" s="620">
        <v>40</v>
      </c>
      <c r="F23" s="1200"/>
      <c r="G23" s="1201"/>
    </row>
    <row r="24" spans="1:15">
      <c r="A24" s="659"/>
      <c r="B24" s="566"/>
      <c r="C24" s="704"/>
      <c r="D24" s="702"/>
      <c r="E24" s="703"/>
      <c r="F24" s="1206"/>
      <c r="G24" s="1206"/>
      <c r="H24" s="679"/>
      <c r="I24" s="679"/>
      <c r="J24" s="679"/>
      <c r="L24" s="679"/>
      <c r="M24" s="679"/>
      <c r="N24" s="679"/>
      <c r="O24" s="679"/>
    </row>
    <row r="25" spans="1:15">
      <c r="A25" s="659"/>
      <c r="B25" s="566" t="s">
        <v>413</v>
      </c>
      <c r="C25" s="277" t="s">
        <v>923</v>
      </c>
      <c r="D25" s="702"/>
      <c r="E25" s="703"/>
      <c r="F25" s="1206"/>
      <c r="G25" s="1206"/>
      <c r="H25" s="679"/>
      <c r="I25" s="679"/>
      <c r="J25" s="679"/>
      <c r="L25" s="679"/>
      <c r="M25" s="679"/>
      <c r="N25" s="679"/>
      <c r="O25" s="679"/>
    </row>
    <row r="26" spans="1:15">
      <c r="A26" s="659"/>
      <c r="B26" s="566"/>
      <c r="C26" s="704"/>
      <c r="D26" s="702"/>
      <c r="E26" s="703"/>
      <c r="F26" s="1206"/>
      <c r="G26" s="1206"/>
      <c r="H26" s="679"/>
      <c r="I26" s="679"/>
      <c r="J26" s="679"/>
      <c r="L26" s="679"/>
      <c r="M26" s="679"/>
      <c r="N26" s="679"/>
      <c r="O26" s="679"/>
    </row>
    <row r="27" spans="1:15">
      <c r="A27" s="659"/>
      <c r="B27" s="566"/>
      <c r="C27" s="277" t="s">
        <v>924</v>
      </c>
      <c r="D27" s="702"/>
      <c r="E27" s="703"/>
      <c r="F27" s="1206"/>
      <c r="G27" s="1206"/>
      <c r="H27" s="679"/>
      <c r="I27" s="679"/>
      <c r="J27" s="679"/>
      <c r="L27" s="679"/>
      <c r="M27" s="679"/>
      <c r="N27" s="679"/>
      <c r="O27" s="679"/>
    </row>
    <row r="28" spans="1:15">
      <c r="A28" s="659"/>
      <c r="B28" s="566"/>
      <c r="C28" s="277"/>
      <c r="D28" s="702"/>
      <c r="E28" s="703"/>
      <c r="F28" s="1206"/>
      <c r="G28" s="1206"/>
      <c r="H28" s="679"/>
      <c r="I28" s="679"/>
      <c r="J28" s="679"/>
      <c r="L28" s="679"/>
      <c r="M28" s="679"/>
      <c r="N28" s="679"/>
      <c r="O28" s="679"/>
    </row>
    <row r="29" spans="1:15" ht="15">
      <c r="A29" s="659" t="s">
        <v>925</v>
      </c>
      <c r="B29" s="566"/>
      <c r="C29" s="704" t="s">
        <v>926</v>
      </c>
      <c r="D29" s="702" t="s">
        <v>927</v>
      </c>
      <c r="E29" s="703">
        <v>860</v>
      </c>
      <c r="F29" s="1200"/>
      <c r="G29" s="1201"/>
      <c r="H29" s="679"/>
      <c r="I29" s="679"/>
      <c r="J29" s="679"/>
      <c r="L29" s="679"/>
      <c r="M29" s="679"/>
      <c r="N29" s="679"/>
      <c r="O29" s="679"/>
    </row>
    <row r="30" spans="1:15">
      <c r="A30" s="659"/>
      <c r="B30" s="566"/>
      <c r="C30" s="704"/>
      <c r="D30" s="702"/>
      <c r="E30" s="703"/>
      <c r="F30" s="1206"/>
      <c r="G30" s="1206"/>
      <c r="H30" s="679"/>
      <c r="I30" s="679"/>
      <c r="J30" s="679"/>
      <c r="L30" s="679"/>
      <c r="M30" s="679"/>
      <c r="N30" s="679"/>
      <c r="O30" s="679"/>
    </row>
    <row r="31" spans="1:15">
      <c r="A31" s="659" t="s">
        <v>928</v>
      </c>
      <c r="B31" s="566" t="s">
        <v>929</v>
      </c>
      <c r="C31" s="667" t="s">
        <v>845</v>
      </c>
      <c r="D31" s="659" t="s">
        <v>846</v>
      </c>
      <c r="E31" s="659">
        <v>200</v>
      </c>
      <c r="F31" s="1200"/>
      <c r="G31" s="1201"/>
      <c r="H31" s="679"/>
      <c r="I31" s="679"/>
      <c r="J31" s="679"/>
      <c r="K31" s="679"/>
      <c r="L31" s="679"/>
      <c r="M31" s="265"/>
      <c r="N31" s="679"/>
      <c r="O31" s="679"/>
    </row>
    <row r="32" spans="1:15">
      <c r="A32" s="659"/>
      <c r="B32" s="566"/>
      <c r="C32" s="667"/>
      <c r="D32" s="659"/>
      <c r="E32" s="659"/>
      <c r="F32" s="1191"/>
      <c r="G32" s="1192"/>
      <c r="H32" s="679"/>
      <c r="I32" s="679"/>
      <c r="J32" s="679"/>
      <c r="K32" s="679"/>
      <c r="L32" s="679"/>
      <c r="M32" s="265"/>
      <c r="N32" s="679"/>
      <c r="O32" s="679"/>
    </row>
    <row r="33" spans="1:13">
      <c r="A33" s="659" t="s">
        <v>930</v>
      </c>
      <c r="B33" s="566" t="s">
        <v>416</v>
      </c>
      <c r="C33" s="704" t="s">
        <v>931</v>
      </c>
      <c r="D33" s="702"/>
      <c r="E33" s="703"/>
      <c r="F33" s="1206"/>
      <c r="G33" s="1206"/>
      <c r="H33" s="679"/>
      <c r="I33" s="679"/>
      <c r="J33" s="679"/>
      <c r="L33" s="679"/>
      <c r="M33" s="679"/>
    </row>
    <row r="34" spans="1:13">
      <c r="A34" s="659"/>
      <c r="B34" s="566"/>
      <c r="C34" s="704"/>
      <c r="D34" s="702"/>
      <c r="E34" s="703"/>
      <c r="F34" s="1206"/>
      <c r="G34" s="1206"/>
      <c r="H34" s="679"/>
      <c r="I34" s="679"/>
      <c r="J34" s="679"/>
      <c r="L34" s="679"/>
      <c r="M34" s="679"/>
    </row>
    <row r="35" spans="1:13">
      <c r="A35" s="659" t="s">
        <v>932</v>
      </c>
      <c r="B35" s="566"/>
      <c r="C35" s="704" t="s">
        <v>933</v>
      </c>
      <c r="D35" s="702" t="s">
        <v>818</v>
      </c>
      <c r="E35" s="703">
        <v>35</v>
      </c>
      <c r="F35" s="1200"/>
      <c r="G35" s="1201"/>
      <c r="H35" s="679"/>
      <c r="I35" s="679"/>
      <c r="J35" s="679"/>
      <c r="L35" s="679"/>
      <c r="M35" s="679"/>
    </row>
    <row r="36" spans="1:13">
      <c r="A36" s="659"/>
      <c r="B36" s="566"/>
      <c r="C36" s="704"/>
      <c r="D36" s="702"/>
      <c r="E36" s="703"/>
      <c r="F36" s="1206"/>
      <c r="G36" s="1206"/>
      <c r="H36" s="679"/>
      <c r="I36" s="679"/>
      <c r="J36" s="679"/>
      <c r="L36" s="679"/>
      <c r="M36" s="679"/>
    </row>
    <row r="37" spans="1:13" s="245" customFormat="1">
      <c r="A37" s="659"/>
      <c r="B37" s="566" t="s">
        <v>934</v>
      </c>
      <c r="C37" s="277" t="s">
        <v>935</v>
      </c>
      <c r="D37" s="659"/>
      <c r="E37" s="700"/>
      <c r="F37" s="1205"/>
      <c r="G37" s="1205"/>
      <c r="H37" s="674"/>
      <c r="I37" s="674"/>
      <c r="J37" s="674"/>
      <c r="K37" s="247"/>
      <c r="L37" s="674"/>
      <c r="M37" s="674"/>
    </row>
    <row r="38" spans="1:13">
      <c r="A38" s="659"/>
      <c r="B38" s="566"/>
      <c r="C38" s="704"/>
      <c r="D38" s="702"/>
      <c r="E38" s="703"/>
      <c r="F38" s="1206"/>
      <c r="G38" s="1206"/>
      <c r="H38" s="679"/>
      <c r="I38" s="679"/>
      <c r="J38" s="679"/>
      <c r="L38" s="679"/>
      <c r="M38" s="679"/>
    </row>
    <row r="39" spans="1:13">
      <c r="A39" s="659" t="s">
        <v>936</v>
      </c>
      <c r="B39" s="566"/>
      <c r="C39" s="704" t="s">
        <v>937</v>
      </c>
      <c r="D39" s="702" t="s">
        <v>70</v>
      </c>
      <c r="E39" s="703">
        <v>10</v>
      </c>
      <c r="F39" s="1200"/>
      <c r="G39" s="1201"/>
      <c r="H39" s="679"/>
      <c r="I39" s="679"/>
      <c r="J39" s="679"/>
      <c r="L39" s="679"/>
      <c r="M39" s="679"/>
    </row>
    <row r="40" spans="1:13">
      <c r="A40" s="659"/>
      <c r="B40" s="566"/>
      <c r="C40" s="704"/>
      <c r="D40" s="702"/>
      <c r="E40" s="703"/>
      <c r="F40" s="1206"/>
      <c r="G40" s="1206"/>
      <c r="H40" s="679"/>
      <c r="I40" s="679"/>
      <c r="J40" s="679"/>
      <c r="L40" s="679"/>
      <c r="M40" s="679"/>
    </row>
    <row r="41" spans="1:13">
      <c r="A41" s="659" t="s">
        <v>938</v>
      </c>
      <c r="B41" s="566"/>
      <c r="C41" s="704" t="s">
        <v>939</v>
      </c>
      <c r="D41" s="702" t="s">
        <v>818</v>
      </c>
      <c r="E41" s="703">
        <v>50</v>
      </c>
      <c r="F41" s="1200"/>
      <c r="G41" s="1201"/>
      <c r="H41" s="679"/>
      <c r="I41" s="679"/>
      <c r="J41" s="679"/>
      <c r="L41" s="679"/>
      <c r="M41" s="679"/>
    </row>
    <row r="42" spans="1:13">
      <c r="A42" s="659"/>
      <c r="B42" s="566"/>
      <c r="C42" s="704"/>
      <c r="D42" s="702"/>
      <c r="E42" s="703"/>
      <c r="F42" s="1206"/>
      <c r="G42" s="1206"/>
      <c r="H42" s="679"/>
      <c r="I42" s="679"/>
      <c r="J42" s="679"/>
      <c r="L42" s="679"/>
      <c r="M42" s="679"/>
    </row>
    <row r="43" spans="1:13">
      <c r="A43" s="659"/>
      <c r="B43" s="567" t="s">
        <v>844</v>
      </c>
      <c r="C43" s="297" t="s">
        <v>940</v>
      </c>
      <c r="D43" s="705"/>
      <c r="E43" s="705"/>
      <c r="F43" s="1206"/>
      <c r="G43" s="1206"/>
      <c r="H43" s="679"/>
      <c r="I43" s="679"/>
      <c r="J43" s="679"/>
      <c r="L43" s="679"/>
      <c r="M43" s="679"/>
    </row>
    <row r="44" spans="1:13">
      <c r="A44" s="659"/>
      <c r="B44" s="568"/>
      <c r="C44" s="706"/>
      <c r="D44" s="705"/>
      <c r="E44" s="707"/>
      <c r="F44" s="1206"/>
      <c r="G44" s="1206"/>
      <c r="H44" s="679"/>
      <c r="I44" s="679"/>
      <c r="J44" s="679"/>
      <c r="L44" s="679"/>
      <c r="M44" s="679"/>
    </row>
    <row r="45" spans="1:13" ht="25.5">
      <c r="A45" s="659" t="s">
        <v>941</v>
      </c>
      <c r="B45" s="568" t="s">
        <v>942</v>
      </c>
      <c r="C45" s="706" t="s">
        <v>943</v>
      </c>
      <c r="D45" s="705" t="s">
        <v>825</v>
      </c>
      <c r="E45" s="707">
        <v>50</v>
      </c>
      <c r="F45" s="1200"/>
      <c r="G45" s="1201"/>
      <c r="H45" s="679"/>
      <c r="I45" s="679"/>
      <c r="J45" s="679"/>
      <c r="L45" s="679"/>
      <c r="M45" s="679"/>
    </row>
    <row r="46" spans="1:13">
      <c r="A46" s="659"/>
      <c r="B46" s="568"/>
      <c r="C46" s="706"/>
      <c r="D46" s="705"/>
      <c r="E46" s="707"/>
      <c r="F46" s="1206"/>
      <c r="G46" s="1206"/>
      <c r="H46" s="679"/>
      <c r="I46" s="679"/>
      <c r="J46" s="679"/>
      <c r="K46" s="267"/>
      <c r="L46" s="679"/>
      <c r="M46" s="679"/>
    </row>
    <row r="47" spans="1:13">
      <c r="A47" s="262">
        <v>3.2</v>
      </c>
      <c r="B47" s="565" t="s">
        <v>944</v>
      </c>
      <c r="C47" s="277" t="s">
        <v>945</v>
      </c>
      <c r="D47" s="279"/>
      <c r="E47" s="280"/>
      <c r="F47" s="1209"/>
      <c r="G47" s="1209"/>
      <c r="H47" s="679"/>
      <c r="I47" s="679"/>
      <c r="J47" s="679"/>
      <c r="L47" s="679"/>
      <c r="M47" s="679"/>
    </row>
    <row r="48" spans="1:13">
      <c r="A48" s="659"/>
      <c r="B48" s="566"/>
      <c r="C48" s="704"/>
      <c r="D48" s="702"/>
      <c r="E48" s="703"/>
      <c r="F48" s="1206"/>
      <c r="G48" s="1206"/>
      <c r="H48" s="679"/>
      <c r="I48" s="679"/>
      <c r="J48" s="679"/>
      <c r="L48" s="679"/>
      <c r="M48" s="679"/>
    </row>
    <row r="49" spans="1:12">
      <c r="A49" s="659"/>
      <c r="B49" s="537" t="s">
        <v>413</v>
      </c>
      <c r="C49" s="285" t="s">
        <v>946</v>
      </c>
      <c r="D49" s="708"/>
      <c r="E49" s="709"/>
      <c r="F49" s="1210"/>
      <c r="G49" s="1211"/>
      <c r="H49" s="679"/>
      <c r="I49" s="679"/>
      <c r="J49" s="679"/>
      <c r="L49" s="679"/>
    </row>
    <row r="50" spans="1:12">
      <c r="A50" s="659"/>
      <c r="B50" s="537"/>
      <c r="C50" s="298"/>
      <c r="D50" s="708"/>
      <c r="E50" s="709"/>
      <c r="F50" s="1210"/>
      <c r="G50" s="1211"/>
      <c r="H50" s="679"/>
      <c r="I50" s="679"/>
      <c r="J50" s="679"/>
      <c r="L50" s="679"/>
    </row>
    <row r="51" spans="1:12" s="245" customFormat="1">
      <c r="A51" s="659"/>
      <c r="B51" s="537" t="s">
        <v>947</v>
      </c>
      <c r="C51" s="282" t="s">
        <v>948</v>
      </c>
      <c r="D51" s="708"/>
      <c r="E51" s="709"/>
      <c r="F51" s="1210"/>
      <c r="G51" s="1211"/>
      <c r="H51" s="674"/>
      <c r="I51" s="674"/>
      <c r="J51" s="674"/>
      <c r="K51" s="247"/>
      <c r="L51" s="674"/>
    </row>
    <row r="52" spans="1:12">
      <c r="A52" s="659"/>
      <c r="B52" s="537"/>
      <c r="C52" s="298"/>
      <c r="D52" s="708"/>
      <c r="E52" s="709"/>
      <c r="F52" s="1210"/>
      <c r="G52" s="1211"/>
      <c r="H52" s="679"/>
      <c r="I52" s="679"/>
      <c r="J52" s="679"/>
      <c r="L52" s="679"/>
    </row>
    <row r="53" spans="1:12" ht="25.5">
      <c r="A53" s="659" t="s">
        <v>949</v>
      </c>
      <c r="B53" s="537"/>
      <c r="C53" s="710" t="s">
        <v>950</v>
      </c>
      <c r="D53" s="702" t="s">
        <v>927</v>
      </c>
      <c r="E53" s="711">
        <f>_xlfn.CEILING.MATH((300) *0.15)</f>
        <v>45</v>
      </c>
      <c r="F53" s="1200"/>
      <c r="G53" s="1201"/>
      <c r="H53" s="679"/>
      <c r="I53" s="679"/>
      <c r="J53" s="679"/>
      <c r="L53" s="679"/>
    </row>
    <row r="54" spans="1:12">
      <c r="A54" s="659"/>
      <c r="B54" s="537"/>
      <c r="C54" s="710"/>
      <c r="D54" s="702"/>
      <c r="E54" s="711"/>
      <c r="F54" s="1210"/>
      <c r="G54" s="1206"/>
      <c r="H54" s="679"/>
      <c r="I54" s="679"/>
      <c r="J54" s="679"/>
      <c r="L54" s="679"/>
    </row>
    <row r="55" spans="1:12">
      <c r="A55" s="659" t="s">
        <v>951</v>
      </c>
      <c r="B55" s="537"/>
      <c r="C55" s="710" t="s">
        <v>952</v>
      </c>
      <c r="D55" s="702" t="s">
        <v>335</v>
      </c>
      <c r="E55" s="711">
        <v>1</v>
      </c>
      <c r="F55" s="1200"/>
      <c r="G55" s="1201"/>
      <c r="H55" s="679"/>
      <c r="I55" s="679"/>
      <c r="J55" s="679"/>
      <c r="L55" s="679"/>
    </row>
    <row r="56" spans="1:12">
      <c r="A56" s="659"/>
      <c r="B56" s="537"/>
      <c r="C56" s="710"/>
      <c r="D56" s="702"/>
      <c r="E56" s="711"/>
      <c r="F56" s="1210"/>
      <c r="G56" s="1206"/>
      <c r="H56" s="679"/>
      <c r="I56" s="679"/>
      <c r="J56" s="679"/>
      <c r="L56" s="679"/>
    </row>
    <row r="57" spans="1:12">
      <c r="A57" s="262">
        <v>3.3</v>
      </c>
      <c r="B57" s="565" t="s">
        <v>953</v>
      </c>
      <c r="C57" s="277" t="s">
        <v>954</v>
      </c>
      <c r="D57" s="262"/>
      <c r="E57" s="278"/>
      <c r="F57" s="1212"/>
      <c r="G57" s="1212"/>
      <c r="H57" s="679"/>
      <c r="I57" s="679"/>
      <c r="J57" s="679"/>
      <c r="L57" s="679"/>
    </row>
    <row r="58" spans="1:12">
      <c r="A58" s="659"/>
      <c r="B58" s="566"/>
      <c r="C58" s="704"/>
      <c r="D58" s="702"/>
      <c r="E58" s="703"/>
      <c r="F58" s="1206"/>
      <c r="G58" s="1206"/>
      <c r="H58" s="679"/>
      <c r="I58" s="679"/>
      <c r="J58" s="679"/>
      <c r="L58" s="679"/>
    </row>
    <row r="59" spans="1:12">
      <c r="A59" s="660"/>
      <c r="B59" s="569">
        <v>8.1999999999999993</v>
      </c>
      <c r="C59" s="300" t="s">
        <v>955</v>
      </c>
      <c r="D59" s="712"/>
      <c r="E59" s="712"/>
      <c r="F59" s="1213"/>
      <c r="G59" s="1213"/>
      <c r="H59" s="679"/>
      <c r="I59" s="679"/>
      <c r="J59" s="679"/>
      <c r="L59" s="679"/>
    </row>
    <row r="60" spans="1:12">
      <c r="A60" s="660"/>
      <c r="B60" s="569"/>
      <c r="C60" s="713"/>
      <c r="D60" s="712"/>
      <c r="E60" s="712"/>
      <c r="F60" s="1213"/>
      <c r="G60" s="1213"/>
      <c r="H60" s="679"/>
      <c r="I60" s="679"/>
      <c r="J60" s="679"/>
      <c r="L60" s="679"/>
    </row>
    <row r="61" spans="1:12">
      <c r="A61" s="660" t="s">
        <v>956</v>
      </c>
      <c r="B61" s="569" t="s">
        <v>815</v>
      </c>
      <c r="C61" s="713" t="s">
        <v>957</v>
      </c>
      <c r="D61" s="708" t="s">
        <v>818</v>
      </c>
      <c r="E61" s="703">
        <v>90</v>
      </c>
      <c r="F61" s="1200"/>
      <c r="G61" s="1201"/>
      <c r="H61" s="679"/>
      <c r="I61" s="679"/>
      <c r="J61" s="679"/>
      <c r="L61" s="679"/>
    </row>
    <row r="62" spans="1:12">
      <c r="A62" s="660"/>
      <c r="B62" s="529"/>
      <c r="C62" s="714"/>
      <c r="D62" s="712"/>
      <c r="E62" s="712"/>
      <c r="F62" s="1213"/>
      <c r="G62" s="1213"/>
      <c r="H62" s="679"/>
      <c r="I62" s="679"/>
      <c r="J62" s="679"/>
      <c r="L62" s="679"/>
    </row>
    <row r="63" spans="1:12">
      <c r="A63" s="660"/>
      <c r="B63" s="529">
        <v>8.3000000000000007</v>
      </c>
      <c r="C63" s="289" t="s">
        <v>958</v>
      </c>
      <c r="D63" s="712"/>
      <c r="E63" s="712"/>
      <c r="F63" s="1214"/>
      <c r="G63" s="1214"/>
      <c r="H63" s="679" t="e">
        <f>#REF!/2</f>
        <v>#REF!</v>
      </c>
      <c r="I63" s="679" t="e">
        <f>#REF!+H63</f>
        <v>#REF!</v>
      </c>
      <c r="J63" s="679"/>
      <c r="L63" s="679"/>
    </row>
    <row r="64" spans="1:12">
      <c r="A64" s="660"/>
      <c r="B64" s="529"/>
      <c r="C64" s="289"/>
      <c r="D64" s="712"/>
      <c r="E64" s="712"/>
      <c r="F64" s="1214"/>
      <c r="G64" s="1214"/>
      <c r="H64" s="679"/>
      <c r="I64" s="679"/>
      <c r="J64" s="679"/>
      <c r="L64" s="679"/>
    </row>
    <row r="65" spans="1:12" ht="15" customHeight="1">
      <c r="A65" s="243" t="s">
        <v>959</v>
      </c>
      <c r="B65" s="566" t="s">
        <v>331</v>
      </c>
      <c r="C65" s="411" t="s">
        <v>960</v>
      </c>
      <c r="D65" s="341" t="s">
        <v>961</v>
      </c>
      <c r="E65" s="412">
        <v>0.5</v>
      </c>
      <c r="F65" s="1200"/>
      <c r="G65" s="1201"/>
      <c r="H65" s="679"/>
      <c r="I65" s="679">
        <v>0.6</v>
      </c>
      <c r="J65" s="679">
        <f>I65/4</f>
        <v>0.15</v>
      </c>
      <c r="K65" s="679">
        <f>I65/2</f>
        <v>0.3</v>
      </c>
      <c r="L65" s="679">
        <f>J65+K65</f>
        <v>0.44999999999999996</v>
      </c>
    </row>
    <row r="66" spans="1:12">
      <c r="A66" s="660"/>
      <c r="B66" s="566"/>
      <c r="C66" s="701"/>
      <c r="D66" s="702"/>
      <c r="E66" s="716"/>
      <c r="F66" s="1215"/>
      <c r="G66" s="1215"/>
      <c r="H66" s="679"/>
      <c r="I66" s="679"/>
      <c r="J66" s="679"/>
      <c r="L66" s="679"/>
    </row>
    <row r="67" spans="1:12">
      <c r="A67" s="660" t="s">
        <v>962</v>
      </c>
      <c r="B67" s="566" t="s">
        <v>331</v>
      </c>
      <c r="C67" s="701" t="s">
        <v>963</v>
      </c>
      <c r="D67" s="702" t="s">
        <v>961</v>
      </c>
      <c r="E67" s="717">
        <f>E65*0.45</f>
        <v>0.22500000000000001</v>
      </c>
      <c r="F67" s="1200"/>
      <c r="G67" s="1201"/>
      <c r="H67" s="679"/>
      <c r="I67" s="679"/>
      <c r="J67" s="679"/>
      <c r="L67" s="679"/>
    </row>
    <row r="68" spans="1:12">
      <c r="A68" s="660"/>
      <c r="B68" s="566"/>
      <c r="C68" s="701"/>
      <c r="D68" s="702"/>
      <c r="E68" s="717"/>
      <c r="F68" s="1215"/>
      <c r="G68" s="1215"/>
      <c r="H68" s="679"/>
      <c r="I68" s="679"/>
      <c r="J68" s="679"/>
      <c r="L68" s="679"/>
    </row>
    <row r="69" spans="1:12">
      <c r="A69" s="660"/>
      <c r="B69" s="570" t="s">
        <v>363</v>
      </c>
      <c r="C69" s="301" t="s">
        <v>964</v>
      </c>
      <c r="D69" s="687"/>
      <c r="E69" s="716"/>
      <c r="F69" s="1215"/>
      <c r="G69" s="1215"/>
      <c r="H69" s="679"/>
      <c r="I69" s="679"/>
      <c r="J69" s="679"/>
      <c r="L69" s="679"/>
    </row>
    <row r="70" spans="1:12">
      <c r="A70" s="660"/>
      <c r="B70" s="570"/>
      <c r="C70" s="301"/>
      <c r="D70" s="687"/>
      <c r="E70" s="716"/>
      <c r="F70" s="1215"/>
      <c r="G70" s="1215"/>
      <c r="H70" s="679"/>
      <c r="I70" s="679"/>
      <c r="J70" s="679"/>
      <c r="L70" s="679"/>
    </row>
    <row r="71" spans="1:12" ht="15">
      <c r="A71" s="660" t="s">
        <v>965</v>
      </c>
      <c r="B71" s="570"/>
      <c r="C71" s="718" t="s">
        <v>966</v>
      </c>
      <c r="D71" s="708" t="s">
        <v>967</v>
      </c>
      <c r="E71" s="716">
        <v>500</v>
      </c>
      <c r="F71" s="1200"/>
      <c r="G71" s="1201"/>
      <c r="H71" s="679"/>
      <c r="I71" s="679"/>
      <c r="J71" s="679"/>
      <c r="L71" s="679"/>
    </row>
    <row r="72" spans="1:12">
      <c r="A72" s="660"/>
      <c r="B72" s="570"/>
      <c r="C72" s="718"/>
      <c r="D72" s="708"/>
      <c r="E72" s="716"/>
      <c r="F72" s="1200"/>
      <c r="G72" s="1201"/>
      <c r="H72" s="679"/>
      <c r="I72" s="679"/>
      <c r="J72" s="679"/>
      <c r="L72" s="679"/>
    </row>
    <row r="73" spans="1:12">
      <c r="A73" s="660"/>
      <c r="B73" s="570"/>
      <c r="C73" s="718"/>
      <c r="D73" s="708"/>
      <c r="E73" s="716"/>
      <c r="F73" s="1200"/>
      <c r="G73" s="1201"/>
      <c r="H73" s="679"/>
      <c r="I73" s="679"/>
      <c r="J73" s="679"/>
      <c r="L73" s="679"/>
    </row>
    <row r="74" spans="1:12">
      <c r="A74" s="660"/>
      <c r="B74" s="570"/>
      <c r="C74" s="718"/>
      <c r="D74" s="708"/>
      <c r="E74" s="716"/>
      <c r="F74" s="1200"/>
      <c r="G74" s="1201"/>
      <c r="H74" s="679"/>
      <c r="I74" s="679"/>
      <c r="J74" s="679"/>
      <c r="L74" s="679"/>
    </row>
    <row r="75" spans="1:12">
      <c r="A75" s="660"/>
      <c r="B75" s="570"/>
      <c r="C75" s="718"/>
      <c r="D75" s="708"/>
      <c r="E75" s="716"/>
      <c r="F75" s="1200"/>
      <c r="G75" s="1201"/>
      <c r="H75" s="679"/>
      <c r="I75" s="679"/>
      <c r="J75" s="679"/>
      <c r="L75" s="679"/>
    </row>
    <row r="76" spans="1:12">
      <c r="A76" s="660"/>
      <c r="B76" s="570"/>
      <c r="C76" s="718"/>
      <c r="D76" s="708"/>
      <c r="E76" s="716"/>
      <c r="F76" s="1200"/>
      <c r="G76" s="1201"/>
      <c r="H76" s="679"/>
      <c r="I76" s="679"/>
      <c r="J76" s="679"/>
      <c r="L76" s="679"/>
    </row>
    <row r="77" spans="1:12">
      <c r="A77" s="660"/>
      <c r="B77" s="570"/>
      <c r="C77" s="718"/>
      <c r="D77" s="708"/>
      <c r="E77" s="716"/>
      <c r="F77" s="1200"/>
      <c r="G77" s="1201"/>
      <c r="H77" s="679"/>
      <c r="I77" s="679"/>
      <c r="J77" s="679"/>
      <c r="L77" s="679"/>
    </row>
    <row r="78" spans="1:12">
      <c r="A78" s="660"/>
      <c r="B78" s="570"/>
      <c r="C78" s="718"/>
      <c r="D78" s="708"/>
      <c r="E78" s="716"/>
      <c r="F78" s="1200"/>
      <c r="G78" s="1201"/>
      <c r="H78" s="679"/>
      <c r="I78" s="679"/>
      <c r="J78" s="679"/>
      <c r="L78" s="679"/>
    </row>
    <row r="79" spans="1:12" ht="12.75" customHeight="1">
      <c r="A79" s="1539" t="s">
        <v>96</v>
      </c>
      <c r="B79" s="1540"/>
      <c r="C79" s="1540"/>
      <c r="D79" s="1540"/>
      <c r="E79" s="1540"/>
      <c r="F79" s="1514"/>
      <c r="G79" s="1514"/>
      <c r="H79" s="679"/>
      <c r="I79" s="679"/>
      <c r="J79" s="679"/>
      <c r="L79" s="679"/>
    </row>
    <row r="80" spans="1:12">
      <c r="A80" s="1541"/>
      <c r="B80" s="1542"/>
      <c r="C80" s="1542"/>
      <c r="D80" s="1542"/>
      <c r="E80" s="1542"/>
      <c r="F80" s="1514"/>
      <c r="G80" s="1514"/>
      <c r="H80" s="679"/>
      <c r="I80" s="679"/>
      <c r="J80" s="679"/>
      <c r="L80" s="679"/>
    </row>
    <row r="81" spans="1:12">
      <c r="A81" s="696"/>
      <c r="B81" s="529"/>
      <c r="C81" s="715" t="s">
        <v>220</v>
      </c>
      <c r="D81" s="660"/>
      <c r="E81" s="660"/>
      <c r="F81" s="1216"/>
      <c r="G81" s="1217"/>
      <c r="H81" s="679"/>
      <c r="I81" s="679"/>
      <c r="J81" s="679"/>
      <c r="L81" s="679"/>
    </row>
    <row r="82" spans="1:12">
      <c r="A82" s="660"/>
      <c r="B82" s="529"/>
      <c r="C82" s="714"/>
      <c r="D82" s="712"/>
      <c r="E82" s="712"/>
      <c r="F82" s="1213"/>
      <c r="G82" s="1213"/>
      <c r="H82" s="679"/>
      <c r="I82" s="679"/>
      <c r="J82" s="679"/>
      <c r="L82" s="679"/>
    </row>
    <row r="83" spans="1:12">
      <c r="A83" s="660"/>
      <c r="B83" s="529"/>
      <c r="C83" s="714"/>
      <c r="D83" s="712"/>
      <c r="E83" s="712"/>
      <c r="F83" s="1213"/>
      <c r="G83" s="1213"/>
      <c r="H83" s="679"/>
      <c r="I83" s="679"/>
      <c r="J83" s="679"/>
      <c r="L83" s="679"/>
    </row>
    <row r="84" spans="1:12">
      <c r="A84" s="660"/>
      <c r="B84" s="529">
        <v>8.4</v>
      </c>
      <c r="C84" s="289" t="s">
        <v>968</v>
      </c>
      <c r="D84" s="712"/>
      <c r="E84" s="712"/>
      <c r="F84" s="1214"/>
      <c r="G84" s="1214"/>
      <c r="H84" s="679"/>
      <c r="I84" s="679"/>
      <c r="J84" s="679"/>
      <c r="L84" s="679"/>
    </row>
    <row r="85" spans="1:12">
      <c r="A85" s="660"/>
      <c r="B85" s="529"/>
      <c r="C85" s="289"/>
      <c r="D85" s="712"/>
      <c r="E85" s="712"/>
      <c r="F85" s="1214"/>
      <c r="G85" s="1214"/>
      <c r="H85" s="679"/>
      <c r="I85" s="679"/>
      <c r="J85" s="679"/>
      <c r="L85" s="679"/>
    </row>
    <row r="86" spans="1:12" s="290" customFormat="1">
      <c r="A86" s="659"/>
      <c r="B86" s="566" t="s">
        <v>969</v>
      </c>
      <c r="C86" s="277" t="s">
        <v>970</v>
      </c>
      <c r="D86" s="702"/>
      <c r="E86" s="703"/>
      <c r="F86" s="1206"/>
      <c r="G86" s="1206"/>
      <c r="K86" s="291"/>
    </row>
    <row r="87" spans="1:12" s="290" customFormat="1">
      <c r="A87" s="659" t="s">
        <v>971</v>
      </c>
      <c r="B87" s="566"/>
      <c r="C87" s="704" t="s">
        <v>972</v>
      </c>
      <c r="D87" s="708" t="s">
        <v>574</v>
      </c>
      <c r="E87" s="719">
        <f>CEILING(500*0.2,10)</f>
        <v>100</v>
      </c>
      <c r="F87" s="1200"/>
      <c r="G87" s="1201"/>
      <c r="K87" s="255"/>
    </row>
    <row r="88" spans="1:12" s="290" customFormat="1">
      <c r="A88" s="660"/>
      <c r="B88" s="559"/>
      <c r="C88" s="714"/>
      <c r="D88" s="712"/>
      <c r="E88" s="712"/>
      <c r="F88" s="1214"/>
      <c r="G88" s="1214"/>
      <c r="K88" s="255"/>
    </row>
    <row r="89" spans="1:12" s="290" customFormat="1">
      <c r="A89" s="659"/>
      <c r="B89" s="571" t="s">
        <v>480</v>
      </c>
      <c r="C89" s="302" t="s">
        <v>973</v>
      </c>
      <c r="D89" s="708"/>
      <c r="E89" s="703"/>
      <c r="F89" s="1206"/>
      <c r="G89" s="1215"/>
      <c r="K89" s="255"/>
    </row>
    <row r="90" spans="1:12" s="290" customFormat="1">
      <c r="A90" s="659"/>
      <c r="B90" s="571"/>
      <c r="C90" s="720"/>
      <c r="D90" s="708"/>
      <c r="E90" s="703"/>
      <c r="F90" s="1206"/>
      <c r="G90" s="1215"/>
      <c r="K90" s="255"/>
    </row>
    <row r="91" spans="1:12" s="290" customFormat="1" ht="15">
      <c r="A91" s="659" t="s">
        <v>974</v>
      </c>
      <c r="B91" s="571"/>
      <c r="C91" s="720" t="s">
        <v>975</v>
      </c>
      <c r="D91" s="708" t="s">
        <v>967</v>
      </c>
      <c r="E91" s="703">
        <v>500</v>
      </c>
      <c r="F91" s="1200"/>
      <c r="G91" s="1201"/>
      <c r="K91" s="255"/>
    </row>
    <row r="92" spans="1:12">
      <c r="A92" s="660"/>
      <c r="B92" s="570"/>
      <c r="C92" s="718"/>
      <c r="D92" s="708"/>
      <c r="E92" s="716"/>
      <c r="F92" s="1215"/>
      <c r="G92" s="1215"/>
      <c r="H92" s="679"/>
      <c r="I92" s="679"/>
      <c r="J92" s="679"/>
      <c r="L92" s="679"/>
    </row>
    <row r="93" spans="1:12" s="290" customFormat="1">
      <c r="A93" s="262">
        <v>3.4</v>
      </c>
      <c r="B93" s="572" t="s">
        <v>976</v>
      </c>
      <c r="C93" s="303" t="s">
        <v>743</v>
      </c>
      <c r="D93" s="702"/>
      <c r="E93" s="703"/>
      <c r="F93" s="1206"/>
      <c r="G93" s="1215"/>
      <c r="K93" s="255"/>
    </row>
    <row r="94" spans="1:12" s="290" customFormat="1">
      <c r="A94" s="262"/>
      <c r="B94" s="572"/>
      <c r="C94" s="303"/>
      <c r="D94" s="702"/>
      <c r="E94" s="703"/>
      <c r="F94" s="1206"/>
      <c r="G94" s="1215"/>
      <c r="K94" s="255"/>
    </row>
    <row r="95" spans="1:12" s="290" customFormat="1">
      <c r="A95" s="659"/>
      <c r="B95" s="566" t="s">
        <v>977</v>
      </c>
      <c r="C95" s="303" t="s">
        <v>978</v>
      </c>
      <c r="D95" s="658"/>
      <c r="E95" s="703"/>
      <c r="F95" s="1206"/>
      <c r="G95" s="1215"/>
      <c r="K95" s="255"/>
    </row>
    <row r="96" spans="1:12" s="290" customFormat="1">
      <c r="A96" s="659"/>
      <c r="B96" s="566"/>
      <c r="C96" s="721"/>
      <c r="D96" s="658"/>
      <c r="E96" s="722"/>
      <c r="F96" s="1206"/>
      <c r="G96" s="1215"/>
      <c r="K96" s="255"/>
    </row>
    <row r="97" spans="1:11" s="290" customFormat="1" ht="49.9" customHeight="1">
      <c r="A97" s="659"/>
      <c r="B97" s="566"/>
      <c r="C97" s="661" t="s">
        <v>979</v>
      </c>
      <c r="D97" s="702"/>
      <c r="E97" s="722"/>
      <c r="F97" s="1206"/>
      <c r="G97" s="1215"/>
      <c r="K97" s="255"/>
    </row>
    <row r="98" spans="1:11" s="290" customFormat="1">
      <c r="A98" s="659"/>
      <c r="B98" s="566"/>
      <c r="C98" s="723"/>
      <c r="D98" s="702"/>
      <c r="E98" s="722"/>
      <c r="F98" s="1206"/>
      <c r="G98" s="1215"/>
      <c r="K98" s="255"/>
    </row>
    <row r="99" spans="1:11" s="290" customFormat="1">
      <c r="A99" s="659" t="s">
        <v>980</v>
      </c>
      <c r="B99" s="566"/>
      <c r="C99" s="723" t="s">
        <v>981</v>
      </c>
      <c r="D99" s="702" t="s">
        <v>818</v>
      </c>
      <c r="E99" s="722">
        <v>240</v>
      </c>
      <c r="F99" s="1218"/>
      <c r="G99" s="1201"/>
      <c r="K99" s="291"/>
    </row>
    <row r="100" spans="1:11" s="290" customFormat="1">
      <c r="A100" s="659"/>
      <c r="B100" s="566"/>
      <c r="C100" s="723"/>
      <c r="D100" s="702"/>
      <c r="E100" s="722"/>
      <c r="F100" s="1206"/>
      <c r="G100" s="1215"/>
      <c r="K100" s="255"/>
    </row>
    <row r="101" spans="1:11">
      <c r="A101" s="659"/>
      <c r="B101" s="566" t="s">
        <v>982</v>
      </c>
      <c r="C101" s="724" t="s">
        <v>983</v>
      </c>
      <c r="D101" s="702"/>
      <c r="E101" s="722"/>
      <c r="F101" s="1206"/>
      <c r="G101" s="1206"/>
      <c r="H101" s="679"/>
      <c r="I101" s="679"/>
      <c r="J101" s="679"/>
    </row>
    <row r="102" spans="1:11">
      <c r="A102" s="659"/>
      <c r="B102" s="566"/>
      <c r="C102" s="723"/>
      <c r="D102" s="702"/>
      <c r="E102" s="722"/>
      <c r="F102" s="1206"/>
      <c r="G102" s="1206"/>
      <c r="H102" s="679"/>
      <c r="I102" s="679"/>
      <c r="J102" s="679"/>
    </row>
    <row r="103" spans="1:11" s="249" customFormat="1" ht="38.25">
      <c r="A103" s="262"/>
      <c r="B103" s="572"/>
      <c r="C103" s="661" t="s">
        <v>984</v>
      </c>
      <c r="D103" s="279"/>
      <c r="E103" s="280"/>
      <c r="F103" s="1209"/>
      <c r="G103" s="1209"/>
      <c r="K103" s="256"/>
    </row>
    <row r="104" spans="1:11">
      <c r="A104" s="659"/>
      <c r="B104" s="566"/>
      <c r="C104" s="723"/>
      <c r="D104" s="702"/>
      <c r="E104" s="703"/>
      <c r="F104" s="1206"/>
      <c r="G104" s="1206"/>
      <c r="H104" s="679"/>
      <c r="I104" s="679"/>
      <c r="J104" s="679"/>
    </row>
    <row r="105" spans="1:11">
      <c r="A105" s="659" t="s">
        <v>985</v>
      </c>
      <c r="B105" s="566" t="s">
        <v>986</v>
      </c>
      <c r="C105" s="725" t="s">
        <v>987</v>
      </c>
      <c r="D105" s="726" t="s">
        <v>818</v>
      </c>
      <c r="E105" s="703">
        <v>240</v>
      </c>
      <c r="F105" s="1200"/>
      <c r="G105" s="1201"/>
      <c r="H105" s="679"/>
      <c r="I105" s="679"/>
      <c r="J105" s="679"/>
      <c r="K105" s="255" t="s">
        <v>988</v>
      </c>
    </row>
    <row r="106" spans="1:11">
      <c r="A106" s="659"/>
      <c r="B106" s="566"/>
      <c r="C106" s="725"/>
      <c r="D106" s="726"/>
      <c r="E106" s="727"/>
      <c r="F106" s="1206"/>
      <c r="G106" s="1206"/>
      <c r="H106" s="679"/>
      <c r="I106" s="679"/>
      <c r="J106" s="679"/>
    </row>
    <row r="107" spans="1:11">
      <c r="A107" s="659" t="s">
        <v>989</v>
      </c>
      <c r="B107" s="566"/>
      <c r="C107" s="725" t="s">
        <v>990</v>
      </c>
      <c r="D107" s="726" t="s">
        <v>818</v>
      </c>
      <c r="E107" s="727">
        <v>240</v>
      </c>
      <c r="F107" s="1200"/>
      <c r="G107" s="1201"/>
      <c r="H107" s="679"/>
      <c r="I107" s="679"/>
      <c r="J107" s="679"/>
      <c r="K107" s="273" t="s">
        <v>991</v>
      </c>
    </row>
    <row r="108" spans="1:11">
      <c r="A108" s="659"/>
      <c r="B108" s="566"/>
      <c r="C108" s="725"/>
      <c r="D108" s="726"/>
      <c r="E108" s="727"/>
      <c r="F108" s="1206"/>
      <c r="G108" s="1206"/>
      <c r="H108" s="679"/>
      <c r="I108" s="679"/>
      <c r="J108" s="679"/>
      <c r="K108" s="273"/>
    </row>
    <row r="109" spans="1:11" s="245" customFormat="1">
      <c r="A109" s="262">
        <v>3.5</v>
      </c>
      <c r="B109" s="565" t="s">
        <v>992</v>
      </c>
      <c r="C109" s="277" t="s">
        <v>993</v>
      </c>
      <c r="D109" s="262"/>
      <c r="E109" s="278"/>
      <c r="F109" s="1212"/>
      <c r="G109" s="1212"/>
      <c r="H109" s="674"/>
      <c r="I109" s="674"/>
      <c r="J109" s="674"/>
      <c r="K109" s="247"/>
    </row>
    <row r="110" spans="1:11">
      <c r="A110" s="659"/>
      <c r="B110" s="566"/>
      <c r="C110" s="704"/>
      <c r="D110" s="702"/>
      <c r="E110" s="703"/>
      <c r="F110" s="1206"/>
      <c r="G110" s="1206"/>
      <c r="H110" s="679"/>
      <c r="I110" s="679"/>
      <c r="J110" s="679"/>
    </row>
    <row r="111" spans="1:11">
      <c r="A111" s="659"/>
      <c r="B111" s="566" t="s">
        <v>994</v>
      </c>
      <c r="C111" s="277" t="s">
        <v>995</v>
      </c>
      <c r="D111" s="702"/>
      <c r="E111" s="703"/>
      <c r="F111" s="1206"/>
      <c r="G111" s="1206"/>
      <c r="H111" s="679"/>
      <c r="I111" s="679"/>
      <c r="J111" s="679"/>
    </row>
    <row r="112" spans="1:11">
      <c r="A112" s="659"/>
      <c r="B112" s="566"/>
      <c r="C112" s="704"/>
      <c r="D112" s="702"/>
      <c r="E112" s="703"/>
      <c r="F112" s="1206"/>
      <c r="G112" s="1206"/>
      <c r="H112" s="679"/>
      <c r="I112" s="679"/>
      <c r="J112" s="679"/>
    </row>
    <row r="113" spans="1:11">
      <c r="A113" s="659"/>
      <c r="B113" s="566" t="s">
        <v>996</v>
      </c>
      <c r="C113" s="277" t="s">
        <v>997</v>
      </c>
      <c r="D113" s="702"/>
      <c r="E113" s="703"/>
      <c r="F113" s="1206"/>
      <c r="G113" s="1206"/>
      <c r="H113" s="679"/>
      <c r="I113" s="679"/>
      <c r="J113" s="679"/>
    </row>
    <row r="114" spans="1:11">
      <c r="A114" s="659"/>
      <c r="B114" s="566"/>
      <c r="C114" s="704"/>
      <c r="D114" s="702"/>
      <c r="E114" s="703"/>
      <c r="F114" s="1206"/>
      <c r="G114" s="1206"/>
      <c r="H114" s="679"/>
      <c r="I114" s="679"/>
      <c r="J114" s="679"/>
    </row>
    <row r="115" spans="1:11" s="290" customFormat="1" ht="25.15" customHeight="1">
      <c r="A115" s="331" t="s">
        <v>998</v>
      </c>
      <c r="B115" s="566" t="s">
        <v>999</v>
      </c>
      <c r="C115" s="588" t="s">
        <v>1000</v>
      </c>
      <c r="D115" s="341" t="s">
        <v>917</v>
      </c>
      <c r="E115" s="620">
        <f>(1.1)*(0.34)*(25)</f>
        <v>9.3500000000000014</v>
      </c>
      <c r="F115" s="1200"/>
      <c r="G115" s="1201"/>
    </row>
    <row r="116" spans="1:11" s="290" customFormat="1">
      <c r="A116" s="331"/>
      <c r="B116" s="566"/>
      <c r="C116" s="588"/>
      <c r="D116" s="341"/>
      <c r="E116" s="620"/>
      <c r="F116" s="1207"/>
      <c r="G116" s="1207"/>
    </row>
    <row r="117" spans="1:11" s="290" customFormat="1" ht="15">
      <c r="A117" s="331" t="s">
        <v>1001</v>
      </c>
      <c r="B117" s="644" t="s">
        <v>1002</v>
      </c>
      <c r="C117" s="588" t="s">
        <v>1003</v>
      </c>
      <c r="D117" s="341" t="s">
        <v>917</v>
      </c>
      <c r="E117" s="620">
        <f>(1.1)*(0.525)*(25)</f>
        <v>14.437500000000004</v>
      </c>
      <c r="F117" s="1200"/>
      <c r="G117" s="1201"/>
    </row>
    <row r="118" spans="1:11" s="290" customFormat="1">
      <c r="A118" s="331"/>
      <c r="B118" s="518"/>
      <c r="C118" s="645"/>
      <c r="D118" s="646"/>
      <c r="E118" s="622"/>
      <c r="F118" s="1219"/>
      <c r="G118" s="1219"/>
    </row>
    <row r="119" spans="1:11" s="290" customFormat="1" ht="15">
      <c r="A119" s="331" t="s">
        <v>1004</v>
      </c>
      <c r="B119" s="518" t="s">
        <v>1005</v>
      </c>
      <c r="C119" s="645" t="s">
        <v>1006</v>
      </c>
      <c r="D119" s="341" t="s">
        <v>917</v>
      </c>
      <c r="E119" s="622">
        <v>33</v>
      </c>
      <c r="F119" s="1200"/>
      <c r="G119" s="1201"/>
      <c r="K119" s="290" t="s">
        <v>1007</v>
      </c>
    </row>
    <row r="120" spans="1:11">
      <c r="A120" s="659"/>
      <c r="B120" s="518"/>
      <c r="C120" s="728"/>
      <c r="D120" s="729"/>
      <c r="E120" s="716"/>
      <c r="F120" s="1215"/>
      <c r="G120" s="1215"/>
      <c r="H120" s="679"/>
      <c r="I120" s="679"/>
      <c r="J120" s="679"/>
    </row>
    <row r="121" spans="1:11" s="245" customFormat="1">
      <c r="A121" s="262">
        <v>3.6</v>
      </c>
      <c r="B121" s="565" t="s">
        <v>1008</v>
      </c>
      <c r="C121" s="263" t="s">
        <v>1009</v>
      </c>
      <c r="D121" s="659"/>
      <c r="E121" s="659"/>
      <c r="F121" s="1205"/>
      <c r="G121" s="1205"/>
      <c r="H121" s="674"/>
      <c r="I121" s="674"/>
      <c r="J121" s="674"/>
      <c r="K121" s="247"/>
    </row>
    <row r="122" spans="1:11">
      <c r="A122" s="659"/>
      <c r="B122" s="566"/>
      <c r="C122" s="701"/>
      <c r="D122" s="702"/>
      <c r="E122" s="702"/>
      <c r="F122" s="1206"/>
      <c r="G122" s="1206"/>
      <c r="H122" s="679"/>
      <c r="I122" s="679"/>
      <c r="J122" s="679"/>
    </row>
    <row r="123" spans="1:11" ht="25.5">
      <c r="A123" s="659"/>
      <c r="B123" s="566" t="s">
        <v>815</v>
      </c>
      <c r="C123" s="263" t="s">
        <v>1010</v>
      </c>
      <c r="D123" s="702"/>
      <c r="E123" s="702"/>
      <c r="F123" s="1206"/>
      <c r="G123" s="1206"/>
      <c r="H123" s="679"/>
      <c r="I123" s="679"/>
      <c r="J123" s="679"/>
    </row>
    <row r="124" spans="1:11">
      <c r="A124" s="659"/>
      <c r="B124" s="566"/>
      <c r="C124" s="704"/>
      <c r="D124" s="702"/>
      <c r="E124" s="702"/>
      <c r="F124" s="1206"/>
      <c r="G124" s="1206"/>
      <c r="H124" s="679"/>
      <c r="I124" s="679"/>
      <c r="J124" s="679"/>
    </row>
    <row r="125" spans="1:11" s="290" customFormat="1">
      <c r="A125" s="331" t="s">
        <v>1011</v>
      </c>
      <c r="B125" s="566"/>
      <c r="C125" s="647" t="s">
        <v>1012</v>
      </c>
      <c r="D125" s="341" t="s">
        <v>818</v>
      </c>
      <c r="E125" s="648">
        <v>35</v>
      </c>
      <c r="F125" s="1200"/>
      <c r="G125" s="1201"/>
    </row>
    <row r="126" spans="1:11">
      <c r="A126" s="659"/>
      <c r="B126" s="566"/>
      <c r="C126" s="721"/>
      <c r="D126" s="702"/>
      <c r="E126" s="730"/>
      <c r="F126" s="1206"/>
      <c r="G126" s="1206"/>
      <c r="H126" s="679"/>
      <c r="I126" s="679"/>
      <c r="J126" s="679"/>
    </row>
    <row r="127" spans="1:11">
      <c r="A127" s="659" t="s">
        <v>1013</v>
      </c>
      <c r="B127" s="566"/>
      <c r="C127" s="721" t="s">
        <v>1014</v>
      </c>
      <c r="D127" s="702" t="s">
        <v>357</v>
      </c>
      <c r="E127" s="730">
        <v>1</v>
      </c>
      <c r="F127" s="1447">
        <v>350000</v>
      </c>
      <c r="G127" s="1201"/>
      <c r="H127" s="679"/>
      <c r="I127" s="679"/>
      <c r="J127" s="679"/>
    </row>
    <row r="128" spans="1:11">
      <c r="A128" s="659"/>
      <c r="B128" s="566"/>
      <c r="C128" s="721"/>
      <c r="D128" s="702"/>
      <c r="E128" s="730"/>
      <c r="F128" s="1206"/>
      <c r="G128" s="1206"/>
      <c r="H128" s="679"/>
      <c r="I128" s="679"/>
      <c r="J128" s="679"/>
    </row>
    <row r="129" spans="1:11">
      <c r="A129" s="283">
        <v>3.7</v>
      </c>
      <c r="B129" s="573" t="s">
        <v>1015</v>
      </c>
      <c r="C129" s="285" t="s">
        <v>1016</v>
      </c>
      <c r="D129" s="285"/>
      <c r="E129" s="286"/>
      <c r="F129" s="1220"/>
      <c r="G129" s="1220"/>
      <c r="H129" s="679"/>
      <c r="I129" s="679"/>
      <c r="J129" s="679"/>
    </row>
    <row r="130" spans="1:11">
      <c r="A130" s="708"/>
      <c r="B130" s="574"/>
      <c r="C130" s="731"/>
      <c r="D130" s="731"/>
      <c r="E130" s="732"/>
      <c r="F130" s="1221"/>
      <c r="G130" s="1221"/>
      <c r="H130" s="679"/>
      <c r="I130" s="679"/>
      <c r="J130" s="679"/>
    </row>
    <row r="131" spans="1:11" ht="25.5">
      <c r="A131" s="708"/>
      <c r="B131" s="537" t="s">
        <v>413</v>
      </c>
      <c r="C131" s="710" t="s">
        <v>1017</v>
      </c>
      <c r="D131" s="731"/>
      <c r="E131" s="732"/>
      <c r="F131" s="1221"/>
      <c r="G131" s="1221"/>
      <c r="H131" s="679"/>
      <c r="I131" s="679"/>
      <c r="J131" s="679"/>
    </row>
    <row r="132" spans="1:11">
      <c r="A132" s="708"/>
      <c r="B132" s="574"/>
      <c r="C132" s="731"/>
      <c r="D132" s="731"/>
      <c r="E132" s="732"/>
      <c r="F132" s="1221"/>
      <c r="G132" s="1221"/>
      <c r="H132" s="679"/>
      <c r="I132" s="679"/>
      <c r="J132" s="679"/>
    </row>
    <row r="133" spans="1:11" ht="25.5">
      <c r="A133" s="708" t="s">
        <v>1018</v>
      </c>
      <c r="B133" s="574"/>
      <c r="C133" s="710" t="s">
        <v>1019</v>
      </c>
      <c r="D133" s="702" t="s">
        <v>927</v>
      </c>
      <c r="E133" s="711">
        <f>E53</f>
        <v>45</v>
      </c>
      <c r="F133" s="1200"/>
      <c r="G133" s="1201"/>
      <c r="H133" s="679"/>
      <c r="I133" s="679"/>
      <c r="J133" s="679"/>
    </row>
    <row r="134" spans="1:11">
      <c r="A134" s="660"/>
      <c r="B134" s="529"/>
      <c r="C134" s="715"/>
      <c r="D134" s="660"/>
      <c r="E134" s="660"/>
      <c r="F134" s="1216"/>
      <c r="G134" s="1216"/>
      <c r="H134" s="679"/>
      <c r="I134" s="679"/>
      <c r="J134" s="679"/>
    </row>
    <row r="135" spans="1:11" ht="25.5">
      <c r="A135" s="659" t="s">
        <v>1020</v>
      </c>
      <c r="B135" s="566"/>
      <c r="C135" s="733" t="s">
        <v>1021</v>
      </c>
      <c r="D135" s="702" t="s">
        <v>927</v>
      </c>
      <c r="E135" s="734">
        <f>E133</f>
        <v>45</v>
      </c>
      <c r="F135" s="1200"/>
      <c r="G135" s="1201"/>
      <c r="H135" s="735"/>
      <c r="I135" s="735"/>
      <c r="J135" s="735"/>
    </row>
    <row r="136" spans="1:11">
      <c r="A136" s="659"/>
      <c r="B136" s="566"/>
      <c r="C136" s="721"/>
      <c r="D136" s="702"/>
      <c r="E136" s="730"/>
      <c r="F136" s="1206"/>
      <c r="G136" s="1206"/>
      <c r="H136" s="679"/>
      <c r="I136" s="679"/>
      <c r="J136" s="679"/>
    </row>
    <row r="137" spans="1:11" s="245" customFormat="1">
      <c r="A137" s="288">
        <v>3.8</v>
      </c>
      <c r="B137" s="575" t="s">
        <v>1022</v>
      </c>
      <c r="C137" s="289" t="s">
        <v>1023</v>
      </c>
      <c r="D137" s="736"/>
      <c r="E137" s="737"/>
      <c r="F137" s="1222"/>
      <c r="G137" s="1222"/>
      <c r="H137" s="738"/>
      <c r="I137" s="738"/>
      <c r="J137" s="738"/>
      <c r="K137" s="247"/>
    </row>
    <row r="138" spans="1:11">
      <c r="A138" s="736"/>
      <c r="B138" s="518"/>
      <c r="C138" s="728"/>
      <c r="D138" s="729"/>
      <c r="E138" s="734"/>
      <c r="F138" s="1215"/>
      <c r="G138" s="1215"/>
      <c r="H138" s="735"/>
      <c r="I138" s="735"/>
      <c r="J138" s="735"/>
    </row>
    <row r="139" spans="1:11" ht="15">
      <c r="A139" s="736" t="s">
        <v>1024</v>
      </c>
      <c r="B139" s="518" t="s">
        <v>1025</v>
      </c>
      <c r="C139" s="733" t="s">
        <v>1026</v>
      </c>
      <c r="D139" s="702" t="s">
        <v>927</v>
      </c>
      <c r="E139" s="734">
        <f>E135</f>
        <v>45</v>
      </c>
      <c r="F139" s="1200"/>
      <c r="G139" s="1201"/>
      <c r="H139" s="735"/>
      <c r="I139" s="735"/>
      <c r="J139" s="735"/>
    </row>
    <row r="140" spans="1:11">
      <c r="A140" s="708"/>
      <c r="B140" s="574"/>
      <c r="C140" s="731"/>
      <c r="D140" s="731"/>
      <c r="E140" s="732"/>
      <c r="F140" s="1221"/>
      <c r="G140" s="1221"/>
      <c r="H140" s="679"/>
      <c r="I140" s="679"/>
      <c r="J140" s="679"/>
    </row>
    <row r="141" spans="1:11">
      <c r="A141" s="736"/>
      <c r="B141" s="518" t="s">
        <v>1027</v>
      </c>
      <c r="C141" s="299" t="s">
        <v>1028</v>
      </c>
      <c r="D141" s="712"/>
      <c r="E141" s="712"/>
      <c r="F141" s="1213"/>
      <c r="G141" s="1213"/>
      <c r="H141" s="735"/>
      <c r="I141" s="735"/>
      <c r="J141" s="735"/>
    </row>
    <row r="142" spans="1:11">
      <c r="A142" s="736"/>
      <c r="B142" s="518"/>
      <c r="C142" s="733"/>
      <c r="D142" s="729"/>
      <c r="E142" s="734"/>
      <c r="F142" s="1215"/>
      <c r="G142" s="1215"/>
      <c r="H142" s="739" t="s">
        <v>1029</v>
      </c>
      <c r="I142" s="735" t="e">
        <f>#REF!+#REF!</f>
        <v>#REF!</v>
      </c>
      <c r="J142" s="735"/>
    </row>
    <row r="143" spans="1:11">
      <c r="A143" s="736" t="s">
        <v>1030</v>
      </c>
      <c r="B143" s="518" t="s">
        <v>1031</v>
      </c>
      <c r="C143" s="733" t="s">
        <v>1032</v>
      </c>
      <c r="D143" s="729" t="s">
        <v>961</v>
      </c>
      <c r="E143" s="734">
        <f>(1506*1034.163*0.15*4%)/1000</f>
        <v>9.3446968680000015</v>
      </c>
      <c r="F143" s="1200"/>
      <c r="G143" s="1201"/>
      <c r="H143" s="739" t="s">
        <v>885</v>
      </c>
      <c r="I143" s="735" t="e">
        <f>#REF!+#REF!</f>
        <v>#REF!</v>
      </c>
      <c r="J143" s="735"/>
    </row>
    <row r="144" spans="1:11">
      <c r="A144" s="736"/>
      <c r="B144" s="518"/>
      <c r="C144" s="733"/>
      <c r="D144" s="712"/>
      <c r="E144" s="712"/>
      <c r="F144" s="1213"/>
      <c r="G144" s="1213"/>
      <c r="H144" s="679"/>
      <c r="I144" s="679"/>
      <c r="J144" s="679"/>
    </row>
    <row r="145" spans="1:11">
      <c r="A145" s="288">
        <v>3.9</v>
      </c>
      <c r="B145" s="1071" t="s">
        <v>1033</v>
      </c>
      <c r="C145" s="740" t="s">
        <v>1034</v>
      </c>
      <c r="D145" s="659"/>
      <c r="E145" s="700"/>
      <c r="F145" s="1191"/>
      <c r="G145" s="1222"/>
      <c r="H145" s="679"/>
      <c r="I145" s="679"/>
      <c r="J145" s="679"/>
    </row>
    <row r="146" spans="1:11" s="290" customFormat="1">
      <c r="A146" s="659"/>
      <c r="B146" s="331"/>
      <c r="C146" s="665"/>
      <c r="D146" s="702"/>
      <c r="E146" s="703"/>
      <c r="F146" s="1223"/>
      <c r="G146" s="1215"/>
      <c r="K146" s="255"/>
    </row>
    <row r="147" spans="1:11" s="290" customFormat="1">
      <c r="A147" s="659"/>
      <c r="B147" s="331" t="s">
        <v>815</v>
      </c>
      <c r="C147" s="721" t="s">
        <v>1035</v>
      </c>
      <c r="D147" s="712"/>
      <c r="E147" s="712"/>
      <c r="F147" s="1224"/>
      <c r="G147" s="1214"/>
      <c r="K147" s="255"/>
    </row>
    <row r="148" spans="1:11" s="290" customFormat="1">
      <c r="A148" s="659"/>
      <c r="B148" s="331"/>
      <c r="C148" s="721"/>
      <c r="D148" s="702"/>
      <c r="E148" s="703"/>
      <c r="F148" s="1223"/>
      <c r="G148" s="1215"/>
      <c r="K148" s="255"/>
    </row>
    <row r="149" spans="1:11" s="290" customFormat="1">
      <c r="A149" s="659" t="s">
        <v>1036</v>
      </c>
      <c r="B149" s="331"/>
      <c r="C149" s="721" t="s">
        <v>1037</v>
      </c>
      <c r="D149" s="708" t="s">
        <v>574</v>
      </c>
      <c r="E149" s="703">
        <f>50*0.15*0.15</f>
        <v>1.125</v>
      </c>
      <c r="F149" s="1200"/>
      <c r="G149" s="1201"/>
      <c r="K149" s="255"/>
    </row>
    <row r="150" spans="1:11" s="290" customFormat="1">
      <c r="A150" s="659"/>
      <c r="B150" s="331"/>
      <c r="C150" s="721"/>
      <c r="D150" s="708"/>
      <c r="E150" s="703"/>
      <c r="F150" s="1200"/>
      <c r="G150" s="1201"/>
      <c r="K150" s="255"/>
    </row>
    <row r="151" spans="1:11" s="290" customFormat="1">
      <c r="A151" s="659"/>
      <c r="B151" s="331"/>
      <c r="C151" s="721"/>
      <c r="D151" s="708"/>
      <c r="E151" s="703"/>
      <c r="F151" s="1200"/>
      <c r="G151" s="1201"/>
      <c r="K151" s="255"/>
    </row>
    <row r="152" spans="1:11" s="290" customFormat="1">
      <c r="A152" s="659"/>
      <c r="B152" s="331"/>
      <c r="C152" s="721"/>
      <c r="D152" s="708"/>
      <c r="E152" s="703"/>
      <c r="F152" s="1200"/>
      <c r="G152" s="1201"/>
      <c r="K152" s="255"/>
    </row>
    <row r="153" spans="1:11" ht="12.75" customHeight="1">
      <c r="A153" s="1539" t="s">
        <v>96</v>
      </c>
      <c r="B153" s="1540"/>
      <c r="C153" s="1540"/>
      <c r="D153" s="1540"/>
      <c r="E153" s="1540"/>
      <c r="F153" s="1514"/>
      <c r="G153" s="1514"/>
      <c r="H153" s="679"/>
      <c r="I153" s="679"/>
      <c r="J153" s="679"/>
    </row>
    <row r="154" spans="1:11">
      <c r="A154" s="1541"/>
      <c r="B154" s="1542"/>
      <c r="C154" s="1542"/>
      <c r="D154" s="1542"/>
      <c r="E154" s="1542"/>
      <c r="F154" s="1514"/>
      <c r="G154" s="1514"/>
      <c r="H154" s="679"/>
      <c r="I154" s="679"/>
      <c r="J154" s="679"/>
    </row>
    <row r="155" spans="1:11">
      <c r="A155" s="696"/>
      <c r="B155" s="529"/>
      <c r="C155" s="715" t="s">
        <v>220</v>
      </c>
      <c r="D155" s="660"/>
      <c r="E155" s="660"/>
      <c r="F155" s="1216"/>
      <c r="G155" s="1217"/>
      <c r="H155" s="679"/>
      <c r="I155" s="679"/>
      <c r="J155" s="679"/>
    </row>
    <row r="156" spans="1:11">
      <c r="A156" s="659"/>
      <c r="B156" s="566"/>
      <c r="C156" s="721"/>
      <c r="D156" s="702"/>
      <c r="E156" s="730"/>
      <c r="F156" s="1200"/>
      <c r="G156" s="1201"/>
      <c r="H156" s="679"/>
      <c r="I156" s="679"/>
      <c r="J156" s="679"/>
    </row>
    <row r="157" spans="1:11" s="292" customFormat="1">
      <c r="A157" s="660" t="s">
        <v>1038</v>
      </c>
      <c r="B157" s="559"/>
      <c r="C157" s="723" t="s">
        <v>1039</v>
      </c>
      <c r="D157" s="702" t="s">
        <v>818</v>
      </c>
      <c r="E157" s="727">
        <v>125</v>
      </c>
      <c r="F157" s="1200"/>
      <c r="G157" s="1201"/>
      <c r="K157" s="287"/>
    </row>
    <row r="158" spans="1:11" s="292" customFormat="1">
      <c r="A158" s="660"/>
      <c r="B158" s="559"/>
      <c r="C158" s="723"/>
      <c r="D158" s="702"/>
      <c r="E158" s="727"/>
      <c r="F158" s="1206"/>
      <c r="G158" s="1215"/>
      <c r="K158" s="287"/>
    </row>
    <row r="159" spans="1:11" s="290" customFormat="1">
      <c r="A159" s="660" t="s">
        <v>1040</v>
      </c>
      <c r="B159" s="559"/>
      <c r="C159" s="723" t="s">
        <v>1041</v>
      </c>
      <c r="D159" s="702" t="s">
        <v>357</v>
      </c>
      <c r="E159" s="727">
        <v>1</v>
      </c>
      <c r="F159" s="1206">
        <v>950000</v>
      </c>
      <c r="G159" s="1206">
        <v>950000</v>
      </c>
      <c r="K159" s="255"/>
    </row>
    <row r="160" spans="1:11" s="290" customFormat="1">
      <c r="A160" s="660"/>
      <c r="B160" s="559"/>
      <c r="C160" s="743"/>
      <c r="D160" s="712"/>
      <c r="E160" s="741"/>
      <c r="F160" s="1214"/>
      <c r="G160" s="1214"/>
      <c r="K160" s="255"/>
    </row>
    <row r="161" spans="1:12" s="290" customFormat="1">
      <c r="A161" s="293">
        <v>3.1</v>
      </c>
      <c r="B161" s="572" t="s">
        <v>1042</v>
      </c>
      <c r="C161" s="744" t="s">
        <v>1043</v>
      </c>
      <c r="D161" s="494"/>
      <c r="E161" s="745"/>
      <c r="F161" s="1209"/>
      <c r="G161" s="1209"/>
      <c r="K161" s="255"/>
      <c r="L161" s="255"/>
    </row>
    <row r="162" spans="1:12">
      <c r="A162" s="659" t="s">
        <v>1044</v>
      </c>
      <c r="B162" s="566"/>
      <c r="C162" s="725" t="s">
        <v>1045</v>
      </c>
      <c r="D162" s="746" t="s">
        <v>357</v>
      </c>
      <c r="E162" s="727">
        <v>1</v>
      </c>
      <c r="F162" s="1206">
        <v>100000</v>
      </c>
      <c r="G162" s="1206">
        <v>100000</v>
      </c>
      <c r="H162" s="679"/>
      <c r="I162" s="679"/>
      <c r="J162" s="679"/>
      <c r="L162" s="679"/>
    </row>
    <row r="163" spans="1:12">
      <c r="A163" s="659"/>
      <c r="B163" s="566"/>
      <c r="C163" s="725"/>
      <c r="D163" s="746"/>
      <c r="E163" s="727"/>
      <c r="F163" s="1206"/>
      <c r="G163" s="1206"/>
      <c r="H163" s="679"/>
      <c r="I163" s="679"/>
      <c r="J163" s="679"/>
      <c r="L163" s="679"/>
    </row>
    <row r="164" spans="1:12">
      <c r="A164" s="659" t="s">
        <v>1046</v>
      </c>
      <c r="B164" s="566"/>
      <c r="C164" s="725" t="s">
        <v>1047</v>
      </c>
      <c r="D164" s="746" t="s">
        <v>357</v>
      </c>
      <c r="E164" s="727">
        <v>1</v>
      </c>
      <c r="F164" s="1206">
        <v>250000</v>
      </c>
      <c r="G164" s="1206">
        <v>250000</v>
      </c>
      <c r="H164" s="679"/>
      <c r="I164" s="679"/>
      <c r="J164" s="679"/>
      <c r="L164" s="679"/>
    </row>
    <row r="165" spans="1:12">
      <c r="A165" s="659"/>
      <c r="B165" s="566"/>
      <c r="C165" s="725"/>
      <c r="D165" s="746"/>
      <c r="E165" s="727"/>
      <c r="F165" s="1206"/>
      <c r="G165" s="1206"/>
      <c r="H165" s="679"/>
      <c r="I165" s="679"/>
      <c r="J165" s="679"/>
      <c r="L165" s="679"/>
    </row>
    <row r="166" spans="1:12">
      <c r="A166" s="659"/>
      <c r="B166" s="566"/>
      <c r="C166" s="744" t="s">
        <v>1048</v>
      </c>
      <c r="D166" s="746"/>
      <c r="E166" s="727"/>
      <c r="F166" s="1206"/>
      <c r="G166" s="1215"/>
      <c r="H166" s="679"/>
      <c r="I166" s="679"/>
      <c r="J166" s="679"/>
      <c r="L166" s="679"/>
    </row>
    <row r="167" spans="1:12">
      <c r="A167" s="659"/>
      <c r="B167" s="566"/>
      <c r="C167" s="725"/>
      <c r="D167" s="746"/>
      <c r="E167" s="727"/>
      <c r="F167" s="1206"/>
      <c r="G167" s="1215"/>
      <c r="H167" s="679"/>
      <c r="I167" s="679"/>
      <c r="J167" s="679"/>
      <c r="L167" s="679"/>
    </row>
    <row r="168" spans="1:12">
      <c r="A168" s="283">
        <v>3.11</v>
      </c>
      <c r="B168" s="573" t="s">
        <v>1015</v>
      </c>
      <c r="C168" s="285" t="s">
        <v>1016</v>
      </c>
      <c r="D168" s="285"/>
      <c r="E168" s="286"/>
      <c r="F168" s="1220"/>
      <c r="G168" s="1220"/>
      <c r="H168" s="679"/>
      <c r="I168" s="679"/>
      <c r="J168" s="679"/>
      <c r="L168" s="679"/>
    </row>
    <row r="169" spans="1:12">
      <c r="A169" s="708"/>
      <c r="B169" s="574"/>
      <c r="C169" s="731"/>
      <c r="D169" s="731"/>
      <c r="E169" s="732"/>
      <c r="F169" s="1221"/>
      <c r="G169" s="1221"/>
      <c r="H169" s="679"/>
      <c r="I169" s="679"/>
      <c r="J169" s="679"/>
      <c r="L169" s="679"/>
    </row>
    <row r="170" spans="1:12" ht="25.5">
      <c r="A170" s="659" t="s">
        <v>1049</v>
      </c>
      <c r="B170" s="537"/>
      <c r="C170" s="710" t="s">
        <v>950</v>
      </c>
      <c r="D170" s="702" t="s">
        <v>927</v>
      </c>
      <c r="E170" s="711">
        <f>_xlfn.CEILING.MATH((10000-1035-3383-12-214-15-15-14)*0.15,5 )</f>
        <v>800</v>
      </c>
      <c r="F170" s="1200"/>
      <c r="G170" s="1201"/>
      <c r="H170" s="679"/>
      <c r="I170" s="679"/>
      <c r="J170" s="679"/>
      <c r="L170" s="679"/>
    </row>
    <row r="171" spans="1:12">
      <c r="A171" s="659"/>
      <c r="B171" s="537"/>
      <c r="C171" s="710"/>
      <c r="D171" s="702"/>
      <c r="E171" s="711"/>
      <c r="F171" s="1210"/>
      <c r="G171" s="1206"/>
      <c r="H171" s="679"/>
      <c r="I171" s="679"/>
      <c r="J171" s="679"/>
      <c r="L171" s="679"/>
    </row>
    <row r="172" spans="1:12" ht="25.5">
      <c r="A172" s="708" t="s">
        <v>1050</v>
      </c>
      <c r="B172" s="537" t="s">
        <v>413</v>
      </c>
      <c r="C172" s="710" t="s">
        <v>1017</v>
      </c>
      <c r="D172" s="702" t="s">
        <v>927</v>
      </c>
      <c r="E172" s="711">
        <f>_xlfn.CEILING.MATH((10000-1035-3383-12-214-15-15-14)*0.15,5 )</f>
        <v>800</v>
      </c>
      <c r="F172" s="1221"/>
      <c r="G172" s="1221"/>
      <c r="H172" s="679"/>
      <c r="I172" s="679"/>
      <c r="J172" s="679"/>
      <c r="L172" s="679"/>
    </row>
    <row r="173" spans="1:12">
      <c r="A173" s="708"/>
      <c r="B173" s="574"/>
      <c r="C173" s="731"/>
      <c r="D173" s="731"/>
      <c r="E173" s="732"/>
      <c r="F173" s="1221"/>
      <c r="G173" s="1221"/>
      <c r="H173" s="679"/>
      <c r="I173" s="679"/>
      <c r="J173" s="679"/>
      <c r="L173" s="679"/>
    </row>
    <row r="174" spans="1:12" ht="25.5">
      <c r="A174" s="659" t="s">
        <v>1051</v>
      </c>
      <c r="B174" s="566"/>
      <c r="C174" s="733" t="s">
        <v>1021</v>
      </c>
      <c r="D174" s="702" t="s">
        <v>927</v>
      </c>
      <c r="E174" s="734">
        <f>E170</f>
        <v>800</v>
      </c>
      <c r="F174" s="1200"/>
      <c r="G174" s="1201"/>
      <c r="H174" s="735"/>
      <c r="I174" s="735"/>
      <c r="J174" s="735"/>
      <c r="L174" s="679"/>
    </row>
    <row r="175" spans="1:12">
      <c r="A175" s="659"/>
      <c r="B175" s="566"/>
      <c r="C175" s="725"/>
      <c r="D175" s="746"/>
      <c r="E175" s="727"/>
      <c r="F175" s="1206"/>
      <c r="G175" s="1215"/>
      <c r="H175" s="679"/>
      <c r="I175" s="679"/>
      <c r="J175" s="679"/>
      <c r="L175" s="679"/>
    </row>
    <row r="176" spans="1:12" ht="15">
      <c r="A176" s="659" t="s">
        <v>1052</v>
      </c>
      <c r="B176" s="566"/>
      <c r="C176" s="725" t="s">
        <v>1053</v>
      </c>
      <c r="D176" s="702" t="s">
        <v>927</v>
      </c>
      <c r="E176" s="727">
        <f>E174</f>
        <v>800</v>
      </c>
      <c r="F176" s="1200"/>
      <c r="G176" s="1201"/>
      <c r="H176" s="679"/>
      <c r="I176" s="679"/>
      <c r="J176" s="679"/>
      <c r="L176" s="679"/>
    </row>
    <row r="177" spans="1:12">
      <c r="A177" s="659"/>
      <c r="B177" s="566"/>
      <c r="C177" s="725"/>
      <c r="D177" s="746"/>
      <c r="E177" s="727"/>
      <c r="F177" s="1206"/>
      <c r="G177" s="1215"/>
      <c r="H177" s="679"/>
      <c r="I177" s="679"/>
      <c r="J177" s="679"/>
      <c r="L177" s="679"/>
    </row>
    <row r="178" spans="1:12">
      <c r="A178" s="659" t="s">
        <v>1054</v>
      </c>
      <c r="B178" s="566" t="s">
        <v>1031</v>
      </c>
      <c r="C178" s="725" t="s">
        <v>1055</v>
      </c>
      <c r="D178" s="702" t="s">
        <v>961</v>
      </c>
      <c r="E178" s="727">
        <f>_xlfn.CEILING.MATH((800*3150/100000),5)</f>
        <v>30</v>
      </c>
      <c r="F178" s="1200"/>
      <c r="G178" s="1201"/>
      <c r="H178" s="679"/>
      <c r="I178" s="679"/>
      <c r="J178" s="679"/>
      <c r="L178" s="679"/>
    </row>
    <row r="179" spans="1:12">
      <c r="A179" s="708"/>
      <c r="B179" s="574"/>
      <c r="C179" s="731"/>
      <c r="D179" s="731"/>
      <c r="E179" s="732"/>
      <c r="F179" s="1221"/>
      <c r="G179" s="1221"/>
      <c r="H179" s="679"/>
      <c r="I179" s="679"/>
      <c r="J179" s="679"/>
      <c r="L179" s="679"/>
    </row>
    <row r="180" spans="1:12">
      <c r="A180" s="659"/>
      <c r="B180" s="537"/>
      <c r="C180" s="710"/>
      <c r="D180" s="702"/>
      <c r="E180" s="711"/>
      <c r="F180" s="1200"/>
      <c r="G180" s="1201"/>
      <c r="H180" s="679"/>
      <c r="I180" s="679"/>
      <c r="J180" s="679"/>
      <c r="L180" s="679"/>
    </row>
    <row r="181" spans="1:12">
      <c r="A181" s="659"/>
      <c r="B181" s="537"/>
      <c r="C181" s="710"/>
      <c r="D181" s="702"/>
      <c r="E181" s="711"/>
      <c r="F181" s="1210"/>
      <c r="G181" s="1206"/>
      <c r="H181" s="679"/>
      <c r="I181" s="679"/>
      <c r="J181" s="679"/>
      <c r="L181" s="679"/>
    </row>
    <row r="182" spans="1:12">
      <c r="A182" s="708"/>
      <c r="B182" s="537"/>
      <c r="C182" s="710"/>
      <c r="D182" s="731"/>
      <c r="E182" s="732"/>
      <c r="F182" s="1221"/>
      <c r="G182" s="1221"/>
      <c r="H182" s="679"/>
      <c r="I182" s="679"/>
      <c r="J182" s="679"/>
      <c r="L182" s="679"/>
    </row>
    <row r="183" spans="1:12">
      <c r="A183" s="708"/>
      <c r="B183" s="574"/>
      <c r="C183" s="731"/>
      <c r="D183" s="731"/>
      <c r="E183" s="732"/>
      <c r="F183" s="1221"/>
      <c r="G183" s="1221"/>
      <c r="H183" s="679"/>
      <c r="I183" s="679"/>
      <c r="J183" s="679"/>
      <c r="L183" s="679"/>
    </row>
    <row r="184" spans="1:12">
      <c r="A184" s="659"/>
      <c r="B184" s="566"/>
      <c r="C184" s="733"/>
      <c r="D184" s="702"/>
      <c r="E184" s="734"/>
      <c r="F184" s="1200"/>
      <c r="G184" s="1201"/>
      <c r="H184" s="735"/>
      <c r="I184" s="735"/>
      <c r="J184" s="735"/>
      <c r="L184" s="679"/>
    </row>
    <row r="185" spans="1:12">
      <c r="A185" s="659"/>
      <c r="B185" s="566"/>
      <c r="C185" s="725"/>
      <c r="D185" s="746"/>
      <c r="E185" s="727"/>
      <c r="F185" s="1206"/>
      <c r="G185" s="1215"/>
      <c r="H185" s="679"/>
      <c r="I185" s="679"/>
      <c r="J185" s="679"/>
      <c r="L185" s="679"/>
    </row>
    <row r="186" spans="1:12">
      <c r="A186" s="659"/>
      <c r="B186" s="566"/>
      <c r="C186" s="725"/>
      <c r="D186" s="702"/>
      <c r="E186" s="727"/>
      <c r="F186" s="1200"/>
      <c r="G186" s="1201"/>
      <c r="H186" s="679"/>
      <c r="I186" s="679"/>
      <c r="J186" s="679"/>
      <c r="L186" s="679"/>
    </row>
    <row r="187" spans="1:12">
      <c r="A187" s="659"/>
      <c r="B187" s="566"/>
      <c r="C187" s="725"/>
      <c r="D187" s="746"/>
      <c r="E187" s="727"/>
      <c r="F187" s="1206"/>
      <c r="G187" s="1215"/>
      <c r="H187" s="679"/>
      <c r="I187" s="679"/>
      <c r="J187" s="679"/>
      <c r="L187" s="679"/>
    </row>
    <row r="188" spans="1:12">
      <c r="A188" s="659"/>
      <c r="B188" s="566"/>
      <c r="C188" s="725"/>
      <c r="D188" s="702"/>
      <c r="E188" s="727"/>
      <c r="F188" s="1200"/>
      <c r="G188" s="1201"/>
      <c r="H188" s="679"/>
      <c r="I188" s="679"/>
      <c r="J188" s="679"/>
      <c r="L188" s="679"/>
    </row>
    <row r="189" spans="1:12">
      <c r="A189" s="708"/>
      <c r="B189" s="574"/>
      <c r="C189" s="731"/>
      <c r="D189" s="731"/>
      <c r="E189" s="732"/>
      <c r="F189" s="1221"/>
      <c r="G189" s="1221"/>
      <c r="H189" s="679"/>
      <c r="I189" s="679"/>
      <c r="J189" s="679"/>
      <c r="L189" s="679"/>
    </row>
    <row r="190" spans="1:12">
      <c r="A190" s="659"/>
      <c r="B190" s="537"/>
      <c r="C190" s="710"/>
      <c r="D190" s="702"/>
      <c r="E190" s="711"/>
      <c r="F190" s="1200"/>
      <c r="G190" s="1201"/>
      <c r="H190" s="679"/>
      <c r="I190" s="679"/>
      <c r="J190" s="679"/>
      <c r="L190" s="679"/>
    </row>
    <row r="191" spans="1:12">
      <c r="A191" s="659"/>
      <c r="B191" s="537"/>
      <c r="C191" s="710"/>
      <c r="D191" s="702"/>
      <c r="E191" s="711"/>
      <c r="F191" s="1210"/>
      <c r="G191" s="1206"/>
      <c r="H191" s="679"/>
      <c r="I191" s="679"/>
      <c r="J191" s="679"/>
      <c r="L191" s="679"/>
    </row>
    <row r="192" spans="1:12">
      <c r="A192" s="708"/>
      <c r="B192" s="537"/>
      <c r="C192" s="710"/>
      <c r="D192" s="731"/>
      <c r="E192" s="732"/>
      <c r="F192" s="1221"/>
      <c r="G192" s="1221"/>
      <c r="H192" s="679"/>
      <c r="I192" s="679"/>
      <c r="J192" s="679"/>
      <c r="L192" s="679"/>
    </row>
    <row r="193" spans="1:10">
      <c r="A193" s="708"/>
      <c r="B193" s="574"/>
      <c r="C193" s="731"/>
      <c r="D193" s="731"/>
      <c r="E193" s="732"/>
      <c r="F193" s="1221"/>
      <c r="G193" s="1221"/>
      <c r="H193" s="679"/>
      <c r="I193" s="679"/>
      <c r="J193" s="679"/>
    </row>
    <row r="194" spans="1:10">
      <c r="A194" s="659"/>
      <c r="B194" s="566"/>
      <c r="C194" s="733"/>
      <c r="D194" s="702"/>
      <c r="E194" s="734"/>
      <c r="F194" s="1200"/>
      <c r="G194" s="1201"/>
      <c r="H194" s="735"/>
      <c r="I194" s="735"/>
      <c r="J194" s="735"/>
    </row>
    <row r="195" spans="1:10">
      <c r="A195" s="659"/>
      <c r="B195" s="566"/>
      <c r="C195" s="725"/>
      <c r="D195" s="746"/>
      <c r="E195" s="727"/>
      <c r="F195" s="1206"/>
      <c r="G195" s="1215"/>
      <c r="H195" s="679"/>
      <c r="I195" s="679"/>
      <c r="J195" s="679"/>
    </row>
    <row r="196" spans="1:10">
      <c r="A196" s="659"/>
      <c r="B196" s="566"/>
      <c r="C196" s="725"/>
      <c r="D196" s="702"/>
      <c r="E196" s="727"/>
      <c r="F196" s="1200"/>
      <c r="G196" s="1201"/>
      <c r="H196" s="679"/>
      <c r="I196" s="679"/>
      <c r="J196" s="679"/>
    </row>
    <row r="197" spans="1:10">
      <c r="A197" s="659"/>
      <c r="B197" s="566"/>
      <c r="C197" s="725"/>
      <c r="D197" s="746"/>
      <c r="E197" s="727"/>
      <c r="F197" s="1206"/>
      <c r="G197" s="1215"/>
      <c r="H197" s="679"/>
      <c r="I197" s="679"/>
      <c r="J197" s="679"/>
    </row>
    <row r="198" spans="1:10">
      <c r="A198" s="659"/>
      <c r="B198" s="566"/>
      <c r="C198" s="725"/>
      <c r="D198" s="702"/>
      <c r="E198" s="727"/>
      <c r="F198" s="1200"/>
      <c r="G198" s="1201"/>
      <c r="H198" s="679"/>
      <c r="I198" s="679"/>
      <c r="J198" s="679"/>
    </row>
    <row r="199" spans="1:10">
      <c r="A199" s="659"/>
      <c r="B199" s="566"/>
      <c r="C199" s="725"/>
      <c r="D199" s="746"/>
      <c r="E199" s="727"/>
      <c r="F199" s="1206"/>
      <c r="G199" s="1215"/>
      <c r="H199" s="679"/>
      <c r="I199" s="679"/>
      <c r="J199" s="679"/>
    </row>
    <row r="200" spans="1:10" customFormat="1" ht="15">
      <c r="A200" s="586"/>
      <c r="B200" s="576"/>
      <c r="C200" s="532"/>
      <c r="D200" s="513"/>
      <c r="E200" s="514"/>
      <c r="F200" s="1225"/>
      <c r="G200" s="1226"/>
    </row>
    <row r="201" spans="1:10" customFormat="1" ht="15">
      <c r="A201" s="512"/>
      <c r="B201" s="577"/>
      <c r="C201" s="515"/>
      <c r="D201" s="513"/>
      <c r="E201" s="514"/>
      <c r="F201" s="1225"/>
      <c r="G201" s="1226"/>
    </row>
    <row r="202" spans="1:10" customFormat="1" ht="15">
      <c r="A202" s="659"/>
      <c r="B202" s="577"/>
      <c r="C202" s="516"/>
      <c r="D202" s="513"/>
      <c r="E202" s="517"/>
      <c r="F202" s="1225"/>
      <c r="G202" s="1226"/>
    </row>
    <row r="203" spans="1:10" customFormat="1" ht="15">
      <c r="A203" s="659"/>
      <c r="B203" s="577"/>
      <c r="C203" s="515"/>
      <c r="D203" s="513"/>
      <c r="E203" s="514"/>
      <c r="F203" s="1225"/>
      <c r="G203" s="1226"/>
    </row>
    <row r="204" spans="1:10" customFormat="1" ht="15">
      <c r="A204" s="659"/>
      <c r="B204" s="577"/>
      <c r="C204" s="515"/>
      <c r="D204" s="513"/>
      <c r="E204" s="517"/>
      <c r="F204" s="1225"/>
      <c r="G204" s="1226"/>
    </row>
    <row r="205" spans="1:10">
      <c r="A205" s="659"/>
      <c r="B205" s="566"/>
      <c r="C205" s="725"/>
      <c r="D205" s="746"/>
      <c r="E205" s="727"/>
      <c r="F205" s="1206"/>
      <c r="G205" s="1215"/>
      <c r="H205" s="679"/>
      <c r="I205" s="679"/>
      <c r="J205" s="679"/>
    </row>
    <row r="206" spans="1:10">
      <c r="A206" s="659"/>
      <c r="B206" s="566"/>
      <c r="C206" s="725"/>
      <c r="D206" s="746"/>
      <c r="E206" s="727"/>
      <c r="F206" s="1206"/>
      <c r="G206" s="1215"/>
      <c r="H206" s="679"/>
      <c r="I206" s="679"/>
      <c r="J206" s="679"/>
    </row>
    <row r="207" spans="1:10">
      <c r="A207" s="659"/>
      <c r="B207" s="566"/>
      <c r="C207" s="725"/>
      <c r="D207" s="746"/>
      <c r="E207" s="727"/>
      <c r="F207" s="1206"/>
      <c r="G207" s="1215"/>
      <c r="H207" s="679"/>
      <c r="I207" s="679"/>
      <c r="J207" s="679"/>
    </row>
    <row r="208" spans="1:10">
      <c r="A208" s="659"/>
      <c r="B208" s="566"/>
      <c r="C208" s="725"/>
      <c r="D208" s="746"/>
      <c r="E208" s="727"/>
      <c r="F208" s="1206"/>
      <c r="G208" s="1215"/>
      <c r="H208" s="679"/>
      <c r="I208" s="679"/>
      <c r="J208" s="679"/>
    </row>
    <row r="209" spans="1:10">
      <c r="A209" s="659"/>
      <c r="B209" s="566"/>
      <c r="C209" s="725"/>
      <c r="D209" s="746"/>
      <c r="E209" s="727"/>
      <c r="F209" s="1206"/>
      <c r="G209" s="1215"/>
      <c r="H209" s="679"/>
      <c r="I209" s="679"/>
      <c r="J209" s="679"/>
    </row>
    <row r="210" spans="1:10">
      <c r="A210" s="659"/>
      <c r="B210" s="566"/>
      <c r="C210" s="725"/>
      <c r="D210" s="746"/>
      <c r="E210" s="727"/>
      <c r="F210" s="1206"/>
      <c r="G210" s="1215"/>
      <c r="H210" s="679"/>
      <c r="I210" s="679"/>
      <c r="J210" s="679"/>
    </row>
    <row r="211" spans="1:10">
      <c r="A211" s="659"/>
      <c r="B211" s="566"/>
      <c r="C211" s="725"/>
      <c r="D211" s="746"/>
      <c r="E211" s="727"/>
      <c r="F211" s="1206"/>
      <c r="G211" s="1215"/>
      <c r="H211" s="679"/>
      <c r="I211" s="679"/>
      <c r="J211" s="679"/>
    </row>
    <row r="212" spans="1:10">
      <c r="A212" s="659"/>
      <c r="B212" s="566"/>
      <c r="C212" s="725"/>
      <c r="D212" s="746"/>
      <c r="E212" s="727"/>
      <c r="F212" s="1206"/>
      <c r="G212" s="1215"/>
      <c r="H212" s="679"/>
      <c r="I212" s="679"/>
      <c r="J212" s="679"/>
    </row>
    <row r="213" spans="1:10">
      <c r="A213" s="659"/>
      <c r="B213" s="566"/>
      <c r="C213" s="725"/>
      <c r="D213" s="746"/>
      <c r="E213" s="727"/>
      <c r="F213" s="1206"/>
      <c r="G213" s="1215"/>
      <c r="H213" s="679"/>
      <c r="I213" s="679"/>
      <c r="J213" s="679"/>
    </row>
    <row r="214" spans="1:10">
      <c r="A214" s="659"/>
      <c r="B214" s="566"/>
      <c r="C214" s="725"/>
      <c r="D214" s="746"/>
      <c r="E214" s="727"/>
      <c r="F214" s="1206"/>
      <c r="G214" s="1215"/>
      <c r="H214" s="679"/>
      <c r="I214" s="679"/>
      <c r="J214" s="679"/>
    </row>
    <row r="215" spans="1:10">
      <c r="A215" s="659"/>
      <c r="B215" s="566"/>
      <c r="C215" s="725"/>
      <c r="D215" s="746"/>
      <c r="E215" s="727"/>
      <c r="F215" s="1206"/>
      <c r="G215" s="1215"/>
      <c r="H215" s="679"/>
      <c r="I215" s="679"/>
      <c r="J215" s="679"/>
    </row>
    <row r="216" spans="1:10">
      <c r="A216" s="659"/>
      <c r="B216" s="566"/>
      <c r="C216" s="725"/>
      <c r="D216" s="746"/>
      <c r="E216" s="727"/>
      <c r="F216" s="1206"/>
      <c r="G216" s="1215"/>
      <c r="H216" s="679"/>
      <c r="I216" s="679"/>
      <c r="J216" s="679"/>
    </row>
    <row r="217" spans="1:10">
      <c r="A217" s="659"/>
      <c r="B217" s="566"/>
      <c r="C217" s="725"/>
      <c r="D217" s="746"/>
      <c r="E217" s="727"/>
      <c r="F217" s="1206"/>
      <c r="G217" s="1215"/>
      <c r="H217" s="679"/>
      <c r="I217" s="679"/>
      <c r="J217" s="679"/>
    </row>
    <row r="218" spans="1:10">
      <c r="A218" s="659"/>
      <c r="B218" s="566"/>
      <c r="C218" s="725"/>
      <c r="D218" s="746"/>
      <c r="E218" s="727"/>
      <c r="F218" s="1206"/>
      <c r="G218" s="1215"/>
      <c r="H218" s="679"/>
      <c r="I218" s="679"/>
      <c r="J218" s="679"/>
    </row>
    <row r="219" spans="1:10">
      <c r="A219" s="659"/>
      <c r="B219" s="566"/>
      <c r="C219" s="725"/>
      <c r="D219" s="746"/>
      <c r="E219" s="727"/>
      <c r="F219" s="1206"/>
      <c r="G219" s="1215"/>
      <c r="H219" s="679"/>
      <c r="I219" s="679"/>
      <c r="J219" s="679"/>
    </row>
    <row r="220" spans="1:10">
      <c r="A220" s="659"/>
      <c r="B220" s="566"/>
      <c r="C220" s="725"/>
      <c r="D220" s="746"/>
      <c r="E220" s="727"/>
      <c r="F220" s="1206"/>
      <c r="G220" s="1215"/>
      <c r="H220" s="679"/>
      <c r="I220" s="679"/>
      <c r="J220" s="679"/>
    </row>
    <row r="221" spans="1:10">
      <c r="A221" s="659"/>
      <c r="B221" s="566"/>
      <c r="C221" s="725"/>
      <c r="D221" s="746"/>
      <c r="E221" s="727"/>
      <c r="F221" s="1206"/>
      <c r="G221" s="1215"/>
      <c r="H221" s="679"/>
      <c r="I221" s="679"/>
      <c r="J221" s="679"/>
    </row>
    <row r="222" spans="1:10">
      <c r="A222" s="659"/>
      <c r="B222" s="566"/>
      <c r="C222" s="725"/>
      <c r="D222" s="746"/>
      <c r="E222" s="727"/>
      <c r="F222" s="1206"/>
      <c r="G222" s="1215"/>
      <c r="H222" s="679"/>
      <c r="I222" s="679"/>
      <c r="J222" s="679"/>
    </row>
    <row r="223" spans="1:10">
      <c r="A223" s="659"/>
      <c r="B223" s="566"/>
      <c r="C223" s="725"/>
      <c r="D223" s="746"/>
      <c r="E223" s="727"/>
      <c r="F223" s="1206"/>
      <c r="G223" s="1215"/>
      <c r="H223" s="679"/>
      <c r="I223" s="679"/>
      <c r="J223" s="679"/>
    </row>
    <row r="224" spans="1:10">
      <c r="A224" s="659"/>
      <c r="B224" s="566"/>
      <c r="C224" s="725"/>
      <c r="D224" s="746"/>
      <c r="E224" s="727"/>
      <c r="F224" s="1206"/>
      <c r="G224" s="1215"/>
      <c r="H224" s="679"/>
      <c r="I224" s="679"/>
      <c r="J224" s="679"/>
    </row>
    <row r="225" spans="1:11">
      <c r="A225" s="659"/>
      <c r="B225" s="566"/>
      <c r="C225" s="725"/>
      <c r="D225" s="746"/>
      <c r="E225" s="727"/>
      <c r="F225" s="1206"/>
      <c r="G225" s="1215"/>
      <c r="H225" s="679"/>
      <c r="I225" s="679"/>
      <c r="J225" s="679"/>
    </row>
    <row r="226" spans="1:11">
      <c r="A226" s="659"/>
      <c r="B226" s="566"/>
      <c r="C226" s="725"/>
      <c r="D226" s="746"/>
      <c r="E226" s="727"/>
      <c r="F226" s="1206"/>
      <c r="G226" s="1215"/>
      <c r="H226" s="679"/>
      <c r="I226" s="679"/>
      <c r="J226" s="679"/>
    </row>
    <row r="227" spans="1:11">
      <c r="A227" s="659"/>
      <c r="B227" s="566"/>
      <c r="C227" s="725"/>
      <c r="D227" s="746"/>
      <c r="E227" s="727"/>
      <c r="F227" s="1206"/>
      <c r="G227" s="1215"/>
      <c r="H227" s="679"/>
      <c r="I227" s="679"/>
      <c r="J227" s="679"/>
    </row>
    <row r="228" spans="1:11">
      <c r="A228" s="659"/>
      <c r="B228" s="566"/>
      <c r="C228" s="725"/>
      <c r="D228" s="746"/>
      <c r="E228" s="727"/>
      <c r="F228" s="1206"/>
      <c r="G228" s="1215"/>
      <c r="H228" s="679"/>
      <c r="I228" s="679"/>
      <c r="J228" s="679"/>
    </row>
    <row r="229" spans="1:11">
      <c r="A229" s="659"/>
      <c r="B229" s="566"/>
      <c r="C229" s="725"/>
      <c r="D229" s="746"/>
      <c r="E229" s="727"/>
      <c r="F229" s="1206"/>
      <c r="G229" s="1215"/>
      <c r="H229" s="679"/>
      <c r="I229" s="679"/>
      <c r="J229" s="679"/>
    </row>
    <row r="230" spans="1:11">
      <c r="A230" s="659"/>
      <c r="B230" s="566"/>
      <c r="C230" s="725"/>
      <c r="D230" s="746"/>
      <c r="E230" s="727"/>
      <c r="F230" s="1206"/>
      <c r="G230" s="1215"/>
      <c r="H230" s="679"/>
      <c r="I230" s="679"/>
      <c r="J230" s="679"/>
    </row>
    <row r="231" spans="1:11">
      <c r="A231" s="659"/>
      <c r="B231" s="566"/>
      <c r="C231" s="725"/>
      <c r="D231" s="746"/>
      <c r="E231" s="727"/>
      <c r="F231" s="1206"/>
      <c r="G231" s="1215"/>
      <c r="H231" s="679"/>
      <c r="I231" s="679"/>
      <c r="J231" s="679"/>
    </row>
    <row r="232" spans="1:11">
      <c r="A232" s="659"/>
      <c r="B232" s="566"/>
      <c r="C232" s="725"/>
      <c r="D232" s="746"/>
      <c r="E232" s="727"/>
      <c r="F232" s="1206"/>
      <c r="G232" s="1215"/>
      <c r="H232" s="679"/>
      <c r="I232" s="679"/>
      <c r="J232" s="679"/>
    </row>
    <row r="233" spans="1:11" ht="15" customHeight="1">
      <c r="A233" s="295"/>
      <c r="B233" s="1545" t="s">
        <v>1056</v>
      </c>
      <c r="C233" s="1545"/>
      <c r="D233" s="1545"/>
      <c r="E233" s="1545"/>
      <c r="F233" s="1546"/>
      <c r="G233" s="1543"/>
      <c r="H233" s="679"/>
      <c r="I233" s="679"/>
      <c r="J233" s="679"/>
    </row>
    <row r="234" spans="1:11">
      <c r="A234" s="296"/>
      <c r="B234" s="1547"/>
      <c r="C234" s="1547"/>
      <c r="D234" s="1547"/>
      <c r="E234" s="1547"/>
      <c r="F234" s="1548"/>
      <c r="G234" s="1544"/>
      <c r="H234" s="679"/>
      <c r="I234" s="679"/>
      <c r="J234" s="679"/>
    </row>
    <row r="236" spans="1:11" s="249" customFormat="1">
      <c r="A236" s="257"/>
      <c r="B236" s="312"/>
      <c r="C236" s="248"/>
      <c r="K236" s="256"/>
    </row>
  </sheetData>
  <sheetProtection algorithmName="SHA-512" hashValue="T4Qmxq5yVohAegVB31oCdcQUoWbZZ1je9/XWEaJWk3Mkx6PuaVOIrcAhpBWSTWAG/hk8pybGRNPb7HHVh1ZE+g==" saltValue="agsEpruhc2rTBI/SsEcASw==" spinCount="100000" sheet="1" objects="1" scenarios="1"/>
  <mergeCells count="9">
    <mergeCell ref="A1:G1"/>
    <mergeCell ref="G233:G234"/>
    <mergeCell ref="G79:G80"/>
    <mergeCell ref="G153:G154"/>
    <mergeCell ref="B233:F234"/>
    <mergeCell ref="A79:E80"/>
    <mergeCell ref="A153:E154"/>
    <mergeCell ref="F79:F80"/>
    <mergeCell ref="F153:F154"/>
  </mergeCells>
  <phoneticPr fontId="38" type="noConversion"/>
  <pageMargins left="0.70866141732283472" right="0.70866141732283472" top="0.86614173228346458" bottom="0.78740157480314965" header="0.31496062992125984" footer="0.19685039370078741"/>
  <pageSetup paperSize="9" scale="67" firstPageNumber="57" orientation="portrait" useFirstPageNumber="1" r:id="rId1"/>
  <headerFooter>
    <oddHeader>&amp;L&amp;G&amp;CCONSTRUCTION OF 20ML CARLSWALD RESERVOIR
SCHEDULE OF QUANTITIES&amp;R&amp;G</oddHeader>
    <oddFooter>&amp;C&amp;G
C.&amp;P</oddFooter>
  </headerFooter>
  <rowBreaks count="2" manualBreakCount="2">
    <brk id="80" max="6" man="1"/>
    <brk id="154" max="6" man="1"/>
  </rowBreaks>
  <legacy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072CB-5AAE-4171-8B77-805A49CEFD3B}">
  <dimension ref="A1:O300"/>
  <sheetViews>
    <sheetView view="pageBreakPreview" topLeftCell="A109" zoomScale="85" zoomScaleNormal="85" zoomScaleSheetLayoutView="85" zoomScalePageLayoutView="80" workbookViewId="0">
      <selection activeCell="F117" sqref="F117"/>
    </sheetView>
  </sheetViews>
  <sheetFormatPr defaultColWidth="6.140625" defaultRowHeight="12.75"/>
  <cols>
    <col min="1" max="1" width="9.5703125" style="308" customWidth="1"/>
    <col min="2" max="2" width="15.28515625" style="306" customWidth="1"/>
    <col min="3" max="3" width="47.7109375" style="246" customWidth="1"/>
    <col min="4" max="4" width="8.7109375" style="246" customWidth="1"/>
    <col min="5" max="5" width="9.7109375" style="246" customWidth="1"/>
    <col min="6" max="6" width="15.42578125" style="251" customWidth="1"/>
    <col min="7" max="7" width="21.42578125" style="315" customWidth="1"/>
    <col min="8" max="8" width="8.85546875" style="290" customWidth="1"/>
    <col min="9" max="13" width="6.140625" style="290"/>
    <col min="14" max="14" width="9.28515625" style="290" bestFit="1" customWidth="1"/>
    <col min="15" max="16384" width="6.140625" style="290"/>
  </cols>
  <sheetData>
    <row r="1" spans="1:7" s="294" customFormat="1" ht="15" customHeight="1">
      <c r="A1" s="1538" t="s">
        <v>231</v>
      </c>
      <c r="B1" s="1538"/>
      <c r="C1" s="1538"/>
      <c r="D1" s="1538"/>
      <c r="E1" s="1538"/>
      <c r="F1" s="1538"/>
      <c r="G1" s="1538"/>
    </row>
    <row r="2" spans="1:7">
      <c r="A2" s="674"/>
      <c r="C2" s="679"/>
      <c r="D2" s="679"/>
      <c r="E2" s="679"/>
      <c r="F2" s="747"/>
      <c r="G2" s="747"/>
    </row>
    <row r="3" spans="1:7" s="294" customFormat="1">
      <c r="A3" s="1555" t="s">
        <v>322</v>
      </c>
      <c r="B3" s="1557" t="s">
        <v>323</v>
      </c>
      <c r="C3" s="1565" t="s">
        <v>33</v>
      </c>
      <c r="D3" s="1559" t="s">
        <v>324</v>
      </c>
      <c r="E3" s="1559" t="s">
        <v>325</v>
      </c>
      <c r="F3" s="1561" t="s">
        <v>326</v>
      </c>
      <c r="G3" s="1563" t="s">
        <v>327</v>
      </c>
    </row>
    <row r="4" spans="1:7" s="294" customFormat="1">
      <c r="A4" s="1556"/>
      <c r="B4" s="1558"/>
      <c r="C4" s="1566"/>
      <c r="D4" s="1560"/>
      <c r="E4" s="1560"/>
      <c r="F4" s="1562"/>
      <c r="G4" s="1564"/>
    </row>
    <row r="5" spans="1:7">
      <c r="A5" s="748"/>
      <c r="B5" s="1099"/>
      <c r="C5" s="1030"/>
      <c r="D5" s="749"/>
      <c r="E5" s="749"/>
      <c r="F5" s="1227"/>
      <c r="G5" s="1194"/>
    </row>
    <row r="6" spans="1:7">
      <c r="A6" s="748"/>
      <c r="B6" s="1099"/>
      <c r="C6" s="238" t="s">
        <v>231</v>
      </c>
      <c r="D6" s="749"/>
      <c r="E6" s="749"/>
      <c r="F6" s="1227"/>
      <c r="G6" s="1228"/>
    </row>
    <row r="7" spans="1:7">
      <c r="A7" s="748"/>
      <c r="B7" s="1099"/>
      <c r="C7" s="1030"/>
      <c r="D7" s="749"/>
      <c r="E7" s="749"/>
      <c r="F7" s="1227"/>
      <c r="G7" s="1194"/>
    </row>
    <row r="8" spans="1:7">
      <c r="A8" s="407">
        <v>4.0999999999999996</v>
      </c>
      <c r="B8" s="320" t="s">
        <v>1057</v>
      </c>
      <c r="C8" s="304" t="s">
        <v>820</v>
      </c>
      <c r="D8" s="305"/>
      <c r="E8" s="305"/>
      <c r="F8" s="1229"/>
      <c r="G8" s="1230"/>
    </row>
    <row r="9" spans="1:7">
      <c r="A9" s="748"/>
      <c r="B9" s="1099"/>
      <c r="C9" s="1030"/>
      <c r="D9" s="749"/>
      <c r="E9" s="749"/>
      <c r="F9" s="1227"/>
      <c r="G9" s="1228"/>
    </row>
    <row r="10" spans="1:7">
      <c r="A10" s="1100"/>
      <c r="B10" s="1099" t="s">
        <v>413</v>
      </c>
      <c r="C10" s="1101" t="s">
        <v>1058</v>
      </c>
      <c r="D10" s="749"/>
      <c r="E10" s="749"/>
      <c r="F10" s="1227"/>
      <c r="G10" s="1194"/>
    </row>
    <row r="11" spans="1:7">
      <c r="A11" s="748"/>
      <c r="B11" s="1099"/>
      <c r="C11" s="1030"/>
      <c r="D11" s="749"/>
      <c r="E11" s="749"/>
      <c r="F11" s="1227"/>
      <c r="G11" s="1194"/>
    </row>
    <row r="12" spans="1:7" s="306" customFormat="1" ht="34.9" customHeight="1">
      <c r="A12" s="748"/>
      <c r="B12" s="323" t="s">
        <v>1059</v>
      </c>
      <c r="C12" s="1102" t="s">
        <v>1060</v>
      </c>
      <c r="D12" s="750"/>
      <c r="E12" s="750"/>
      <c r="F12" s="1231"/>
      <c r="G12" s="1232"/>
    </row>
    <row r="13" spans="1:7">
      <c r="A13" s="748"/>
      <c r="B13" s="1099"/>
      <c r="C13" s="1030"/>
      <c r="D13" s="749"/>
      <c r="E13" s="749"/>
      <c r="F13" s="1227"/>
      <c r="G13" s="1194"/>
    </row>
    <row r="14" spans="1:7">
      <c r="A14" s="748" t="s">
        <v>1061</v>
      </c>
      <c r="B14" s="1099"/>
      <c r="C14" s="1030" t="s">
        <v>1062</v>
      </c>
      <c r="D14" s="749" t="s">
        <v>574</v>
      </c>
      <c r="E14" s="749">
        <f>_xlfn.CEILING.MATH((47.57-(47.37-0.45-0.075))*(PI()*(31.05^2-28.3^2))+2.2*26*0.8+(28.3^2*(0.2+0.1+0.05))+202,5)</f>
        <v>900</v>
      </c>
      <c r="F14" s="1233"/>
      <c r="G14" s="1194"/>
    </row>
    <row r="15" spans="1:7">
      <c r="A15" s="748"/>
      <c r="B15" s="1099"/>
      <c r="C15" s="1030"/>
      <c r="D15" s="749"/>
      <c r="E15" s="749"/>
      <c r="F15" s="1227"/>
      <c r="G15" s="1194"/>
    </row>
    <row r="16" spans="1:7">
      <c r="A16" s="748" t="s">
        <v>1063</v>
      </c>
      <c r="B16" s="1099"/>
      <c r="C16" s="1030" t="s">
        <v>1064</v>
      </c>
      <c r="D16" s="751" t="s">
        <v>574</v>
      </c>
      <c r="E16" s="749">
        <v>300</v>
      </c>
      <c r="F16" s="1227"/>
      <c r="G16" s="1194"/>
    </row>
    <row r="17" spans="1:12">
      <c r="A17" s="748"/>
      <c r="B17" s="1031"/>
      <c r="C17" s="1030"/>
      <c r="D17" s="749"/>
      <c r="E17" s="754"/>
      <c r="F17" s="1231"/>
      <c r="G17" s="1194"/>
    </row>
    <row r="18" spans="1:12">
      <c r="A18" s="748"/>
      <c r="B18" s="331" t="s">
        <v>1065</v>
      </c>
      <c r="C18" s="277" t="s">
        <v>1066</v>
      </c>
      <c r="D18" s="749"/>
      <c r="E18" s="754"/>
      <c r="F18" s="1231"/>
      <c r="G18" s="1194"/>
    </row>
    <row r="19" spans="1:12">
      <c r="A19" s="748"/>
      <c r="B19" s="1031"/>
      <c r="C19" s="1030"/>
      <c r="D19" s="749"/>
      <c r="E19" s="754"/>
      <c r="F19" s="1231"/>
      <c r="G19" s="1194"/>
    </row>
    <row r="20" spans="1:12" s="246" customFormat="1">
      <c r="A20" s="748" t="s">
        <v>1067</v>
      </c>
      <c r="B20" s="1031" t="s">
        <v>1068</v>
      </c>
      <c r="C20" s="1030" t="s">
        <v>1069</v>
      </c>
      <c r="D20" s="749" t="s">
        <v>574</v>
      </c>
      <c r="E20" s="754">
        <v>450</v>
      </c>
      <c r="F20" s="1200"/>
      <c r="G20" s="1201"/>
      <c r="H20" s="679"/>
      <c r="I20" s="679"/>
      <c r="J20" s="255"/>
      <c r="K20" s="684"/>
      <c r="L20" s="684"/>
    </row>
    <row r="21" spans="1:12">
      <c r="A21" s="748"/>
      <c r="B21" s="1031"/>
      <c r="C21" s="1030"/>
      <c r="D21" s="749"/>
      <c r="E21" s="754"/>
      <c r="F21" s="1231"/>
      <c r="G21" s="1194"/>
    </row>
    <row r="22" spans="1:12">
      <c r="A22" s="748" t="s">
        <v>1070</v>
      </c>
      <c r="B22" s="1031" t="s">
        <v>1071</v>
      </c>
      <c r="C22" s="847" t="s">
        <v>1072</v>
      </c>
      <c r="D22" s="749" t="s">
        <v>574</v>
      </c>
      <c r="E22" s="754">
        <v>450</v>
      </c>
      <c r="F22" s="1200"/>
      <c r="G22" s="1201"/>
    </row>
    <row r="23" spans="1:12">
      <c r="A23" s="753"/>
      <c r="B23" s="1074"/>
      <c r="C23" s="654"/>
      <c r="D23" s="658"/>
      <c r="E23" s="754"/>
      <c r="F23" s="1227"/>
      <c r="G23" s="1194"/>
    </row>
    <row r="24" spans="1:12" s="294" customFormat="1" ht="25.5">
      <c r="A24" s="659" t="s">
        <v>1073</v>
      </c>
      <c r="B24" s="530"/>
      <c r="C24" s="755" t="s">
        <v>1074</v>
      </c>
      <c r="D24" s="665" t="s">
        <v>574</v>
      </c>
      <c r="E24" s="703">
        <f>_xlfn.CEILING.MATH(E14*0.2,1)</f>
        <v>180</v>
      </c>
      <c r="F24" s="1191"/>
      <c r="G24" s="1194"/>
    </row>
    <row r="25" spans="1:12">
      <c r="A25" s="659"/>
      <c r="B25" s="566"/>
      <c r="C25" s="654"/>
      <c r="D25" s="658"/>
      <c r="E25" s="756"/>
      <c r="F25" s="1227"/>
      <c r="G25" s="1194"/>
    </row>
    <row r="26" spans="1:12">
      <c r="A26" s="659" t="s">
        <v>1075</v>
      </c>
      <c r="B26" s="331" t="s">
        <v>844</v>
      </c>
      <c r="C26" s="654" t="s">
        <v>845</v>
      </c>
      <c r="D26" s="665" t="s">
        <v>846</v>
      </c>
      <c r="E26" s="727">
        <f>450*25</f>
        <v>11250</v>
      </c>
      <c r="F26" s="1234"/>
      <c r="G26" s="1194"/>
    </row>
    <row r="27" spans="1:12">
      <c r="A27" s="659"/>
      <c r="B27" s="331"/>
      <c r="C27" s="654"/>
      <c r="D27" s="658"/>
      <c r="E27" s="756"/>
      <c r="F27" s="1227"/>
      <c r="G27" s="1194"/>
    </row>
    <row r="28" spans="1:12">
      <c r="A28" s="262">
        <v>4.2</v>
      </c>
      <c r="B28" s="316" t="s">
        <v>1076</v>
      </c>
      <c r="C28" s="552" t="s">
        <v>1077</v>
      </c>
      <c r="D28" s="757"/>
      <c r="E28" s="307"/>
      <c r="F28" s="1235"/>
      <c r="G28" s="1236"/>
      <c r="H28" s="408"/>
    </row>
    <row r="29" spans="1:12">
      <c r="A29" s="659"/>
      <c r="B29" s="331"/>
      <c r="C29" s="654"/>
      <c r="D29" s="658"/>
      <c r="E29" s="756"/>
      <c r="F29" s="1227"/>
      <c r="G29" s="1194"/>
    </row>
    <row r="30" spans="1:12">
      <c r="A30" s="1100"/>
      <c r="B30" s="497" t="s">
        <v>1078</v>
      </c>
      <c r="C30" s="552" t="s">
        <v>1079</v>
      </c>
      <c r="D30" s="658"/>
      <c r="E30" s="756"/>
      <c r="F30" s="1227"/>
      <c r="G30" s="1194"/>
    </row>
    <row r="31" spans="1:12">
      <c r="A31" s="659"/>
      <c r="B31" s="331"/>
      <c r="C31" s="552"/>
      <c r="D31" s="658"/>
      <c r="E31" s="756"/>
      <c r="F31" s="1227"/>
      <c r="G31" s="1194"/>
    </row>
    <row r="32" spans="1:12" ht="38.25">
      <c r="A32" s="659" t="s">
        <v>1080</v>
      </c>
      <c r="B32" s="566"/>
      <c r="C32" s="654" t="s">
        <v>1081</v>
      </c>
      <c r="D32" s="658" t="s">
        <v>335</v>
      </c>
      <c r="E32" s="756">
        <v>1</v>
      </c>
      <c r="F32" s="1234"/>
      <c r="G32" s="1237"/>
    </row>
    <row r="33" spans="1:7">
      <c r="A33" s="659"/>
      <c r="B33" s="566"/>
      <c r="C33" s="654"/>
      <c r="D33" s="658"/>
      <c r="E33" s="756"/>
      <c r="F33" s="1227"/>
      <c r="G33" s="1194"/>
    </row>
    <row r="34" spans="1:7">
      <c r="A34" s="311">
        <v>4.3</v>
      </c>
      <c r="B34" s="758" t="s">
        <v>1082</v>
      </c>
      <c r="C34" s="533" t="s">
        <v>1083</v>
      </c>
      <c r="D34" s="658"/>
      <c r="E34" s="754"/>
      <c r="F34" s="1238"/>
      <c r="G34" s="1194"/>
    </row>
    <row r="35" spans="1:7">
      <c r="A35" s="753"/>
      <c r="B35" s="759"/>
      <c r="C35" s="760"/>
      <c r="D35" s="658"/>
      <c r="E35" s="754"/>
      <c r="F35" s="1238"/>
      <c r="G35" s="1194"/>
    </row>
    <row r="36" spans="1:7" ht="25.5">
      <c r="A36" s="753"/>
      <c r="B36" s="759" t="s">
        <v>1084</v>
      </c>
      <c r="C36" s="533" t="s">
        <v>1085</v>
      </c>
      <c r="D36" s="1103"/>
      <c r="E36" s="754"/>
      <c r="F36" s="1238"/>
      <c r="G36" s="1194"/>
    </row>
    <row r="37" spans="1:7">
      <c r="A37" s="753"/>
      <c r="B37" s="589"/>
      <c r="C37" s="760"/>
      <c r="D37" s="1103"/>
      <c r="E37" s="754"/>
      <c r="F37" s="1238"/>
      <c r="G37" s="1194"/>
    </row>
    <row r="38" spans="1:7">
      <c r="A38" s="753" t="s">
        <v>1086</v>
      </c>
      <c r="B38" s="589"/>
      <c r="C38" s="760" t="s">
        <v>1087</v>
      </c>
      <c r="D38" s="1103" t="s">
        <v>70</v>
      </c>
      <c r="E38" s="754">
        <v>1</v>
      </c>
      <c r="F38" s="1238"/>
      <c r="G38" s="1194"/>
    </row>
    <row r="39" spans="1:7" ht="12.75" customHeight="1">
      <c r="A39" s="753"/>
      <c r="B39" s="589"/>
      <c r="C39" s="760"/>
      <c r="D39" s="1103"/>
      <c r="E39" s="754"/>
      <c r="F39" s="1238"/>
      <c r="G39" s="1194"/>
    </row>
    <row r="40" spans="1:7">
      <c r="A40" s="753" t="s">
        <v>1088</v>
      </c>
      <c r="B40" s="589"/>
      <c r="C40" s="760" t="s">
        <v>1089</v>
      </c>
      <c r="D40" s="1103" t="s">
        <v>70</v>
      </c>
      <c r="E40" s="754">
        <v>1</v>
      </c>
      <c r="F40" s="1238"/>
      <c r="G40" s="1194"/>
    </row>
    <row r="41" spans="1:7">
      <c r="A41" s="753"/>
      <c r="B41" s="589"/>
      <c r="C41" s="760"/>
      <c r="D41" s="1103"/>
      <c r="E41" s="754"/>
      <c r="F41" s="1238"/>
      <c r="G41" s="1194"/>
    </row>
    <row r="42" spans="1:7">
      <c r="A42" s="753" t="s">
        <v>1090</v>
      </c>
      <c r="B42" s="589"/>
      <c r="C42" s="760" t="s">
        <v>1091</v>
      </c>
      <c r="D42" s="1103" t="s">
        <v>70</v>
      </c>
      <c r="E42" s="754">
        <v>1</v>
      </c>
      <c r="F42" s="1238"/>
      <c r="G42" s="1194"/>
    </row>
    <row r="43" spans="1:7">
      <c r="A43" s="753"/>
      <c r="B43" s="589"/>
      <c r="C43" s="760"/>
      <c r="D43" s="658"/>
      <c r="E43" s="754"/>
      <c r="F43" s="1239"/>
      <c r="G43" s="1194"/>
    </row>
    <row r="44" spans="1:7">
      <c r="A44" s="262">
        <v>4.4000000000000004</v>
      </c>
      <c r="B44" s="565" t="s">
        <v>953</v>
      </c>
      <c r="C44" s="661" t="s">
        <v>1092</v>
      </c>
      <c r="D44" s="757"/>
      <c r="E44" s="307"/>
      <c r="F44" s="1236"/>
      <c r="G44" s="1236"/>
    </row>
    <row r="45" spans="1:7">
      <c r="A45" s="753"/>
      <c r="B45" s="1074"/>
      <c r="C45" s="654"/>
      <c r="D45" s="658"/>
      <c r="E45" s="754"/>
      <c r="F45" s="1227"/>
      <c r="G45" s="1194"/>
    </row>
    <row r="46" spans="1:7">
      <c r="A46" s="753"/>
      <c r="B46" s="1104">
        <v>8.1999999999999993</v>
      </c>
      <c r="C46" s="762" t="s">
        <v>955</v>
      </c>
      <c r="D46" s="658"/>
      <c r="E46" s="754"/>
      <c r="F46" s="1227"/>
      <c r="G46" s="1194"/>
    </row>
    <row r="47" spans="1:7">
      <c r="A47" s="753"/>
      <c r="B47" s="1104"/>
      <c r="C47" s="752"/>
      <c r="D47" s="658"/>
      <c r="E47" s="754"/>
      <c r="F47" s="1227"/>
      <c r="G47" s="1194"/>
    </row>
    <row r="48" spans="1:7">
      <c r="A48" s="753"/>
      <c r="B48" s="1104" t="s">
        <v>994</v>
      </c>
      <c r="C48" s="763" t="s">
        <v>1093</v>
      </c>
      <c r="D48" s="658"/>
      <c r="E48" s="658"/>
      <c r="F48" s="1240"/>
      <c r="G48" s="1194"/>
    </row>
    <row r="49" spans="1:8">
      <c r="A49" s="753"/>
      <c r="B49" s="1074"/>
      <c r="C49" s="760"/>
      <c r="D49" s="658"/>
      <c r="E49" s="754"/>
      <c r="F49" s="1227"/>
      <c r="G49" s="1194"/>
    </row>
    <row r="50" spans="1:8">
      <c r="A50" s="753"/>
      <c r="B50" s="1074"/>
      <c r="C50" s="533" t="s">
        <v>1094</v>
      </c>
      <c r="D50" s="658"/>
      <c r="E50" s="754"/>
      <c r="F50" s="1227"/>
      <c r="G50" s="1194"/>
    </row>
    <row r="51" spans="1:8">
      <c r="A51" s="753"/>
      <c r="B51" s="998"/>
      <c r="C51" s="760"/>
      <c r="D51" s="658"/>
      <c r="E51" s="754"/>
      <c r="F51" s="1227"/>
      <c r="G51" s="1194"/>
    </row>
    <row r="52" spans="1:8">
      <c r="A52" s="753" t="s">
        <v>1095</v>
      </c>
      <c r="B52" s="998"/>
      <c r="C52" s="760" t="s">
        <v>1096</v>
      </c>
      <c r="D52" s="658" t="s">
        <v>825</v>
      </c>
      <c r="E52" s="754">
        <f>_xlfn.CEILING.MATH((25*0.5*4)+(0.7*0.5*4),5)</f>
        <v>55</v>
      </c>
      <c r="F52" s="1227"/>
      <c r="G52" s="1194"/>
    </row>
    <row r="53" spans="1:8">
      <c r="A53" s="753"/>
      <c r="B53" s="998"/>
      <c r="C53" s="760"/>
      <c r="D53" s="658"/>
      <c r="E53" s="754"/>
      <c r="F53" s="1227"/>
      <c r="G53" s="1194"/>
    </row>
    <row r="54" spans="1:8">
      <c r="A54" s="753" t="s">
        <v>1097</v>
      </c>
      <c r="B54" s="998"/>
      <c r="C54" s="760" t="s">
        <v>1098</v>
      </c>
      <c r="D54" s="658" t="s">
        <v>825</v>
      </c>
      <c r="E54" s="754">
        <f>_xlfn.CEILING.MATH((0.35+2+0.35)*8.5*6,5)</f>
        <v>140</v>
      </c>
      <c r="F54" s="1227"/>
      <c r="G54" s="1194"/>
    </row>
    <row r="55" spans="1:8">
      <c r="A55" s="753"/>
      <c r="B55" s="998"/>
      <c r="C55" s="760"/>
      <c r="D55" s="658"/>
      <c r="E55" s="754"/>
      <c r="F55" s="1227"/>
      <c r="G55" s="1194"/>
    </row>
    <row r="56" spans="1:8">
      <c r="A56" s="753"/>
      <c r="B56" s="998"/>
      <c r="C56" s="533" t="s">
        <v>1099</v>
      </c>
      <c r="D56" s="658"/>
      <c r="E56" s="754"/>
      <c r="F56" s="1227"/>
      <c r="G56" s="1194"/>
    </row>
    <row r="57" spans="1:8">
      <c r="A57" s="753"/>
      <c r="B57" s="998"/>
      <c r="C57" s="760"/>
      <c r="D57" s="658"/>
      <c r="E57" s="754"/>
      <c r="F57" s="1227"/>
      <c r="G57" s="1194"/>
    </row>
    <row r="58" spans="1:8">
      <c r="A58" s="753" t="s">
        <v>1100</v>
      </c>
      <c r="B58" s="998"/>
      <c r="C58" s="760" t="s">
        <v>1101</v>
      </c>
      <c r="D58" s="658" t="s">
        <v>825</v>
      </c>
      <c r="E58" s="754">
        <f>_xlfn.CEILING.MATH(2*PI()*30.2*0.45,5)</f>
        <v>90</v>
      </c>
      <c r="F58" s="1227"/>
      <c r="G58" s="1194"/>
      <c r="H58" s="273"/>
    </row>
    <row r="59" spans="1:8">
      <c r="A59" s="753"/>
      <c r="B59" s="998"/>
      <c r="C59" s="760"/>
      <c r="D59" s="658"/>
      <c r="E59" s="754"/>
      <c r="F59" s="1227"/>
      <c r="G59" s="1194"/>
      <c r="H59" s="267"/>
    </row>
    <row r="60" spans="1:8">
      <c r="A60" s="753" t="s">
        <v>1102</v>
      </c>
      <c r="B60" s="998"/>
      <c r="C60" s="760" t="s">
        <v>1103</v>
      </c>
      <c r="D60" s="658" t="s">
        <v>825</v>
      </c>
      <c r="E60" s="754">
        <f>_xlfn.CEILING.MATH(2*PI()*28.2*0.45,5)</f>
        <v>80</v>
      </c>
      <c r="F60" s="1227"/>
      <c r="G60" s="1194"/>
      <c r="H60" s="267"/>
    </row>
    <row r="61" spans="1:8">
      <c r="A61" s="753"/>
      <c r="B61" s="998"/>
      <c r="C61" s="760"/>
      <c r="D61" s="658"/>
      <c r="E61" s="754"/>
      <c r="F61" s="1227"/>
      <c r="G61" s="1194"/>
    </row>
    <row r="62" spans="1:8">
      <c r="A62" s="753" t="s">
        <v>1104</v>
      </c>
      <c r="B62" s="998"/>
      <c r="C62" s="760" t="s">
        <v>1105</v>
      </c>
      <c r="D62" s="658" t="s">
        <v>825</v>
      </c>
      <c r="E62" s="727">
        <f>_xlfn.CEILING.MATH((2*PI()*29.45*8.5),5)</f>
        <v>1575</v>
      </c>
      <c r="F62" s="1227"/>
      <c r="G62" s="1194"/>
    </row>
    <row r="63" spans="1:8">
      <c r="A63" s="753"/>
      <c r="B63" s="998"/>
      <c r="C63" s="760"/>
      <c r="D63" s="658"/>
      <c r="E63" s="754"/>
      <c r="F63" s="1227"/>
      <c r="G63" s="1194"/>
    </row>
    <row r="64" spans="1:8">
      <c r="A64" s="753" t="s">
        <v>1106</v>
      </c>
      <c r="B64" s="998"/>
      <c r="C64" s="760" t="s">
        <v>1107</v>
      </c>
      <c r="D64" s="658" t="s">
        <v>825</v>
      </c>
      <c r="E64" s="727">
        <f>_xlfn.CEILING.MATH(2*PI()*29*8.5,5)</f>
        <v>1550</v>
      </c>
      <c r="F64" s="1227"/>
      <c r="G64" s="1194"/>
    </row>
    <row r="65" spans="1:8">
      <c r="A65" s="753"/>
      <c r="B65" s="1032"/>
      <c r="C65" s="1033"/>
      <c r="D65" s="604"/>
      <c r="E65" s="754"/>
      <c r="F65" s="1227"/>
      <c r="G65" s="1241"/>
    </row>
    <row r="66" spans="1:8">
      <c r="A66" s="753" t="s">
        <v>1108</v>
      </c>
      <c r="B66" s="1032"/>
      <c r="C66" s="1033" t="s">
        <v>1109</v>
      </c>
      <c r="D66" s="658" t="s">
        <v>825</v>
      </c>
      <c r="E66" s="754">
        <f>_xlfn.CEILING.MATH(2*PI()*29.8*1.35,5)</f>
        <v>255</v>
      </c>
      <c r="F66" s="1227"/>
      <c r="G66" s="1194"/>
    </row>
    <row r="67" spans="1:8">
      <c r="A67" s="753"/>
      <c r="B67" s="1032"/>
      <c r="C67" s="1033"/>
      <c r="D67" s="604"/>
      <c r="E67" s="754"/>
      <c r="F67" s="1227"/>
      <c r="G67" s="1241"/>
    </row>
    <row r="68" spans="1:8">
      <c r="A68" s="753" t="s">
        <v>1110</v>
      </c>
      <c r="B68" s="1032"/>
      <c r="C68" s="1033" t="s">
        <v>1111</v>
      </c>
      <c r="D68" s="658" t="s">
        <v>825</v>
      </c>
      <c r="E68" s="754">
        <f>_xlfn.CEILING.MATH(2*PI()*29*0.8,5)</f>
        <v>150</v>
      </c>
      <c r="F68" s="1227"/>
      <c r="G68" s="1194"/>
    </row>
    <row r="69" spans="1:8">
      <c r="A69" s="753"/>
      <c r="B69" s="1032"/>
      <c r="C69" s="1033"/>
      <c r="D69" s="658"/>
      <c r="E69" s="754"/>
      <c r="F69" s="1227"/>
      <c r="G69" s="1194"/>
    </row>
    <row r="70" spans="1:8">
      <c r="A70" s="753" t="s">
        <v>1112</v>
      </c>
      <c r="B70" s="1032"/>
      <c r="C70" s="1033" t="s">
        <v>1113</v>
      </c>
      <c r="D70" s="658" t="s">
        <v>825</v>
      </c>
      <c r="E70" s="754">
        <v>12.5</v>
      </c>
      <c r="F70" s="1227"/>
      <c r="G70" s="1194"/>
    </row>
    <row r="71" spans="1:8">
      <c r="A71" s="753"/>
      <c r="B71" s="1032"/>
      <c r="C71" s="1033"/>
      <c r="D71" s="658"/>
      <c r="E71" s="754"/>
      <c r="F71" s="1227"/>
      <c r="G71" s="1194"/>
    </row>
    <row r="72" spans="1:8">
      <c r="A72" s="753"/>
      <c r="B72" s="1032" t="s">
        <v>1114</v>
      </c>
      <c r="C72" s="1034" t="s">
        <v>1115</v>
      </c>
      <c r="D72" s="658"/>
      <c r="E72" s="754"/>
      <c r="F72" s="1227"/>
      <c r="G72" s="1194"/>
      <c r="H72" s="267"/>
    </row>
    <row r="73" spans="1:8">
      <c r="A73" s="753"/>
      <c r="B73" s="1032"/>
      <c r="C73" s="1035"/>
      <c r="D73" s="1036"/>
      <c r="E73" s="1037"/>
      <c r="F73" s="1227"/>
      <c r="G73" s="1194"/>
      <c r="H73" s="267"/>
    </row>
    <row r="74" spans="1:8">
      <c r="A74" s="753" t="s">
        <v>1116</v>
      </c>
      <c r="B74" s="1032"/>
      <c r="C74" s="1038" t="s">
        <v>1117</v>
      </c>
      <c r="D74" s="1036" t="s">
        <v>818</v>
      </c>
      <c r="E74" s="1037">
        <f>ROUNDUP(12.5*2+8*2,0)</f>
        <v>41</v>
      </c>
      <c r="F74" s="1227"/>
      <c r="G74" s="1194"/>
      <c r="H74" s="267"/>
    </row>
    <row r="75" spans="1:8">
      <c r="A75" s="753"/>
      <c r="B75" s="1032"/>
      <c r="C75" s="1033"/>
      <c r="D75" s="658"/>
      <c r="E75" s="754"/>
      <c r="F75" s="1227"/>
      <c r="G75" s="1194"/>
    </row>
    <row r="76" spans="1:8">
      <c r="A76" s="753"/>
      <c r="B76" s="1032"/>
      <c r="C76" s="1033"/>
      <c r="D76" s="658"/>
      <c r="E76" s="754"/>
      <c r="F76" s="1227"/>
      <c r="G76" s="1194"/>
    </row>
    <row r="77" spans="1:8">
      <c r="A77" s="753"/>
      <c r="B77" s="1032"/>
      <c r="C77" s="1033"/>
      <c r="D77" s="658"/>
      <c r="E77" s="754"/>
      <c r="F77" s="1227"/>
      <c r="G77" s="1194"/>
    </row>
    <row r="78" spans="1:8">
      <c r="A78" s="753"/>
      <c r="B78" s="1032"/>
      <c r="C78" s="1033"/>
      <c r="D78" s="658"/>
      <c r="E78" s="754"/>
      <c r="F78" s="1227"/>
      <c r="G78" s="1194"/>
    </row>
    <row r="79" spans="1:8">
      <c r="A79" s="753"/>
      <c r="B79" s="1032"/>
      <c r="C79" s="1033"/>
      <c r="D79" s="658"/>
      <c r="E79" s="754"/>
      <c r="F79" s="1227"/>
      <c r="G79" s="1194"/>
    </row>
    <row r="80" spans="1:8">
      <c r="A80" s="753"/>
      <c r="B80" s="1032"/>
      <c r="C80" s="1033"/>
      <c r="D80" s="658"/>
      <c r="E80" s="754"/>
      <c r="F80" s="1227"/>
      <c r="G80" s="1194"/>
    </row>
    <row r="81" spans="1:8">
      <c r="A81" s="1551" t="s">
        <v>96</v>
      </c>
      <c r="B81" s="1552"/>
      <c r="C81" s="1552"/>
      <c r="D81" s="1552"/>
      <c r="E81" s="1552"/>
      <c r="F81" s="1514"/>
      <c r="G81" s="1514"/>
    </row>
    <row r="82" spans="1:8" ht="12.75" customHeight="1">
      <c r="A82" s="1553"/>
      <c r="B82" s="1554"/>
      <c r="C82" s="1554"/>
      <c r="D82" s="1554"/>
      <c r="E82" s="1554"/>
      <c r="F82" s="1514"/>
      <c r="G82" s="1514"/>
    </row>
    <row r="83" spans="1:8" ht="12.75" customHeight="1">
      <c r="A83" s="753"/>
      <c r="B83" s="998"/>
      <c r="C83" s="1078" t="s">
        <v>220</v>
      </c>
      <c r="D83" s="742"/>
      <c r="E83" s="709"/>
      <c r="F83" s="1232"/>
      <c r="G83" s="1242"/>
      <c r="H83" s="255"/>
    </row>
    <row r="84" spans="1:8">
      <c r="A84" s="753"/>
      <c r="B84" s="1032"/>
      <c r="C84" s="1033"/>
      <c r="D84" s="604"/>
      <c r="E84" s="754"/>
      <c r="F84" s="1227"/>
      <c r="G84" s="1194"/>
    </row>
    <row r="85" spans="1:8">
      <c r="A85" s="753"/>
      <c r="B85" s="1032"/>
      <c r="C85" s="1035"/>
      <c r="D85" s="1036"/>
      <c r="E85" s="1037"/>
      <c r="F85" s="1227"/>
      <c r="G85" s="1194"/>
    </row>
    <row r="86" spans="1:8">
      <c r="A86" s="753" t="s">
        <v>1118</v>
      </c>
      <c r="B86" s="1032"/>
      <c r="C86" s="1035" t="s">
        <v>1119</v>
      </c>
      <c r="D86" s="1036" t="s">
        <v>818</v>
      </c>
      <c r="E86" s="1037">
        <f>ROUNDUP(PI()*(29.45+0.45+1)*2,0)</f>
        <v>195</v>
      </c>
      <c r="F86" s="1227"/>
      <c r="G86" s="1194"/>
    </row>
    <row r="87" spans="1:8">
      <c r="A87" s="765"/>
      <c r="B87" s="1032"/>
      <c r="C87" s="1033"/>
      <c r="D87" s="658"/>
      <c r="E87" s="754"/>
      <c r="F87" s="1227"/>
      <c r="G87" s="1194"/>
    </row>
    <row r="88" spans="1:8">
      <c r="A88" s="753"/>
      <c r="B88" s="998"/>
      <c r="C88" s="1105" t="s">
        <v>1120</v>
      </c>
      <c r="D88" s="658"/>
      <c r="E88" s="754"/>
      <c r="F88" s="1227"/>
      <c r="G88" s="1194"/>
    </row>
    <row r="89" spans="1:8">
      <c r="A89" s="753"/>
      <c r="B89" s="998"/>
      <c r="C89" s="533"/>
      <c r="D89" s="658"/>
      <c r="E89" s="754"/>
      <c r="F89" s="1227"/>
      <c r="G89" s="1194"/>
    </row>
    <row r="90" spans="1:8">
      <c r="A90" s="753" t="s">
        <v>1121</v>
      </c>
      <c r="B90" s="998"/>
      <c r="C90" s="760" t="s">
        <v>1122</v>
      </c>
      <c r="D90" s="658" t="s">
        <v>825</v>
      </c>
      <c r="E90" s="727">
        <v>3060</v>
      </c>
      <c r="F90" s="1234"/>
      <c r="G90" s="1237"/>
    </row>
    <row r="91" spans="1:8">
      <c r="A91" s="753"/>
      <c r="B91" s="998"/>
      <c r="C91" s="760"/>
      <c r="D91" s="658"/>
      <c r="E91" s="727"/>
      <c r="F91" s="1234"/>
      <c r="G91" s="1237"/>
    </row>
    <row r="92" spans="1:8">
      <c r="A92" s="753"/>
      <c r="B92" s="998" t="s">
        <v>1123</v>
      </c>
      <c r="C92" s="533" t="s">
        <v>1124</v>
      </c>
      <c r="D92" s="658"/>
      <c r="E92" s="754"/>
      <c r="F92" s="1227"/>
      <c r="G92" s="1194"/>
    </row>
    <row r="93" spans="1:8">
      <c r="A93" s="753"/>
      <c r="B93" s="998"/>
      <c r="C93" s="533"/>
      <c r="D93" s="658"/>
      <c r="E93" s="754"/>
      <c r="F93" s="1227"/>
      <c r="G93" s="1194"/>
    </row>
    <row r="94" spans="1:8" ht="25.5">
      <c r="A94" s="753" t="s">
        <v>1125</v>
      </c>
      <c r="B94" s="998" t="s">
        <v>1126</v>
      </c>
      <c r="C94" s="760" t="s">
        <v>1127</v>
      </c>
      <c r="D94" s="658" t="s">
        <v>70</v>
      </c>
      <c r="E94" s="754">
        <v>2</v>
      </c>
      <c r="F94" s="1227"/>
      <c r="G94" s="1194"/>
    </row>
    <row r="95" spans="1:8">
      <c r="A95" s="753"/>
      <c r="B95" s="998"/>
      <c r="C95" s="760"/>
      <c r="D95" s="658"/>
      <c r="E95" s="754"/>
      <c r="F95" s="1227"/>
      <c r="G95" s="1194"/>
    </row>
    <row r="96" spans="1:8">
      <c r="A96" s="753"/>
      <c r="B96" s="998" t="s">
        <v>1128</v>
      </c>
      <c r="C96" s="533" t="s">
        <v>1129</v>
      </c>
      <c r="D96" s="658"/>
      <c r="E96" s="754"/>
      <c r="F96" s="1227"/>
      <c r="G96" s="1194"/>
    </row>
    <row r="97" spans="1:7">
      <c r="A97" s="753"/>
      <c r="B97" s="998"/>
      <c r="C97" s="760"/>
      <c r="D97" s="658"/>
      <c r="E97" s="754"/>
      <c r="F97" s="1227"/>
      <c r="G97" s="1194"/>
    </row>
    <row r="98" spans="1:7">
      <c r="A98" s="753" t="s">
        <v>1130</v>
      </c>
      <c r="B98" s="998"/>
      <c r="C98" s="760" t="s">
        <v>1131</v>
      </c>
      <c r="D98" s="658" t="s">
        <v>818</v>
      </c>
      <c r="E98" s="754">
        <f>_xlfn.CEILING.MATH((2*PI()*29)+(2*PI()*29.5),5)</f>
        <v>370</v>
      </c>
      <c r="F98" s="1227"/>
      <c r="G98" s="1194"/>
    </row>
    <row r="99" spans="1:7">
      <c r="A99" s="753"/>
      <c r="B99" s="998"/>
      <c r="C99" s="760"/>
      <c r="D99" s="658"/>
      <c r="E99" s="754"/>
      <c r="F99" s="1227"/>
      <c r="G99" s="1194"/>
    </row>
    <row r="100" spans="1:7">
      <c r="A100" s="753" t="s">
        <v>1132</v>
      </c>
      <c r="B100" s="998"/>
      <c r="C100" s="760" t="s">
        <v>1133</v>
      </c>
      <c r="D100" s="658" t="s">
        <v>818</v>
      </c>
      <c r="E100" s="754">
        <f>1.9*4</f>
        <v>7.6</v>
      </c>
      <c r="F100" s="1227"/>
      <c r="G100" s="1194"/>
    </row>
    <row r="101" spans="1:7">
      <c r="A101" s="753"/>
      <c r="B101" s="998"/>
      <c r="C101" s="760"/>
      <c r="D101" s="658"/>
      <c r="E101" s="754"/>
      <c r="F101" s="1227"/>
      <c r="G101" s="1194"/>
    </row>
    <row r="102" spans="1:7" ht="25.5">
      <c r="A102" s="753" t="s">
        <v>1134</v>
      </c>
      <c r="B102" s="998"/>
      <c r="C102" s="760" t="s">
        <v>1135</v>
      </c>
      <c r="D102" s="658" t="s">
        <v>818</v>
      </c>
      <c r="E102" s="754">
        <f>_xlfn.CEILING.MATH(2*PI()*29,5)</f>
        <v>185</v>
      </c>
      <c r="F102" s="1243"/>
      <c r="G102" s="1194"/>
    </row>
    <row r="103" spans="1:7">
      <c r="A103" s="753"/>
      <c r="B103" s="998"/>
      <c r="C103" s="760"/>
      <c r="D103" s="658"/>
      <c r="E103" s="754"/>
      <c r="F103" s="1227"/>
      <c r="G103" s="1194"/>
    </row>
    <row r="104" spans="1:7">
      <c r="A104" s="311"/>
      <c r="B104" s="998">
        <v>8.3000000000000007</v>
      </c>
      <c r="C104" s="533" t="s">
        <v>958</v>
      </c>
      <c r="D104" s="658"/>
      <c r="E104" s="754"/>
      <c r="F104" s="1227"/>
      <c r="G104" s="1194"/>
    </row>
    <row r="105" spans="1:7">
      <c r="A105" s="753"/>
      <c r="B105" s="998"/>
      <c r="C105" s="760"/>
      <c r="D105" s="658"/>
      <c r="E105" s="754"/>
      <c r="F105" s="1227"/>
      <c r="G105" s="1194"/>
    </row>
    <row r="106" spans="1:7">
      <c r="A106" s="753" t="s">
        <v>1136</v>
      </c>
      <c r="B106" s="998" t="s">
        <v>331</v>
      </c>
      <c r="C106" s="760" t="s">
        <v>960</v>
      </c>
      <c r="D106" s="658" t="s">
        <v>961</v>
      </c>
      <c r="E106" s="754">
        <v>249</v>
      </c>
      <c r="F106" s="1200"/>
      <c r="G106" s="1201"/>
    </row>
    <row r="107" spans="1:7">
      <c r="A107" s="753"/>
      <c r="B107" s="998"/>
      <c r="C107" s="766"/>
      <c r="D107" s="658"/>
      <c r="E107" s="754"/>
      <c r="F107" s="1227"/>
      <c r="G107" s="1194"/>
    </row>
    <row r="108" spans="1:7">
      <c r="A108" s="753" t="s">
        <v>1137</v>
      </c>
      <c r="B108" s="998" t="s">
        <v>331</v>
      </c>
      <c r="C108" s="760" t="s">
        <v>963</v>
      </c>
      <c r="D108" s="658" t="s">
        <v>961</v>
      </c>
      <c r="E108" s="754">
        <f>_xlfn.CEILING.MATH(14+5.5+1.6,1)</f>
        <v>22</v>
      </c>
      <c r="F108" s="1200"/>
      <c r="G108" s="1201"/>
    </row>
    <row r="109" spans="1:7">
      <c r="A109" s="753"/>
      <c r="B109" s="998"/>
      <c r="C109" s="760"/>
      <c r="D109" s="658"/>
      <c r="E109" s="754"/>
      <c r="F109" s="1227"/>
      <c r="G109" s="1194"/>
    </row>
    <row r="110" spans="1:7">
      <c r="A110" s="311"/>
      <c r="B110" s="998">
        <v>8.4</v>
      </c>
      <c r="C110" s="533" t="s">
        <v>968</v>
      </c>
      <c r="D110" s="658"/>
      <c r="E110" s="754"/>
      <c r="F110" s="1227"/>
      <c r="G110" s="1194"/>
    </row>
    <row r="111" spans="1:7">
      <c r="A111" s="753"/>
      <c r="B111" s="998"/>
      <c r="C111" s="760"/>
      <c r="D111" s="658"/>
      <c r="E111" s="754"/>
      <c r="F111" s="1227"/>
      <c r="G111" s="1194"/>
    </row>
    <row r="112" spans="1:7">
      <c r="A112" s="753"/>
      <c r="B112" s="998" t="s">
        <v>1138</v>
      </c>
      <c r="C112" s="533" t="s">
        <v>1139</v>
      </c>
      <c r="D112" s="658"/>
      <c r="E112" s="754"/>
      <c r="F112" s="1227"/>
      <c r="G112" s="1194"/>
    </row>
    <row r="113" spans="1:15">
      <c r="A113" s="753"/>
      <c r="B113" s="998"/>
      <c r="C113" s="760"/>
      <c r="D113" s="658"/>
      <c r="E113" s="754"/>
      <c r="F113" s="1227"/>
      <c r="G113" s="1194"/>
    </row>
    <row r="114" spans="1:15">
      <c r="A114" s="753" t="s">
        <v>1140</v>
      </c>
      <c r="B114" s="998" t="s">
        <v>441</v>
      </c>
      <c r="C114" s="767" t="s">
        <v>1141</v>
      </c>
      <c r="D114" s="658" t="s">
        <v>825</v>
      </c>
      <c r="E114" s="727">
        <f>_xlfn.CEILING.MATH((PI()*29^2)+((PI()*30.2^2)-(PI()*28.2^2)),5)</f>
        <v>3010</v>
      </c>
      <c r="F114" s="1227"/>
      <c r="G114" s="1194"/>
      <c r="O114" s="267"/>
    </row>
    <row r="115" spans="1:15">
      <c r="A115" s="753"/>
      <c r="B115" s="998"/>
      <c r="C115" s="767"/>
      <c r="D115" s="658"/>
      <c r="E115" s="754"/>
      <c r="F115" s="1227"/>
      <c r="G115" s="1194"/>
    </row>
    <row r="116" spans="1:15" ht="25.5">
      <c r="A116" s="753" t="s">
        <v>1142</v>
      </c>
      <c r="B116" s="998"/>
      <c r="C116" s="768" t="s">
        <v>1143</v>
      </c>
      <c r="D116" s="658" t="s">
        <v>825</v>
      </c>
      <c r="E116" s="754">
        <f>_xlfn.CEILING.MATH(25*1.2)</f>
        <v>30</v>
      </c>
      <c r="F116" s="1227"/>
      <c r="G116" s="1194"/>
    </row>
    <row r="117" spans="1:15">
      <c r="A117" s="753"/>
      <c r="B117" s="998"/>
      <c r="C117" s="768"/>
      <c r="D117" s="658"/>
      <c r="E117" s="754"/>
      <c r="F117" s="1227"/>
      <c r="G117" s="1194"/>
    </row>
    <row r="118" spans="1:15">
      <c r="A118" s="753"/>
      <c r="B118" s="998"/>
      <c r="C118" s="1042" t="s">
        <v>1144</v>
      </c>
      <c r="D118" s="658"/>
      <c r="E118" s="754"/>
      <c r="F118" s="1227"/>
      <c r="G118" s="1194"/>
    </row>
    <row r="119" spans="1:15" ht="12.75" customHeight="1">
      <c r="A119" s="753"/>
      <c r="B119" s="998"/>
      <c r="C119" s="767"/>
      <c r="D119" s="658"/>
      <c r="E119" s="754"/>
      <c r="F119" s="1227"/>
      <c r="G119" s="1194"/>
    </row>
    <row r="120" spans="1:15">
      <c r="A120" s="753" t="s">
        <v>1145</v>
      </c>
      <c r="B120" s="998"/>
      <c r="C120" s="768" t="s">
        <v>1146</v>
      </c>
      <c r="D120" s="658" t="s">
        <v>825</v>
      </c>
      <c r="E120" s="727">
        <f>_xlfn.CEILING.MATH((PI()*29^2),5)</f>
        <v>2645</v>
      </c>
      <c r="F120" s="1227"/>
      <c r="G120" s="1194"/>
    </row>
    <row r="121" spans="1:15">
      <c r="A121" s="753"/>
      <c r="B121" s="998"/>
      <c r="C121" s="766"/>
      <c r="D121" s="658"/>
      <c r="E121" s="754"/>
      <c r="F121" s="1227"/>
      <c r="G121" s="1242"/>
    </row>
    <row r="122" spans="1:15" ht="25.5">
      <c r="A122" s="753" t="s">
        <v>1147</v>
      </c>
      <c r="B122" s="998"/>
      <c r="C122" s="760" t="s">
        <v>1148</v>
      </c>
      <c r="D122" s="658" t="s">
        <v>574</v>
      </c>
      <c r="E122" s="754">
        <f>_xlfn.CEILING.MATH((54.7+54.7+19.3+26.7+28.4+26.7+19.4+19.3+19.4+26.73+28.4+26.73)*0.1,5)</f>
        <v>40</v>
      </c>
      <c r="F122" s="1234"/>
      <c r="G122" s="1244"/>
    </row>
    <row r="123" spans="1:15">
      <c r="A123" s="753"/>
      <c r="B123" s="998"/>
      <c r="C123" s="760"/>
      <c r="D123" s="658"/>
      <c r="E123" s="754"/>
      <c r="F123" s="1234"/>
      <c r="G123" s="1244"/>
    </row>
    <row r="124" spans="1:15" ht="25.5">
      <c r="A124" s="753" t="s">
        <v>1149</v>
      </c>
      <c r="B124" s="998"/>
      <c r="C124" s="760" t="s">
        <v>1150</v>
      </c>
      <c r="D124" s="658" t="s">
        <v>574</v>
      </c>
      <c r="E124" s="754">
        <f>_xlfn.CEILING.MATH((9.9+13.9+7.5+7.5+13.9+9.9+21.8+14.6+6.9+6.9+14.6+21.8+9.9+13.9+7.5+7.5+13.9+9.9+21.8+14.6+6.9+6.9+14.6+21.8)*0.1,5)</f>
        <v>30</v>
      </c>
      <c r="F124" s="1234"/>
      <c r="G124" s="1244"/>
    </row>
    <row r="125" spans="1:15">
      <c r="A125" s="753"/>
      <c r="B125" s="998"/>
      <c r="C125" s="1073"/>
      <c r="D125" s="658"/>
      <c r="E125" s="754"/>
      <c r="F125" s="1227"/>
      <c r="G125" s="1194"/>
    </row>
    <row r="126" spans="1:15">
      <c r="A126" s="753" t="s">
        <v>1151</v>
      </c>
      <c r="B126" s="998"/>
      <c r="C126" s="1106" t="s">
        <v>1152</v>
      </c>
      <c r="D126" s="658" t="s">
        <v>574</v>
      </c>
      <c r="E126" s="754">
        <v>100</v>
      </c>
      <c r="F126" s="1227"/>
      <c r="G126" s="1194"/>
    </row>
    <row r="127" spans="1:15">
      <c r="A127" s="753"/>
      <c r="B127" s="998"/>
      <c r="C127" s="766"/>
      <c r="D127" s="658"/>
      <c r="E127" s="754"/>
      <c r="F127" s="1227"/>
      <c r="G127" s="1242"/>
    </row>
    <row r="128" spans="1:15">
      <c r="A128" s="753"/>
      <c r="B128" s="998" t="s">
        <v>1138</v>
      </c>
      <c r="C128" s="533" t="s">
        <v>1153</v>
      </c>
      <c r="D128" s="658"/>
      <c r="E128" s="754"/>
      <c r="F128" s="1227"/>
      <c r="G128" s="1194"/>
    </row>
    <row r="129" spans="1:7">
      <c r="A129" s="753"/>
      <c r="B129" s="998"/>
      <c r="C129" s="533"/>
      <c r="D129" s="658"/>
      <c r="E129" s="754"/>
      <c r="F129" s="1227"/>
      <c r="G129" s="1194"/>
    </row>
    <row r="130" spans="1:7">
      <c r="A130" s="753" t="s">
        <v>1154</v>
      </c>
      <c r="B130" s="998"/>
      <c r="C130" s="760" t="s">
        <v>1155</v>
      </c>
      <c r="D130" s="658" t="s">
        <v>574</v>
      </c>
      <c r="E130" s="754">
        <v>140</v>
      </c>
      <c r="F130" s="1227"/>
      <c r="G130" s="1194"/>
    </row>
    <row r="131" spans="1:7">
      <c r="A131" s="753"/>
      <c r="B131" s="998"/>
      <c r="C131" s="760"/>
      <c r="D131" s="658"/>
      <c r="E131" s="754"/>
      <c r="F131" s="1227"/>
      <c r="G131" s="1242"/>
    </row>
    <row r="132" spans="1:7">
      <c r="A132" s="753"/>
      <c r="B132" s="998" t="s">
        <v>1138</v>
      </c>
      <c r="C132" s="533" t="s">
        <v>1156</v>
      </c>
      <c r="D132" s="658"/>
      <c r="E132" s="754"/>
      <c r="F132" s="1227"/>
      <c r="G132" s="1194"/>
    </row>
    <row r="133" spans="1:7">
      <c r="A133" s="753"/>
      <c r="B133" s="998"/>
      <c r="C133" s="760"/>
      <c r="D133" s="658"/>
      <c r="E133" s="754"/>
      <c r="F133" s="1227"/>
      <c r="G133" s="1194"/>
    </row>
    <row r="134" spans="1:7">
      <c r="A134" s="753" t="s">
        <v>1157</v>
      </c>
      <c r="B134" s="998"/>
      <c r="C134" s="760" t="s">
        <v>1158</v>
      </c>
      <c r="D134" s="658" t="s">
        <v>574</v>
      </c>
      <c r="E134" s="754">
        <f>_xlfn.CEILING.MATH(2*PI()*29*1.75*0.45,5)</f>
        <v>145</v>
      </c>
      <c r="F134" s="1227"/>
      <c r="G134" s="1194"/>
    </row>
    <row r="135" spans="1:7">
      <c r="A135" s="753"/>
      <c r="B135" s="998"/>
      <c r="C135" s="760"/>
      <c r="D135" s="658"/>
      <c r="E135" s="754"/>
      <c r="F135" s="1227"/>
      <c r="G135" s="1194"/>
    </row>
    <row r="136" spans="1:7" ht="12.75" customHeight="1">
      <c r="A136" s="753" t="s">
        <v>1159</v>
      </c>
      <c r="B136" s="998"/>
      <c r="C136" s="760" t="s">
        <v>1160</v>
      </c>
      <c r="D136" s="658" t="s">
        <v>574</v>
      </c>
      <c r="E136" s="754">
        <f>_xlfn.CEILING.MATH(PI()*(29^2)*0.2,5)</f>
        <v>530</v>
      </c>
      <c r="F136" s="1227"/>
      <c r="G136" s="1194"/>
    </row>
    <row r="137" spans="1:7" ht="12.75" customHeight="1">
      <c r="A137" s="753"/>
      <c r="B137" s="998"/>
      <c r="C137" s="766"/>
      <c r="D137" s="658"/>
      <c r="E137" s="754"/>
      <c r="F137" s="1227"/>
      <c r="G137" s="1194"/>
    </row>
    <row r="138" spans="1:7" ht="12.75" customHeight="1">
      <c r="A138" s="753" t="s">
        <v>1161</v>
      </c>
      <c r="B138" s="998"/>
      <c r="C138" s="760" t="s">
        <v>1162</v>
      </c>
      <c r="D138" s="658" t="s">
        <v>574</v>
      </c>
      <c r="E138" s="727">
        <f>_xlfn.CEILING.MATH(((PI()*(29.9^2-29.45^2)*8.5)+(0.3*2*6*8.5))+(0.02*728),5)</f>
        <v>760</v>
      </c>
      <c r="F138" s="1227"/>
      <c r="G138" s="1194"/>
    </row>
    <row r="139" spans="1:7" ht="12.75" customHeight="1">
      <c r="A139" s="753"/>
      <c r="B139" s="998"/>
      <c r="C139" s="760"/>
      <c r="D139" s="658"/>
      <c r="E139" s="754"/>
      <c r="F139" s="1227"/>
      <c r="G139" s="1194"/>
    </row>
    <row r="140" spans="1:7" ht="12.75" customHeight="1">
      <c r="A140" s="753" t="s">
        <v>1163</v>
      </c>
      <c r="B140" s="998"/>
      <c r="C140" s="760" t="s">
        <v>1164</v>
      </c>
      <c r="D140" s="658" t="s">
        <v>574</v>
      </c>
      <c r="E140" s="754">
        <v>255</v>
      </c>
      <c r="F140" s="1227"/>
      <c r="G140" s="1194"/>
    </row>
    <row r="141" spans="1:7" ht="12.75" customHeight="1">
      <c r="A141" s="753"/>
      <c r="B141" s="998"/>
      <c r="C141" s="760"/>
      <c r="D141" s="658"/>
      <c r="E141" s="754"/>
      <c r="F141" s="1227"/>
      <c r="G141" s="1194"/>
    </row>
    <row r="142" spans="1:7" ht="12.75" customHeight="1">
      <c r="A142" s="753" t="s">
        <v>1165</v>
      </c>
      <c r="B142" s="998"/>
      <c r="C142" s="760" t="s">
        <v>1166</v>
      </c>
      <c r="D142" s="658" t="s">
        <v>574</v>
      </c>
      <c r="E142" s="754">
        <f>840+5</f>
        <v>845</v>
      </c>
      <c r="F142" s="1227"/>
      <c r="G142" s="1194"/>
    </row>
    <row r="143" spans="1:7" ht="12.75" customHeight="1">
      <c r="A143" s="753"/>
      <c r="B143" s="998"/>
      <c r="C143" s="766"/>
      <c r="D143" s="658"/>
      <c r="E143" s="754"/>
      <c r="F143" s="1227"/>
      <c r="G143" s="1194"/>
    </row>
    <row r="144" spans="1:7" ht="12.75" customHeight="1">
      <c r="A144" s="753" t="s">
        <v>1167</v>
      </c>
      <c r="B144" s="998"/>
      <c r="C144" s="760" t="s">
        <v>1168</v>
      </c>
      <c r="D144" s="658" t="s">
        <v>574</v>
      </c>
      <c r="E144" s="754">
        <f>_xlfn.CEILING.MATH(1.2*0.25*25+(0.3*10),5)</f>
        <v>15</v>
      </c>
      <c r="F144" s="1227"/>
      <c r="G144" s="1194"/>
    </row>
    <row r="145" spans="1:15" ht="12.75" customHeight="1">
      <c r="A145" s="753"/>
      <c r="B145" s="998"/>
      <c r="C145" s="1073"/>
      <c r="D145" s="658"/>
      <c r="E145" s="754"/>
      <c r="F145" s="1227"/>
      <c r="G145" s="1194"/>
    </row>
    <row r="146" spans="1:15" ht="12.75" customHeight="1">
      <c r="A146" s="753" t="s">
        <v>1169</v>
      </c>
      <c r="B146" s="998"/>
      <c r="C146" s="1073" t="s">
        <v>1096</v>
      </c>
      <c r="D146" s="658" t="s">
        <v>574</v>
      </c>
      <c r="E146" s="754">
        <f>_xlfn.CEILING.MATH((25*0.5*0.25*2)+(1.2*0.5*0.25),5)</f>
        <v>10</v>
      </c>
      <c r="F146" s="1227"/>
      <c r="G146" s="1194"/>
    </row>
    <row r="147" spans="1:15" ht="12.75" customHeight="1">
      <c r="A147" s="753"/>
      <c r="B147" s="998"/>
      <c r="C147" s="760"/>
      <c r="D147" s="658"/>
      <c r="E147" s="754"/>
      <c r="F147" s="1227"/>
      <c r="G147" s="1194"/>
    </row>
    <row r="148" spans="1:15">
      <c r="A148" s="1100"/>
      <c r="B148" s="998" t="s">
        <v>480</v>
      </c>
      <c r="C148" s="1105" t="s">
        <v>973</v>
      </c>
      <c r="D148" s="658"/>
      <c r="E148" s="754"/>
      <c r="F148" s="1227"/>
      <c r="G148" s="1194"/>
    </row>
    <row r="149" spans="1:15">
      <c r="A149" s="1100"/>
      <c r="B149" s="998"/>
      <c r="C149" s="1073"/>
      <c r="D149" s="658"/>
      <c r="E149" s="754"/>
      <c r="F149" s="1245"/>
      <c r="G149" s="1194"/>
    </row>
    <row r="150" spans="1:15">
      <c r="A150" s="1100"/>
      <c r="B150" s="998" t="s">
        <v>1170</v>
      </c>
      <c r="C150" s="533" t="s">
        <v>1171</v>
      </c>
      <c r="D150" s="658"/>
      <c r="E150" s="754"/>
      <c r="F150" s="1245"/>
      <c r="G150" s="1194"/>
    </row>
    <row r="151" spans="1:15">
      <c r="A151" s="1100"/>
      <c r="B151" s="998"/>
      <c r="C151" s="760"/>
      <c r="D151" s="658"/>
      <c r="E151" s="754"/>
      <c r="F151" s="1245"/>
      <c r="G151" s="1194"/>
    </row>
    <row r="152" spans="1:15" s="309" customFormat="1">
      <c r="A152" s="753" t="s">
        <v>1172</v>
      </c>
      <c r="B152" s="998"/>
      <c r="C152" s="1073" t="s">
        <v>1173</v>
      </c>
      <c r="D152" s="658" t="s">
        <v>825</v>
      </c>
      <c r="E152" s="754">
        <f>_xlfn.CEILING.MATH((0.7*25)+(0.25*25*2)+(1.2*0.25*2)+(0.3*35),5)</f>
        <v>45</v>
      </c>
      <c r="F152" s="1245"/>
      <c r="G152" s="1194"/>
    </row>
    <row r="153" spans="1:15">
      <c r="A153" s="1100"/>
      <c r="B153" s="998"/>
      <c r="C153" s="1073"/>
      <c r="D153" s="658"/>
      <c r="E153" s="754"/>
      <c r="F153" s="1245"/>
      <c r="G153" s="1194"/>
    </row>
    <row r="154" spans="1:15">
      <c r="A154" s="753" t="s">
        <v>1174</v>
      </c>
      <c r="B154" s="998"/>
      <c r="C154" s="1073" t="s">
        <v>1175</v>
      </c>
      <c r="D154" s="658" t="s">
        <v>825</v>
      </c>
      <c r="E154" s="727">
        <v>3060</v>
      </c>
      <c r="F154" s="1245"/>
      <c r="G154" s="1194"/>
    </row>
    <row r="155" spans="1:15">
      <c r="A155" s="1041"/>
      <c r="B155" s="998"/>
      <c r="C155" s="1073"/>
      <c r="D155" s="658"/>
      <c r="E155" s="754"/>
      <c r="F155" s="1245"/>
      <c r="G155" s="1194"/>
    </row>
    <row r="156" spans="1:15">
      <c r="A156" s="1041"/>
      <c r="B156" s="998"/>
      <c r="C156" s="1073"/>
      <c r="D156" s="658"/>
      <c r="E156" s="754"/>
      <c r="F156" s="1245"/>
      <c r="G156" s="1194"/>
    </row>
    <row r="157" spans="1:15">
      <c r="A157" s="1041"/>
      <c r="B157" s="998"/>
      <c r="C157" s="1073"/>
      <c r="D157" s="658"/>
      <c r="E157" s="754"/>
      <c r="F157" s="1245"/>
      <c r="G157" s="1194"/>
    </row>
    <row r="158" spans="1:15">
      <c r="A158" s="1041"/>
      <c r="B158" s="998"/>
      <c r="C158" s="1073"/>
      <c r="D158" s="658"/>
      <c r="E158" s="754"/>
      <c r="F158" s="1245"/>
      <c r="G158" s="1194"/>
    </row>
    <row r="159" spans="1:15" s="1076" customFormat="1" ht="15" customHeight="1">
      <c r="A159" s="1551" t="s">
        <v>96</v>
      </c>
      <c r="B159" s="1552"/>
      <c r="C159" s="1552"/>
      <c r="D159" s="1552"/>
      <c r="E159" s="1552"/>
      <c r="F159" s="1514"/>
      <c r="G159" s="1514"/>
      <c r="H159" s="1077"/>
      <c r="I159" s="1077"/>
      <c r="J159" s="1077"/>
      <c r="K159" s="1077"/>
      <c r="L159" s="1077"/>
      <c r="M159" s="1077"/>
      <c r="N159" s="1077"/>
      <c r="O159" s="1077"/>
    </row>
    <row r="160" spans="1:15" s="1076" customFormat="1" ht="12.75" customHeight="1">
      <c r="A160" s="1553"/>
      <c r="B160" s="1554"/>
      <c r="C160" s="1554"/>
      <c r="D160" s="1554"/>
      <c r="E160" s="1554"/>
      <c r="F160" s="1514"/>
      <c r="G160" s="1514"/>
      <c r="H160" s="1077"/>
      <c r="I160" s="1077"/>
      <c r="J160" s="1077"/>
      <c r="K160" s="1077"/>
      <c r="L160" s="1077"/>
      <c r="M160" s="1077"/>
      <c r="N160" s="1077"/>
      <c r="O160" s="1077"/>
    </row>
    <row r="161" spans="1:8" ht="12.75" customHeight="1">
      <c r="A161" s="753"/>
      <c r="B161" s="998"/>
      <c r="C161" s="1078" t="s">
        <v>220</v>
      </c>
      <c r="D161" s="742"/>
      <c r="E161" s="709"/>
      <c r="F161" s="1232"/>
      <c r="G161" s="1242"/>
      <c r="H161" s="255"/>
    </row>
    <row r="162" spans="1:8" ht="12.75" customHeight="1">
      <c r="A162" s="1041"/>
      <c r="B162" s="998"/>
      <c r="C162" s="1106"/>
      <c r="D162" s="658"/>
      <c r="E162" s="754"/>
      <c r="F162" s="1227"/>
      <c r="G162" s="1194"/>
      <c r="H162" s="255"/>
    </row>
    <row r="163" spans="1:8">
      <c r="A163" s="1100"/>
      <c r="B163" s="998" t="s">
        <v>1176</v>
      </c>
      <c r="C163" s="533" t="s">
        <v>1177</v>
      </c>
      <c r="D163" s="658"/>
      <c r="E163" s="754"/>
      <c r="F163" s="1245"/>
      <c r="G163" s="1194"/>
    </row>
    <row r="164" spans="1:8">
      <c r="A164" s="1100"/>
      <c r="B164" s="998"/>
      <c r="C164" s="760"/>
      <c r="D164" s="658"/>
      <c r="E164" s="754"/>
      <c r="F164" s="1245"/>
      <c r="G164" s="1194"/>
    </row>
    <row r="165" spans="1:8">
      <c r="A165" s="753" t="s">
        <v>1178</v>
      </c>
      <c r="B165" s="998"/>
      <c r="C165" s="760" t="s">
        <v>1179</v>
      </c>
      <c r="D165" s="658" t="s">
        <v>825</v>
      </c>
      <c r="E165" s="727">
        <f>_xlfn.CEILING.MATH((PI()*29^2)+(0.01*2645),5)</f>
        <v>2670</v>
      </c>
      <c r="F165" s="1245"/>
      <c r="G165" s="1194"/>
    </row>
    <row r="166" spans="1:8">
      <c r="A166" s="1100"/>
      <c r="B166" s="331"/>
      <c r="C166" s="760"/>
      <c r="D166" s="658"/>
      <c r="E166" s="754"/>
      <c r="F166" s="1245"/>
      <c r="G166" s="1194"/>
    </row>
    <row r="167" spans="1:8" ht="25.5">
      <c r="A167" s="1100"/>
      <c r="B167" s="316" t="s">
        <v>2351</v>
      </c>
      <c r="C167" s="533" t="s">
        <v>1181</v>
      </c>
      <c r="D167" s="658"/>
      <c r="E167" s="754"/>
      <c r="F167" s="1245"/>
      <c r="G167" s="1194"/>
    </row>
    <row r="168" spans="1:8">
      <c r="A168" s="1100"/>
      <c r="B168" s="331"/>
      <c r="C168" s="760"/>
      <c r="D168" s="658"/>
      <c r="E168" s="754"/>
      <c r="F168" s="1245"/>
      <c r="G168" s="1194"/>
    </row>
    <row r="169" spans="1:8">
      <c r="A169" s="753" t="s">
        <v>1182</v>
      </c>
      <c r="B169" s="331"/>
      <c r="C169" s="760" t="s">
        <v>1183</v>
      </c>
      <c r="D169" s="658" t="s">
        <v>825</v>
      </c>
      <c r="E169" s="727">
        <f>_xlfn.CEILING.MATH((PI()*29^2)+(0.01*2645),5)</f>
        <v>2670</v>
      </c>
      <c r="F169" s="1245"/>
      <c r="G169" s="1194"/>
    </row>
    <row r="170" spans="1:8">
      <c r="A170" s="1100"/>
      <c r="B170" s="331"/>
      <c r="C170" s="760"/>
      <c r="D170" s="658"/>
      <c r="E170" s="754"/>
      <c r="F170" s="1245"/>
      <c r="G170" s="1194"/>
    </row>
    <row r="171" spans="1:8">
      <c r="A171" s="1107">
        <v>4.5</v>
      </c>
      <c r="B171" s="769" t="s">
        <v>976</v>
      </c>
      <c r="C171" s="770" t="s">
        <v>743</v>
      </c>
      <c r="D171" s="771"/>
      <c r="E171" s="772"/>
      <c r="F171" s="1246"/>
      <c r="G171" s="1247"/>
    </row>
    <row r="172" spans="1:8">
      <c r="A172" s="1100"/>
      <c r="B172" s="331"/>
      <c r="C172" s="760"/>
      <c r="D172" s="658"/>
      <c r="E172" s="754"/>
      <c r="F172" s="1245"/>
      <c r="G172" s="1194"/>
    </row>
    <row r="173" spans="1:8">
      <c r="A173" s="1007"/>
      <c r="B173" s="446"/>
      <c r="C173" s="533" t="s">
        <v>1184</v>
      </c>
      <c r="D173" s="726"/>
      <c r="E173" s="773"/>
      <c r="F173" s="1245"/>
      <c r="G173" s="1194"/>
    </row>
    <row r="174" spans="1:8">
      <c r="A174" s="1100"/>
      <c r="B174" s="446"/>
      <c r="C174" s="774"/>
      <c r="D174" s="726"/>
      <c r="E174" s="773"/>
      <c r="F174" s="1245"/>
      <c r="G174" s="1194"/>
    </row>
    <row r="175" spans="1:8" ht="40.5">
      <c r="A175" s="1100"/>
      <c r="B175" s="446"/>
      <c r="C175" s="533" t="s">
        <v>1185</v>
      </c>
      <c r="D175" s="726"/>
      <c r="E175" s="773"/>
      <c r="F175" s="1245"/>
      <c r="G175" s="1194"/>
    </row>
    <row r="176" spans="1:8">
      <c r="A176" s="1100"/>
      <c r="B176" s="446"/>
      <c r="C176" s="775"/>
      <c r="D176" s="726"/>
      <c r="E176" s="773"/>
      <c r="F176" s="1245"/>
      <c r="G176" s="1194"/>
    </row>
    <row r="177" spans="1:7">
      <c r="A177" s="1007" t="s">
        <v>1186</v>
      </c>
      <c r="B177" s="446"/>
      <c r="C177" s="774" t="s">
        <v>1187</v>
      </c>
      <c r="D177" s="726" t="s">
        <v>818</v>
      </c>
      <c r="E177" s="773">
        <f>_xlfn.CEILING.MATH(29.9*2*PI(),5)</f>
        <v>190</v>
      </c>
      <c r="F177" s="1245"/>
      <c r="G177" s="1194"/>
    </row>
    <row r="178" spans="1:7">
      <c r="A178" s="1100"/>
      <c r="B178" s="446"/>
      <c r="C178" s="775"/>
      <c r="D178" s="726"/>
      <c r="E178" s="773"/>
      <c r="F178" s="1245"/>
      <c r="G178" s="1194"/>
    </row>
    <row r="179" spans="1:7">
      <c r="A179" s="1007" t="s">
        <v>1188</v>
      </c>
      <c r="B179" s="446"/>
      <c r="C179" s="774" t="s">
        <v>1189</v>
      </c>
      <c r="D179" s="726" t="s">
        <v>818</v>
      </c>
      <c r="E179" s="773">
        <f>_xlfn.CEILING.MATH(29.9*2*PI(),5)</f>
        <v>190</v>
      </c>
      <c r="F179" s="1245"/>
      <c r="G179" s="1194"/>
    </row>
    <row r="180" spans="1:7">
      <c r="A180" s="1100"/>
      <c r="B180" s="446"/>
      <c r="C180" s="775"/>
      <c r="D180" s="726"/>
      <c r="E180" s="773"/>
      <c r="F180" s="1245"/>
      <c r="G180" s="1194"/>
    </row>
    <row r="181" spans="1:7">
      <c r="A181" s="1007" t="s">
        <v>1190</v>
      </c>
      <c r="B181" s="446"/>
      <c r="C181" s="774" t="s">
        <v>1191</v>
      </c>
      <c r="D181" s="726" t="s">
        <v>818</v>
      </c>
      <c r="E181" s="773">
        <f>_xlfn.CEILING.MATH(20+55+20*2+55+20+20+30*6+20+25*2+1.2*2+29*2*PI(),5)</f>
        <v>645</v>
      </c>
      <c r="F181" s="1245"/>
      <c r="G181" s="1194"/>
    </row>
    <row r="182" spans="1:7">
      <c r="A182" s="753"/>
      <c r="B182" s="998"/>
      <c r="C182" s="760"/>
      <c r="D182" s="658"/>
      <c r="E182" s="754"/>
      <c r="F182" s="1227"/>
      <c r="G182" s="1194"/>
    </row>
    <row r="183" spans="1:7">
      <c r="A183" s="1100"/>
      <c r="B183" s="1108" t="s">
        <v>982</v>
      </c>
      <c r="C183" s="1109" t="s">
        <v>983</v>
      </c>
      <c r="D183" s="726"/>
      <c r="E183" s="773"/>
      <c r="F183" s="1245"/>
      <c r="G183" s="1194"/>
    </row>
    <row r="184" spans="1:7">
      <c r="A184" s="1100"/>
      <c r="B184" s="446"/>
      <c r="C184" s="1110"/>
      <c r="D184" s="726"/>
      <c r="E184" s="773"/>
      <c r="F184" s="1245"/>
      <c r="G184" s="1194"/>
    </row>
    <row r="185" spans="1:7" ht="51">
      <c r="A185" s="1100"/>
      <c r="B185" s="446"/>
      <c r="C185" s="776" t="s">
        <v>1192</v>
      </c>
      <c r="D185" s="726"/>
      <c r="E185" s="773"/>
      <c r="F185" s="1245"/>
      <c r="G185" s="1194"/>
    </row>
    <row r="186" spans="1:7">
      <c r="A186" s="1100"/>
      <c r="B186" s="446"/>
      <c r="C186" s="775"/>
      <c r="D186" s="726"/>
      <c r="E186" s="773"/>
      <c r="F186" s="1245"/>
      <c r="G186" s="1194"/>
    </row>
    <row r="187" spans="1:7" ht="25.5">
      <c r="A187" s="1007" t="s">
        <v>1193</v>
      </c>
      <c r="B187" s="446"/>
      <c r="C187" s="1110" t="s">
        <v>1194</v>
      </c>
      <c r="D187" s="726" t="s">
        <v>818</v>
      </c>
      <c r="E187" s="773">
        <f>_xlfn.CEILING.MATH(((2*PI()*29)+(2*PI()*29.45))*2,5)</f>
        <v>735</v>
      </c>
      <c r="F187" s="1248"/>
      <c r="G187" s="1237"/>
    </row>
    <row r="188" spans="1:7">
      <c r="A188" s="1100"/>
      <c r="B188" s="446"/>
      <c r="C188" s="1110"/>
      <c r="D188" s="726"/>
      <c r="E188" s="773"/>
      <c r="F188" s="1248"/>
      <c r="G188" s="1237"/>
    </row>
    <row r="189" spans="1:7" ht="25.5">
      <c r="A189" s="1007" t="s">
        <v>1195</v>
      </c>
      <c r="B189" s="446"/>
      <c r="C189" s="1110" t="s">
        <v>1196</v>
      </c>
      <c r="D189" s="726" t="s">
        <v>818</v>
      </c>
      <c r="E189" s="773">
        <f>_xlfn.CEILING.MATH(25*2+1.2*2,5)</f>
        <v>55</v>
      </c>
      <c r="F189" s="1248"/>
      <c r="G189" s="1237"/>
    </row>
    <row r="190" spans="1:7">
      <c r="A190" s="1100"/>
      <c r="B190" s="446"/>
      <c r="C190" s="1110"/>
      <c r="D190" s="726"/>
      <c r="E190" s="773"/>
      <c r="F190" s="1248"/>
      <c r="G190" s="1237"/>
    </row>
    <row r="191" spans="1:7">
      <c r="A191" s="1007" t="s">
        <v>1197</v>
      </c>
      <c r="B191" s="446"/>
      <c r="C191" s="1110" t="s">
        <v>1198</v>
      </c>
      <c r="D191" s="726" t="s">
        <v>818</v>
      </c>
      <c r="E191" s="773">
        <v>450</v>
      </c>
      <c r="F191" s="1248"/>
      <c r="G191" s="1237"/>
    </row>
    <row r="192" spans="1:7">
      <c r="A192" s="1100"/>
      <c r="B192" s="446"/>
      <c r="C192" s="1110"/>
      <c r="D192" s="726"/>
      <c r="E192" s="773"/>
      <c r="F192" s="1248"/>
      <c r="G192" s="1237"/>
    </row>
    <row r="193" spans="1:7">
      <c r="A193" s="1007"/>
      <c r="B193" s="998" t="s">
        <v>1199</v>
      </c>
      <c r="C193" s="533" t="s">
        <v>1200</v>
      </c>
      <c r="D193" s="777"/>
      <c r="E193" s="778"/>
      <c r="F193" s="1245"/>
      <c r="G193" s="1194"/>
    </row>
    <row r="194" spans="1:7">
      <c r="A194" s="1007"/>
      <c r="B194" s="998"/>
      <c r="C194" s="760"/>
      <c r="D194" s="777"/>
      <c r="E194" s="778"/>
      <c r="F194" s="1245"/>
      <c r="G194" s="1194"/>
    </row>
    <row r="195" spans="1:7" ht="25.5">
      <c r="A195" s="1007" t="s">
        <v>1201</v>
      </c>
      <c r="B195" s="998" t="s">
        <v>986</v>
      </c>
      <c r="C195" s="779" t="s">
        <v>1202</v>
      </c>
      <c r="D195" s="726" t="s">
        <v>818</v>
      </c>
      <c r="E195" s="780">
        <v>450</v>
      </c>
      <c r="F195" s="1245"/>
      <c r="G195" s="1194"/>
    </row>
    <row r="196" spans="1:7">
      <c r="A196" s="1007"/>
      <c r="B196" s="998"/>
      <c r="C196" s="760"/>
      <c r="D196" s="777"/>
      <c r="E196" s="655"/>
      <c r="F196" s="1245"/>
      <c r="G196" s="1194"/>
    </row>
    <row r="197" spans="1:7" ht="25.5">
      <c r="A197" s="1007" t="s">
        <v>1203</v>
      </c>
      <c r="B197" s="998" t="s">
        <v>1002</v>
      </c>
      <c r="C197" s="760" t="s">
        <v>1204</v>
      </c>
      <c r="D197" s="777" t="s">
        <v>818</v>
      </c>
      <c r="E197" s="780">
        <f>ROUNDUP(2*PI()*29,0)</f>
        <v>183</v>
      </c>
      <c r="F197" s="1245"/>
      <c r="G197" s="1194"/>
    </row>
    <row r="198" spans="1:7">
      <c r="A198" s="1007"/>
      <c r="B198" s="998"/>
      <c r="C198" s="760"/>
      <c r="D198" s="777"/>
      <c r="E198" s="655"/>
      <c r="F198" s="1245"/>
      <c r="G198" s="1194"/>
    </row>
    <row r="199" spans="1:7" ht="25.5">
      <c r="A199" s="1007" t="s">
        <v>1205</v>
      </c>
      <c r="B199" s="998" t="s">
        <v>1206</v>
      </c>
      <c r="C199" s="760" t="s">
        <v>1207</v>
      </c>
      <c r="D199" s="658" t="s">
        <v>70</v>
      </c>
      <c r="E199" s="655">
        <v>30</v>
      </c>
      <c r="F199" s="1245"/>
      <c r="G199" s="1194"/>
    </row>
    <row r="200" spans="1:7">
      <c r="A200" s="1111"/>
      <c r="B200" s="998"/>
      <c r="C200" s="766"/>
      <c r="D200" s="658"/>
      <c r="E200" s="754"/>
      <c r="F200" s="1227"/>
      <c r="G200" s="1194"/>
    </row>
    <row r="201" spans="1:7">
      <c r="A201" s="781"/>
      <c r="B201" s="998" t="s">
        <v>1208</v>
      </c>
      <c r="C201" s="310" t="s">
        <v>1209</v>
      </c>
      <c r="D201" s="726"/>
      <c r="E201" s="773"/>
      <c r="F201" s="1245"/>
      <c r="G201" s="1194"/>
    </row>
    <row r="202" spans="1:7">
      <c r="A202" s="781"/>
      <c r="B202" s="446"/>
      <c r="C202" s="774"/>
      <c r="D202" s="726"/>
      <c r="E202" s="773"/>
      <c r="F202" s="1245"/>
      <c r="G202" s="1194"/>
    </row>
    <row r="203" spans="1:7" ht="25.5">
      <c r="A203" s="1007" t="s">
        <v>1210</v>
      </c>
      <c r="B203" s="998" t="s">
        <v>986</v>
      </c>
      <c r="C203" s="653" t="s">
        <v>1211</v>
      </c>
      <c r="D203" s="777" t="s">
        <v>1212</v>
      </c>
      <c r="E203" s="773">
        <v>450</v>
      </c>
      <c r="F203" s="1248"/>
      <c r="G203" s="1237"/>
    </row>
    <row r="204" spans="1:7">
      <c r="A204" s="781"/>
      <c r="B204" s="998"/>
      <c r="C204" s="654"/>
      <c r="D204" s="777"/>
      <c r="E204" s="655"/>
      <c r="F204" s="1245"/>
      <c r="G204" s="1194"/>
    </row>
    <row r="205" spans="1:7" ht="25.5">
      <c r="A205" s="1007" t="s">
        <v>1213</v>
      </c>
      <c r="B205" s="998" t="s">
        <v>1002</v>
      </c>
      <c r="C205" s="654" t="s">
        <v>1214</v>
      </c>
      <c r="D205" s="777" t="s">
        <v>818</v>
      </c>
      <c r="E205" s="727">
        <f>_xlfn.CEILING.MATH(2*PI()*29*(INT(8.5/1.2)-1),5)</f>
        <v>1095</v>
      </c>
      <c r="F205" s="1245"/>
      <c r="G205" s="1194"/>
    </row>
    <row r="206" spans="1:7">
      <c r="A206" s="781"/>
      <c r="B206" s="998"/>
      <c r="C206" s="653"/>
      <c r="D206" s="777"/>
      <c r="E206" s="773"/>
      <c r="F206" s="1248"/>
      <c r="G206" s="1237"/>
    </row>
    <row r="207" spans="1:7" ht="25.5">
      <c r="A207" s="1007" t="s">
        <v>1215</v>
      </c>
      <c r="B207" s="998" t="s">
        <v>1206</v>
      </c>
      <c r="C207" s="653" t="s">
        <v>1216</v>
      </c>
      <c r="D207" s="777" t="s">
        <v>1212</v>
      </c>
      <c r="E207" s="780">
        <f>ROUNDUP(2*PI()*29,0)</f>
        <v>183</v>
      </c>
      <c r="F207" s="1248"/>
      <c r="G207" s="1237"/>
    </row>
    <row r="208" spans="1:7">
      <c r="A208" s="1007"/>
      <c r="B208" s="998"/>
      <c r="C208" s="654"/>
      <c r="D208" s="777"/>
      <c r="E208" s="655"/>
      <c r="F208" s="1245"/>
      <c r="G208" s="1194"/>
    </row>
    <row r="209" spans="1:7">
      <c r="A209" s="1007"/>
      <c r="B209" s="998"/>
      <c r="C209" s="552" t="s">
        <v>1217</v>
      </c>
      <c r="D209" s="777"/>
      <c r="E209" s="778"/>
      <c r="F209" s="1245"/>
      <c r="G209" s="1194"/>
    </row>
    <row r="210" spans="1:7">
      <c r="A210" s="1007"/>
      <c r="B210" s="998"/>
      <c r="C210" s="552"/>
      <c r="D210" s="777"/>
      <c r="E210" s="778"/>
      <c r="F210" s="1245"/>
      <c r="G210" s="1194"/>
    </row>
    <row r="211" spans="1:7">
      <c r="A211" s="311">
        <v>4.5999999999999996</v>
      </c>
      <c r="B211" s="998"/>
      <c r="C211" s="1112" t="s">
        <v>767</v>
      </c>
      <c r="D211" s="658"/>
      <c r="E211" s="754"/>
      <c r="F211" s="1245"/>
      <c r="G211" s="1194"/>
    </row>
    <row r="212" spans="1:7">
      <c r="A212" s="753"/>
      <c r="B212" s="998"/>
      <c r="C212" s="1030"/>
      <c r="D212" s="658"/>
      <c r="E212" s="754"/>
      <c r="F212" s="1245"/>
      <c r="G212" s="1194"/>
    </row>
    <row r="213" spans="1:7">
      <c r="A213" s="753" t="s">
        <v>1218</v>
      </c>
      <c r="B213" s="782" t="s">
        <v>1219</v>
      </c>
      <c r="C213" s="1030" t="s">
        <v>1220</v>
      </c>
      <c r="D213" s="658" t="s">
        <v>825</v>
      </c>
      <c r="E213" s="727">
        <f>_xlfn.CEILING.MATH(PI()*28.8^2,5)</f>
        <v>2610</v>
      </c>
      <c r="F213" s="1245"/>
      <c r="G213" s="1194"/>
    </row>
    <row r="214" spans="1:7">
      <c r="A214" s="1041"/>
      <c r="B214" s="782"/>
      <c r="C214" s="752"/>
      <c r="D214" s="658"/>
      <c r="E214" s="1043"/>
      <c r="F214" s="1245"/>
      <c r="G214" s="1194"/>
    </row>
    <row r="215" spans="1:7" ht="25.5">
      <c r="A215" s="753" t="s">
        <v>1221</v>
      </c>
      <c r="B215" s="1074"/>
      <c r="C215" s="752" t="s">
        <v>1222</v>
      </c>
      <c r="D215" s="658" t="s">
        <v>825</v>
      </c>
      <c r="E215" s="727">
        <v>1872</v>
      </c>
      <c r="F215" s="1249"/>
      <c r="G215" s="1237"/>
    </row>
    <row r="216" spans="1:7">
      <c r="A216" s="753"/>
      <c r="B216" s="1074"/>
      <c r="C216" s="533"/>
      <c r="D216" s="777"/>
      <c r="E216" s="655"/>
      <c r="F216" s="1245"/>
      <c r="G216" s="1194"/>
    </row>
    <row r="217" spans="1:7">
      <c r="A217" s="311">
        <v>4.7</v>
      </c>
      <c r="B217" s="1074"/>
      <c r="C217" s="533" t="s">
        <v>1223</v>
      </c>
      <c r="D217" s="777"/>
      <c r="E217" s="655"/>
      <c r="F217" s="1245"/>
      <c r="G217" s="1194"/>
    </row>
    <row r="218" spans="1:7">
      <c r="A218" s="1113"/>
      <c r="B218" s="1074"/>
      <c r="C218" s="533"/>
      <c r="D218" s="777"/>
      <c r="E218" s="655"/>
      <c r="F218" s="1245"/>
      <c r="G218" s="1194"/>
    </row>
    <row r="219" spans="1:7" ht="25.5">
      <c r="A219" s="660" t="s">
        <v>1224</v>
      </c>
      <c r="B219" s="566"/>
      <c r="C219" s="411" t="s">
        <v>1225</v>
      </c>
      <c r="D219" s="777" t="s">
        <v>818</v>
      </c>
      <c r="E219" s="655">
        <f>_xlfn.CEILING.MATH(2*PI()*29,5)</f>
        <v>185</v>
      </c>
      <c r="F219" s="1248"/>
      <c r="G219" s="1237"/>
    </row>
    <row r="220" spans="1:7">
      <c r="A220" s="659"/>
      <c r="B220" s="566"/>
      <c r="C220" s="667"/>
      <c r="D220" s="726"/>
      <c r="E220" s="780"/>
      <c r="F220" s="1237"/>
      <c r="G220" s="1250"/>
    </row>
    <row r="221" spans="1:7" ht="25.5">
      <c r="A221" s="660" t="s">
        <v>1226</v>
      </c>
      <c r="B221" s="566"/>
      <c r="C221" s="411" t="s">
        <v>1227</v>
      </c>
      <c r="D221" s="726" t="s">
        <v>818</v>
      </c>
      <c r="E221" s="780">
        <f>_xlfn.CEILING.MATH(2*PI()*29.225,5)</f>
        <v>185</v>
      </c>
      <c r="F221" s="1237"/>
      <c r="G221" s="1250"/>
    </row>
    <row r="222" spans="1:7">
      <c r="A222" s="659"/>
      <c r="B222" s="566"/>
      <c r="C222" s="264"/>
      <c r="D222" s="726"/>
      <c r="E222" s="780"/>
      <c r="F222" s="1194"/>
      <c r="G222" s="1251"/>
    </row>
    <row r="223" spans="1:7">
      <c r="A223" s="659"/>
      <c r="B223" s="566"/>
      <c r="C223" s="264"/>
      <c r="D223" s="726"/>
      <c r="E223" s="780"/>
      <c r="F223" s="1194"/>
      <c r="G223" s="1251"/>
    </row>
    <row r="224" spans="1:7">
      <c r="A224" s="1114"/>
      <c r="B224" s="1075"/>
      <c r="C224" s="1115"/>
      <c r="D224" s="1115"/>
      <c r="E224" s="1115"/>
      <c r="F224" s="1252"/>
      <c r="G224" s="1253"/>
    </row>
    <row r="225" spans="1:9">
      <c r="A225" s="1551" t="s">
        <v>96</v>
      </c>
      <c r="B225" s="1552"/>
      <c r="C225" s="1552"/>
      <c r="D225" s="1552"/>
      <c r="E225" s="1552"/>
      <c r="F225" s="1514"/>
      <c r="G225" s="1514"/>
      <c r="H225" s="273"/>
      <c r="I225" s="255"/>
    </row>
    <row r="226" spans="1:9">
      <c r="A226" s="1553"/>
      <c r="B226" s="1554"/>
      <c r="C226" s="1554"/>
      <c r="D226" s="1554"/>
      <c r="E226" s="1554"/>
      <c r="F226" s="1514"/>
      <c r="G226" s="1514"/>
      <c r="H226" s="273"/>
      <c r="I226" s="255"/>
    </row>
    <row r="227" spans="1:9">
      <c r="A227" s="753"/>
      <c r="B227" s="998"/>
      <c r="C227" s="764" t="s">
        <v>220</v>
      </c>
      <c r="D227" s="742"/>
      <c r="E227" s="709"/>
      <c r="F227" s="1232"/>
      <c r="G227" s="1242"/>
      <c r="H227" s="273"/>
      <c r="I227" s="255"/>
    </row>
    <row r="228" spans="1:9">
      <c r="A228" s="1041"/>
      <c r="B228" s="998"/>
      <c r="C228" s="533"/>
      <c r="D228" s="777"/>
      <c r="E228" s="655"/>
      <c r="F228" s="1245"/>
      <c r="G228" s="1194"/>
    </row>
    <row r="229" spans="1:9">
      <c r="A229" s="311">
        <v>4.8</v>
      </c>
      <c r="B229" s="316" t="s">
        <v>2352</v>
      </c>
      <c r="C229" s="533" t="s">
        <v>1228</v>
      </c>
      <c r="D229" s="658"/>
      <c r="E229" s="754"/>
      <c r="F229" s="1227"/>
      <c r="G229" s="1194"/>
    </row>
    <row r="230" spans="1:9">
      <c r="A230" s="659"/>
      <c r="B230" s="331"/>
      <c r="C230" s="534"/>
      <c r="D230" s="658"/>
      <c r="E230" s="754"/>
      <c r="F230" s="1227"/>
      <c r="G230" s="1194"/>
    </row>
    <row r="231" spans="1:9" ht="25.5">
      <c r="A231" s="659" t="s">
        <v>1229</v>
      </c>
      <c r="B231" s="331"/>
      <c r="C231" s="534" t="s">
        <v>1230</v>
      </c>
      <c r="D231" s="658" t="s">
        <v>825</v>
      </c>
      <c r="E231" s="727">
        <v>11000</v>
      </c>
      <c r="F231" s="1234"/>
      <c r="G231" s="1237"/>
    </row>
    <row r="232" spans="1:9">
      <c r="A232" s="714"/>
      <c r="B232" s="1116"/>
      <c r="C232" s="760"/>
      <c r="D232" s="658"/>
      <c r="E232" s="754"/>
      <c r="F232" s="1245"/>
      <c r="G232" s="1194"/>
    </row>
    <row r="233" spans="1:9">
      <c r="A233" s="1117" t="s">
        <v>1231</v>
      </c>
      <c r="B233" s="1446" t="s">
        <v>1180</v>
      </c>
      <c r="C233" s="533" t="s">
        <v>1232</v>
      </c>
      <c r="D233" s="658"/>
      <c r="E233" s="754"/>
      <c r="F233" s="1245"/>
      <c r="G233" s="1194"/>
    </row>
    <row r="234" spans="1:9">
      <c r="A234" s="1100"/>
      <c r="B234" s="1116"/>
      <c r="C234" s="760"/>
      <c r="D234" s="658"/>
      <c r="E234" s="754"/>
      <c r="F234" s="1245"/>
      <c r="G234" s="1194"/>
    </row>
    <row r="235" spans="1:9">
      <c r="A235" s="1039" t="s">
        <v>1233</v>
      </c>
      <c r="B235" s="331"/>
      <c r="C235" s="760" t="s">
        <v>1234</v>
      </c>
      <c r="D235" s="658" t="s">
        <v>70</v>
      </c>
      <c r="E235" s="754">
        <v>1</v>
      </c>
      <c r="F235" s="1248"/>
      <c r="G235" s="1237"/>
    </row>
    <row r="236" spans="1:9">
      <c r="A236" s="1100"/>
      <c r="B236" s="331"/>
      <c r="C236" s="760"/>
      <c r="D236" s="658"/>
      <c r="E236" s="754"/>
      <c r="F236" s="1245"/>
      <c r="G236" s="1194"/>
    </row>
    <row r="237" spans="1:9">
      <c r="A237" s="495">
        <v>4.0999999999999996</v>
      </c>
      <c r="B237" s="1118" t="s">
        <v>1235</v>
      </c>
      <c r="C237" s="770" t="s">
        <v>1236</v>
      </c>
      <c r="D237" s="656"/>
      <c r="E237" s="783"/>
      <c r="F237" s="1254"/>
      <c r="G237" s="1229"/>
    </row>
    <row r="238" spans="1:9">
      <c r="A238" s="753"/>
      <c r="B238" s="998"/>
      <c r="C238" s="784"/>
      <c r="D238" s="658"/>
      <c r="E238" s="754"/>
      <c r="F238" s="1245"/>
      <c r="G238" s="1194"/>
    </row>
    <row r="239" spans="1:9">
      <c r="A239" s="753"/>
      <c r="B239" s="998"/>
      <c r="C239" s="314" t="s">
        <v>1237</v>
      </c>
      <c r="D239" s="702"/>
      <c r="E239" s="754"/>
      <c r="F239" s="1245"/>
      <c r="G239" s="1194"/>
    </row>
    <row r="240" spans="1:9">
      <c r="A240" s="753"/>
      <c r="B240" s="998"/>
      <c r="C240" s="679"/>
      <c r="D240" s="702"/>
      <c r="E240" s="754"/>
      <c r="F240" s="1245"/>
      <c r="G240" s="1194"/>
    </row>
    <row r="241" spans="1:7" ht="25.5">
      <c r="A241" s="753" t="s">
        <v>1238</v>
      </c>
      <c r="B241" s="998"/>
      <c r="C241" s="410" t="s">
        <v>1239</v>
      </c>
      <c r="D241" s="702" t="s">
        <v>70</v>
      </c>
      <c r="E241" s="754">
        <v>2</v>
      </c>
      <c r="F241" s="1245"/>
      <c r="G241" s="1237"/>
    </row>
    <row r="242" spans="1:7" ht="25.5">
      <c r="A242" s="753" t="s">
        <v>1240</v>
      </c>
      <c r="B242" s="998"/>
      <c r="C242" s="410" t="s">
        <v>1241</v>
      </c>
      <c r="D242" s="702" t="s">
        <v>70</v>
      </c>
      <c r="E242" s="754">
        <v>1</v>
      </c>
      <c r="F242" s="1245"/>
      <c r="G242" s="1237"/>
    </row>
    <row r="243" spans="1:7">
      <c r="A243" s="753"/>
      <c r="B243" s="998"/>
      <c r="C243" s="281"/>
      <c r="D243" s="742"/>
      <c r="E243" s="785"/>
      <c r="F243" s="1238"/>
      <c r="G243" s="1255"/>
    </row>
    <row r="244" spans="1:7" ht="38.25">
      <c r="A244" s="753" t="s">
        <v>1242</v>
      </c>
      <c r="B244" s="998"/>
      <c r="C244" s="667" t="s">
        <v>1243</v>
      </c>
      <c r="D244" s="658" t="s">
        <v>70</v>
      </c>
      <c r="E244" s="754">
        <v>2</v>
      </c>
      <c r="F244" s="1245"/>
      <c r="G244" s="1237"/>
    </row>
    <row r="245" spans="1:7">
      <c r="A245" s="753"/>
      <c r="B245" s="998"/>
      <c r="C245" s="281"/>
      <c r="D245" s="742"/>
      <c r="E245" s="785"/>
      <c r="F245" s="1238"/>
      <c r="G245" s="1255"/>
    </row>
    <row r="246" spans="1:7" ht="38.25">
      <c r="A246" s="753" t="s">
        <v>1244</v>
      </c>
      <c r="B246" s="998"/>
      <c r="C246" s="667" t="s">
        <v>1245</v>
      </c>
      <c r="D246" s="658" t="s">
        <v>70</v>
      </c>
      <c r="E246" s="754">
        <v>1</v>
      </c>
      <c r="F246" s="1245"/>
      <c r="G246" s="1237"/>
    </row>
    <row r="247" spans="1:7">
      <c r="A247" s="753"/>
      <c r="B247" s="998"/>
      <c r="C247" s="775"/>
      <c r="D247" s="702"/>
      <c r="E247" s="754"/>
      <c r="F247" s="1245"/>
      <c r="G247" s="1194"/>
    </row>
    <row r="248" spans="1:7">
      <c r="A248" s="753"/>
      <c r="B248" s="998"/>
      <c r="C248" s="533" t="s">
        <v>1246</v>
      </c>
      <c r="D248" s="658"/>
      <c r="E248" s="754"/>
      <c r="F248" s="1245"/>
      <c r="G248" s="1194"/>
    </row>
    <row r="249" spans="1:7">
      <c r="A249" s="753"/>
      <c r="B249" s="998"/>
      <c r="C249" s="281"/>
      <c r="D249" s="742"/>
      <c r="E249" s="785"/>
      <c r="F249" s="1238"/>
      <c r="G249" s="1255"/>
    </row>
    <row r="250" spans="1:7">
      <c r="A250" s="753" t="s">
        <v>1247</v>
      </c>
      <c r="B250" s="998"/>
      <c r="C250" s="760" t="s">
        <v>1248</v>
      </c>
      <c r="D250" s="658" t="s">
        <v>818</v>
      </c>
      <c r="E250" s="754">
        <v>200</v>
      </c>
      <c r="F250" s="1245"/>
      <c r="G250" s="1237"/>
    </row>
    <row r="251" spans="1:7">
      <c r="A251" s="753"/>
      <c r="B251" s="998"/>
      <c r="C251" s="667"/>
      <c r="D251" s="658"/>
      <c r="E251" s="754"/>
      <c r="F251" s="1245"/>
      <c r="G251" s="1194"/>
    </row>
    <row r="252" spans="1:7">
      <c r="A252" s="753"/>
      <c r="B252" s="998"/>
      <c r="C252" s="533" t="s">
        <v>1249</v>
      </c>
      <c r="D252" s="658"/>
      <c r="E252" s="754"/>
      <c r="F252" s="1245"/>
      <c r="G252" s="1194"/>
    </row>
    <row r="253" spans="1:7">
      <c r="A253" s="753"/>
      <c r="B253" s="998"/>
      <c r="C253" s="760"/>
      <c r="D253" s="658"/>
      <c r="E253" s="754"/>
      <c r="F253" s="1245"/>
      <c r="G253" s="1194"/>
    </row>
    <row r="254" spans="1:7" ht="25.5">
      <c r="A254" s="753" t="s">
        <v>1250</v>
      </c>
      <c r="B254" s="998"/>
      <c r="C254" s="534" t="s">
        <v>1251</v>
      </c>
      <c r="D254" s="658" t="s">
        <v>70</v>
      </c>
      <c r="E254" s="754">
        <v>2</v>
      </c>
      <c r="F254" s="1245"/>
      <c r="G254" s="1237"/>
    </row>
    <row r="255" spans="1:7">
      <c r="A255" s="753"/>
      <c r="B255" s="998"/>
      <c r="C255" s="667"/>
      <c r="D255" s="658"/>
      <c r="E255" s="754"/>
      <c r="F255" s="1245"/>
      <c r="G255" s="1194"/>
    </row>
    <row r="256" spans="1:7">
      <c r="A256" s="311">
        <v>4.1100000000000003</v>
      </c>
      <c r="B256" s="1119" t="s">
        <v>1076</v>
      </c>
      <c r="C256" s="264" t="s">
        <v>1252</v>
      </c>
      <c r="D256" s="658"/>
      <c r="E256" s="754"/>
      <c r="F256" s="1245"/>
      <c r="G256" s="1194"/>
    </row>
    <row r="257" spans="1:8">
      <c r="A257" s="753"/>
      <c r="B257" s="998"/>
      <c r="C257" s="264"/>
      <c r="D257" s="658"/>
      <c r="E257" s="754"/>
      <c r="F257" s="1245"/>
      <c r="G257" s="1194"/>
    </row>
    <row r="258" spans="1:8">
      <c r="A258" s="753"/>
      <c r="B258" s="998" t="s">
        <v>994</v>
      </c>
      <c r="C258" s="264" t="s">
        <v>1253</v>
      </c>
      <c r="D258" s="658"/>
      <c r="E258" s="754"/>
      <c r="F258" s="1245"/>
      <c r="G258" s="1194"/>
      <c r="H258" s="255"/>
    </row>
    <row r="259" spans="1:8">
      <c r="A259" s="753"/>
      <c r="B259" s="998"/>
      <c r="C259" s="264"/>
      <c r="D259" s="658"/>
      <c r="E259" s="754"/>
      <c r="F259" s="1245"/>
      <c r="G259" s="1194"/>
    </row>
    <row r="260" spans="1:8" ht="25.5">
      <c r="A260" s="753"/>
      <c r="B260" s="998"/>
      <c r="C260" s="667" t="s">
        <v>1254</v>
      </c>
      <c r="D260" s="658"/>
      <c r="E260" s="754"/>
      <c r="F260" s="1245"/>
      <c r="G260" s="1194"/>
    </row>
    <row r="261" spans="1:8">
      <c r="A261" s="753"/>
      <c r="B261" s="998"/>
      <c r="C261" s="667"/>
      <c r="D261" s="658"/>
      <c r="E261" s="754"/>
      <c r="F261" s="1245"/>
      <c r="G261" s="1194"/>
    </row>
    <row r="262" spans="1:8">
      <c r="A262" s="753" t="s">
        <v>1255</v>
      </c>
      <c r="B262" s="998"/>
      <c r="C262" s="667" t="s">
        <v>1256</v>
      </c>
      <c r="D262" s="658" t="s">
        <v>70</v>
      </c>
      <c r="E262" s="754">
        <v>10</v>
      </c>
      <c r="F262" s="1245"/>
      <c r="G262" s="1194"/>
    </row>
    <row r="263" spans="1:8">
      <c r="A263" s="753"/>
      <c r="B263" s="998"/>
      <c r="C263" s="667"/>
      <c r="D263" s="658"/>
      <c r="E263" s="754"/>
      <c r="F263" s="1245"/>
      <c r="G263" s="1194"/>
      <c r="H263" s="255"/>
    </row>
    <row r="264" spans="1:8">
      <c r="A264" s="753" t="s">
        <v>1257</v>
      </c>
      <c r="B264" s="998"/>
      <c r="C264" s="667" t="s">
        <v>1258</v>
      </c>
      <c r="D264" s="658" t="s">
        <v>70</v>
      </c>
      <c r="E264" s="754">
        <v>8</v>
      </c>
      <c r="F264" s="1245"/>
      <c r="G264" s="1194"/>
    </row>
    <row r="265" spans="1:8">
      <c r="A265" s="753"/>
      <c r="B265" s="998"/>
      <c r="C265" s="760"/>
      <c r="D265" s="658"/>
      <c r="E265" s="754"/>
      <c r="F265" s="1243"/>
      <c r="G265" s="1194"/>
    </row>
    <row r="266" spans="1:8" ht="13.5" customHeight="1">
      <c r="A266" s="753"/>
      <c r="B266" s="998"/>
      <c r="C266" s="533" t="s">
        <v>1259</v>
      </c>
      <c r="D266" s="658"/>
      <c r="E266" s="754"/>
      <c r="F266" s="1243"/>
      <c r="G266" s="1194"/>
      <c r="H266" s="255"/>
    </row>
    <row r="267" spans="1:8">
      <c r="A267" s="753"/>
      <c r="B267" s="998"/>
      <c r="C267" s="760"/>
      <c r="D267" s="658"/>
      <c r="E267" s="754"/>
      <c r="F267" s="1243"/>
      <c r="G267" s="1194"/>
      <c r="H267" s="255"/>
    </row>
    <row r="268" spans="1:8">
      <c r="A268" s="753" t="s">
        <v>1260</v>
      </c>
      <c r="B268" s="998"/>
      <c r="C268" s="760" t="s">
        <v>1261</v>
      </c>
      <c r="D268" s="658" t="s">
        <v>70</v>
      </c>
      <c r="E268" s="754">
        <v>31</v>
      </c>
      <c r="F268" s="1249"/>
      <c r="G268" s="1237"/>
    </row>
    <row r="269" spans="1:8">
      <c r="A269" s="753"/>
      <c r="B269" s="998"/>
      <c r="C269" s="760"/>
      <c r="D269" s="658"/>
      <c r="E269" s="754"/>
      <c r="F269" s="1249"/>
      <c r="G269" s="1237"/>
    </row>
    <row r="270" spans="1:8">
      <c r="A270" s="311">
        <v>4.12</v>
      </c>
      <c r="B270" s="1119" t="s">
        <v>1262</v>
      </c>
      <c r="C270" s="533" t="s">
        <v>1263</v>
      </c>
      <c r="D270" s="658"/>
      <c r="E270" s="754"/>
      <c r="F270" s="1249"/>
      <c r="G270" s="1237"/>
    </row>
    <row r="271" spans="1:8">
      <c r="A271" s="753"/>
      <c r="B271" s="998"/>
      <c r="C271" s="760"/>
      <c r="D271" s="658"/>
      <c r="E271" s="754"/>
      <c r="F271" s="1243"/>
      <c r="G271" s="1194"/>
    </row>
    <row r="272" spans="1:8">
      <c r="A272" s="753" t="s">
        <v>1264</v>
      </c>
      <c r="B272" s="998"/>
      <c r="C272" s="760" t="s">
        <v>1265</v>
      </c>
      <c r="D272" s="658" t="s">
        <v>335</v>
      </c>
      <c r="E272" s="754">
        <v>1</v>
      </c>
      <c r="F272" s="1249"/>
      <c r="G272" s="1237"/>
    </row>
    <row r="273" spans="1:7">
      <c r="A273" s="753"/>
      <c r="B273" s="998"/>
      <c r="C273" s="760"/>
      <c r="D273" s="658"/>
      <c r="E273" s="754"/>
      <c r="F273" s="1249"/>
      <c r="G273" s="1237"/>
    </row>
    <row r="274" spans="1:7">
      <c r="A274" s="311">
        <v>4.13</v>
      </c>
      <c r="B274" s="1119" t="s">
        <v>1266</v>
      </c>
      <c r="C274" s="533" t="s">
        <v>1267</v>
      </c>
      <c r="D274" s="658"/>
      <c r="E274" s="754"/>
      <c r="F274" s="1245"/>
      <c r="G274" s="1194"/>
    </row>
    <row r="275" spans="1:7" ht="25.5">
      <c r="A275" s="753" t="s">
        <v>1268</v>
      </c>
      <c r="B275" s="998"/>
      <c r="C275" s="760" t="s">
        <v>1269</v>
      </c>
      <c r="D275" s="658" t="s">
        <v>335</v>
      </c>
      <c r="E275" s="754">
        <v>1</v>
      </c>
      <c r="F275" s="1245"/>
      <c r="G275" s="1194"/>
    </row>
    <row r="276" spans="1:7">
      <c r="A276" s="753"/>
      <c r="B276" s="998"/>
      <c r="C276" s="760"/>
      <c r="D276" s="658"/>
      <c r="E276" s="754"/>
      <c r="F276" s="1249"/>
      <c r="G276" s="1237"/>
    </row>
    <row r="277" spans="1:7">
      <c r="A277" s="753"/>
      <c r="B277" s="998"/>
      <c r="C277" s="760"/>
      <c r="D277" s="658"/>
      <c r="E277" s="754"/>
      <c r="F277" s="1249"/>
      <c r="G277" s="1237"/>
    </row>
    <row r="278" spans="1:7">
      <c r="A278" s="753"/>
      <c r="B278" s="998"/>
      <c r="C278" s="760"/>
      <c r="D278" s="658"/>
      <c r="E278" s="754"/>
      <c r="F278" s="1249"/>
      <c r="G278" s="1237"/>
    </row>
    <row r="279" spans="1:7">
      <c r="A279" s="753"/>
      <c r="B279" s="998"/>
      <c r="C279" s="760"/>
      <c r="D279" s="658"/>
      <c r="E279" s="754"/>
      <c r="F279" s="1249"/>
      <c r="G279" s="1237"/>
    </row>
    <row r="280" spans="1:7">
      <c r="A280" s="753"/>
      <c r="B280" s="998"/>
      <c r="C280" s="760"/>
      <c r="D280" s="658"/>
      <c r="E280" s="754"/>
      <c r="F280" s="1249"/>
      <c r="G280" s="1237"/>
    </row>
    <row r="281" spans="1:7">
      <c r="A281" s="753"/>
      <c r="B281" s="998"/>
      <c r="C281" s="760"/>
      <c r="D281" s="658"/>
      <c r="E281" s="754"/>
      <c r="F281" s="1249"/>
      <c r="G281" s="1237"/>
    </row>
    <row r="282" spans="1:7">
      <c r="A282" s="753"/>
      <c r="B282" s="998"/>
      <c r="C282" s="760"/>
      <c r="D282" s="658"/>
      <c r="E282" s="754"/>
      <c r="F282" s="1249"/>
      <c r="G282" s="1237"/>
    </row>
    <row r="283" spans="1:7">
      <c r="A283" s="753"/>
      <c r="B283" s="998"/>
      <c r="C283" s="760"/>
      <c r="D283" s="658"/>
      <c r="E283" s="754"/>
      <c r="F283" s="1249"/>
      <c r="G283" s="1237"/>
    </row>
    <row r="284" spans="1:7">
      <c r="A284" s="753"/>
      <c r="B284" s="998"/>
      <c r="C284" s="760"/>
      <c r="D284" s="658"/>
      <c r="E284" s="754"/>
      <c r="F284" s="1249"/>
      <c r="G284" s="1237"/>
    </row>
    <row r="285" spans="1:7">
      <c r="A285" s="753"/>
      <c r="B285" s="998"/>
      <c r="C285" s="760"/>
      <c r="D285" s="658"/>
      <c r="E285" s="754"/>
      <c r="F285" s="1249"/>
      <c r="G285" s="1237"/>
    </row>
    <row r="286" spans="1:7">
      <c r="A286" s="753"/>
      <c r="B286" s="998"/>
      <c r="C286" s="760"/>
      <c r="D286" s="658"/>
      <c r="E286" s="754"/>
      <c r="F286" s="1249"/>
      <c r="G286" s="1237"/>
    </row>
    <row r="287" spans="1:7">
      <c r="A287" s="753"/>
      <c r="B287" s="998"/>
      <c r="C287" s="760"/>
      <c r="D287" s="658"/>
      <c r="E287" s="754"/>
      <c r="F287" s="1249"/>
      <c r="G287" s="1237"/>
    </row>
    <row r="288" spans="1:7">
      <c r="A288" s="753"/>
      <c r="B288" s="998"/>
      <c r="C288" s="760"/>
      <c r="D288" s="658"/>
      <c r="E288" s="754"/>
      <c r="F288" s="1249"/>
      <c r="G288" s="1237"/>
    </row>
    <row r="289" spans="1:7">
      <c r="A289" s="753"/>
      <c r="B289" s="998"/>
      <c r="C289" s="760"/>
      <c r="D289" s="658"/>
      <c r="E289" s="754"/>
      <c r="F289" s="1249"/>
      <c r="G289" s="1237"/>
    </row>
    <row r="290" spans="1:7">
      <c r="A290" s="753"/>
      <c r="B290" s="998"/>
      <c r="C290" s="760"/>
      <c r="D290" s="658"/>
      <c r="E290" s="754"/>
      <c r="F290" s="1249"/>
      <c r="G290" s="1237"/>
    </row>
    <row r="291" spans="1:7">
      <c r="A291" s="753"/>
      <c r="B291" s="998"/>
      <c r="C291" s="760"/>
      <c r="D291" s="658"/>
      <c r="E291" s="754"/>
      <c r="F291" s="1249"/>
      <c r="G291" s="1237"/>
    </row>
    <row r="292" spans="1:7">
      <c r="A292" s="753"/>
      <c r="B292" s="998"/>
      <c r="C292" s="760"/>
      <c r="D292" s="658"/>
      <c r="E292" s="754"/>
      <c r="F292" s="1249"/>
      <c r="G292" s="1237"/>
    </row>
    <row r="293" spans="1:7">
      <c r="A293" s="753"/>
      <c r="B293" s="998"/>
      <c r="C293" s="760"/>
      <c r="D293" s="658"/>
      <c r="E293" s="754"/>
      <c r="F293" s="1249"/>
      <c r="G293" s="1237"/>
    </row>
    <row r="294" spans="1:7">
      <c r="A294" s="753"/>
      <c r="B294" s="998"/>
      <c r="C294" s="760"/>
      <c r="D294" s="658"/>
      <c r="E294" s="754"/>
      <c r="F294" s="1249"/>
      <c r="G294" s="1237"/>
    </row>
    <row r="295" spans="1:7">
      <c r="A295" s="753"/>
      <c r="B295" s="998"/>
      <c r="C295" s="760"/>
      <c r="D295" s="658"/>
      <c r="E295" s="754"/>
      <c r="F295" s="1249"/>
      <c r="G295" s="1237"/>
    </row>
    <row r="296" spans="1:7">
      <c r="A296" s="753"/>
      <c r="B296" s="998"/>
      <c r="C296" s="760"/>
      <c r="D296" s="658"/>
      <c r="E296" s="754"/>
      <c r="F296" s="1249"/>
      <c r="G296" s="1237"/>
    </row>
    <row r="297" spans="1:7">
      <c r="A297" s="753"/>
      <c r="B297" s="998"/>
      <c r="C297" s="760"/>
      <c r="D297" s="658"/>
      <c r="E297" s="754"/>
      <c r="F297" s="1249"/>
      <c r="G297" s="1237"/>
    </row>
    <row r="298" spans="1:7">
      <c r="A298" s="753"/>
      <c r="B298" s="998"/>
      <c r="C298" s="760"/>
      <c r="D298" s="658"/>
      <c r="E298" s="754"/>
      <c r="F298" s="1249"/>
      <c r="G298" s="1237"/>
    </row>
    <row r="299" spans="1:7">
      <c r="A299" s="1532" t="s">
        <v>1270</v>
      </c>
      <c r="B299" s="1533"/>
      <c r="C299" s="1533"/>
      <c r="D299" s="1533"/>
      <c r="E299" s="1533"/>
      <c r="F299" s="1534"/>
      <c r="G299" s="1549"/>
    </row>
    <row r="300" spans="1:7">
      <c r="A300" s="1535"/>
      <c r="B300" s="1536"/>
      <c r="C300" s="1536"/>
      <c r="D300" s="1536"/>
      <c r="E300" s="1536"/>
      <c r="F300" s="1537"/>
      <c r="G300" s="1550"/>
    </row>
  </sheetData>
  <sheetProtection algorithmName="SHA-512" hashValue="FGfzbKYXo3ZPD7vHiUfwNknyvq8DEjae4pZEVXZ67ZjgPIwaV0QwALZnrzNYKct1t+x+rbZB73UbWI7jySkOVg==" saltValue="8gnWw3apgYu0cA4nnMfcUg==" spinCount="100000" sheet="1" objects="1" scenarios="1"/>
  <mergeCells count="19">
    <mergeCell ref="A81:E82"/>
    <mergeCell ref="F81:F82"/>
    <mergeCell ref="G81:G82"/>
    <mergeCell ref="A1:G1"/>
    <mergeCell ref="A3:A4"/>
    <mergeCell ref="B3:B4"/>
    <mergeCell ref="D3:D4"/>
    <mergeCell ref="E3:E4"/>
    <mergeCell ref="F3:F4"/>
    <mergeCell ref="G3:G4"/>
    <mergeCell ref="C3:C4"/>
    <mergeCell ref="G299:G300"/>
    <mergeCell ref="A299:F300"/>
    <mergeCell ref="G225:G226"/>
    <mergeCell ref="A159:E160"/>
    <mergeCell ref="A225:E226"/>
    <mergeCell ref="F159:F160"/>
    <mergeCell ref="G159:G160"/>
    <mergeCell ref="F225:F226"/>
  </mergeCells>
  <phoneticPr fontId="38" type="noConversion"/>
  <pageMargins left="0.70866141732283472" right="0.70866141732283472" top="0.86614173228346458" bottom="0.78740157480314965" header="0.31496062992125984" footer="0.19685039370078741"/>
  <pageSetup paperSize="9" scale="67" firstPageNumber="60" orientation="portrait" useFirstPageNumber="1" r:id="rId1"/>
  <headerFooter>
    <oddHeader>&amp;L&amp;G&amp;CCONSTRUCTION OF 20ML CARLSWALD RESERVOIR
SCHEDULE OF QUANTITIES&amp;R&amp;G</oddHeader>
    <oddFooter>&amp;C&amp;G
C.&amp;P</oddFooter>
  </headerFooter>
  <rowBreaks count="3" manualBreakCount="3">
    <brk id="82" max="6" man="1"/>
    <brk id="160" max="6" man="1"/>
    <brk id="226" max="6" man="1"/>
  </rowBreaks>
  <legacyDrawingHF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13A65-E3F4-4CF9-85F7-89BBC990D7AC}">
  <dimension ref="A1:I538"/>
  <sheetViews>
    <sheetView view="pageBreakPreview" topLeftCell="A205" zoomScale="70" zoomScaleNormal="86" zoomScaleSheetLayoutView="70" zoomScalePageLayoutView="66" workbookViewId="0">
      <selection activeCell="A537" sqref="A537:XFD538"/>
    </sheetView>
  </sheetViews>
  <sheetFormatPr defaultColWidth="8.85546875" defaultRowHeight="15"/>
  <cols>
    <col min="1" max="1" width="6.28515625" style="26" customWidth="1"/>
    <col min="2" max="2" width="9.7109375" style="27" customWidth="1"/>
    <col min="3" max="3" width="48.7109375" style="27" customWidth="1"/>
    <col min="4" max="4" width="7.28515625" style="26" customWidth="1"/>
    <col min="5" max="5" width="7.7109375" style="26" customWidth="1"/>
    <col min="6" max="6" width="11.28515625" style="26" customWidth="1"/>
    <col min="7" max="7" width="18" style="26" customWidth="1"/>
    <col min="8" max="8" width="37.5703125" style="26" hidden="1" customWidth="1"/>
    <col min="9" max="9" width="40.28515625" style="26" hidden="1" customWidth="1"/>
    <col min="10" max="10" width="11.42578125" style="26" customWidth="1"/>
    <col min="11" max="11" width="0.28515625" style="26" customWidth="1"/>
    <col min="12" max="16384" width="8.85546875" style="26"/>
  </cols>
  <sheetData>
    <row r="1" spans="1:8">
      <c r="A1" s="159"/>
      <c r="B1" s="159"/>
      <c r="C1" s="1567" t="s">
        <v>59</v>
      </c>
      <c r="D1" s="1567"/>
      <c r="E1" s="1567"/>
      <c r="F1" s="1567"/>
      <c r="G1" s="1567"/>
    </row>
    <row r="2" spans="1:8">
      <c r="A2" s="159"/>
      <c r="B2" s="159"/>
      <c r="C2" s="1567" t="s">
        <v>60</v>
      </c>
      <c r="D2" s="1567"/>
      <c r="E2" s="1567"/>
      <c r="F2" s="1567"/>
      <c r="G2" s="1567"/>
    </row>
    <row r="3" spans="1:8">
      <c r="A3" s="159"/>
      <c r="B3" s="159"/>
      <c r="C3" s="159"/>
      <c r="D3" s="159"/>
      <c r="E3" s="159"/>
      <c r="F3" s="159"/>
      <c r="G3" s="159"/>
    </row>
    <row r="4" spans="1:8">
      <c r="A4" s="159"/>
      <c r="B4" s="159"/>
      <c r="C4" s="158"/>
      <c r="D4" s="158"/>
      <c r="E4" s="1567" t="s">
        <v>1271</v>
      </c>
      <c r="F4" s="1567"/>
      <c r="G4" s="1567"/>
    </row>
    <row r="5" spans="1:8">
      <c r="A5" s="159"/>
      <c r="B5" s="159"/>
      <c r="C5" s="1567" t="s">
        <v>274</v>
      </c>
      <c r="D5" s="1567"/>
      <c r="E5" s="1567"/>
      <c r="F5" s="1567"/>
      <c r="G5" s="1567"/>
    </row>
    <row r="6" spans="1:8">
      <c r="B6" s="26"/>
      <c r="C6" s="26"/>
      <c r="F6" s="143"/>
      <c r="G6" s="154"/>
    </row>
    <row r="7" spans="1:8" ht="25.5">
      <c r="A7" s="2" t="s">
        <v>1272</v>
      </c>
      <c r="B7" s="24" t="s">
        <v>1273</v>
      </c>
      <c r="C7" s="3" t="s">
        <v>33</v>
      </c>
      <c r="D7" s="4" t="s">
        <v>324</v>
      </c>
      <c r="E7" s="4" t="s">
        <v>325</v>
      </c>
      <c r="F7" s="4" t="s">
        <v>326</v>
      </c>
      <c r="G7" s="11" t="s">
        <v>327</v>
      </c>
      <c r="H7" s="26" t="s">
        <v>1274</v>
      </c>
    </row>
    <row r="8" spans="1:8">
      <c r="A8" s="5" t="s">
        <v>1275</v>
      </c>
      <c r="B8" s="25" t="s">
        <v>1276</v>
      </c>
      <c r="C8" s="6"/>
      <c r="D8" s="7"/>
      <c r="E8" s="7"/>
      <c r="F8" s="12"/>
      <c r="G8" s="13"/>
      <c r="H8" s="26" t="s">
        <v>1277</v>
      </c>
    </row>
    <row r="9" spans="1:8">
      <c r="A9" s="161"/>
      <c r="B9" s="786"/>
      <c r="C9" s="673"/>
      <c r="D9" s="787"/>
      <c r="E9" s="787"/>
      <c r="F9" s="788"/>
      <c r="G9" s="788"/>
      <c r="H9" s="26" t="s">
        <v>1278</v>
      </c>
    </row>
    <row r="10" spans="1:8" ht="25.5">
      <c r="A10" s="161"/>
      <c r="B10" s="789" t="s">
        <v>901</v>
      </c>
      <c r="C10" s="790" t="s">
        <v>902</v>
      </c>
      <c r="D10" s="155"/>
      <c r="E10" s="155"/>
      <c r="F10" s="791"/>
      <c r="G10" s="792"/>
      <c r="H10" s="26" t="s">
        <v>1279</v>
      </c>
    </row>
    <row r="11" spans="1:8">
      <c r="A11" s="161"/>
      <c r="B11" s="786"/>
      <c r="C11" s="673"/>
      <c r="D11" s="155"/>
      <c r="E11" s="155"/>
      <c r="F11" s="791"/>
      <c r="G11" s="792"/>
      <c r="H11" s="26" t="s">
        <v>1280</v>
      </c>
    </row>
    <row r="12" spans="1:8">
      <c r="A12" s="161"/>
      <c r="B12" s="786"/>
      <c r="C12" s="673" t="s">
        <v>1281</v>
      </c>
      <c r="D12" s="155"/>
      <c r="E12" s="155"/>
      <c r="F12" s="791"/>
      <c r="G12" s="792"/>
      <c r="H12" s="26" t="s">
        <v>1282</v>
      </c>
    </row>
    <row r="13" spans="1:8">
      <c r="A13" s="161"/>
      <c r="B13" s="786"/>
      <c r="C13" s="673"/>
      <c r="D13" s="155"/>
      <c r="E13" s="155"/>
      <c r="F13" s="791"/>
      <c r="G13" s="792"/>
      <c r="H13" s="26" t="s">
        <v>1283</v>
      </c>
    </row>
    <row r="14" spans="1:8" ht="38.25">
      <c r="A14" s="28"/>
      <c r="B14" s="1120" t="s">
        <v>363</v>
      </c>
      <c r="C14" s="793" t="s">
        <v>1284</v>
      </c>
      <c r="D14" s="794"/>
      <c r="E14" s="794"/>
      <c r="F14" s="795"/>
      <c r="G14" s="796"/>
    </row>
    <row r="15" spans="1:8">
      <c r="A15" s="28"/>
      <c r="B15" s="1120"/>
      <c r="C15" s="797"/>
      <c r="D15" s="794"/>
      <c r="E15" s="794"/>
      <c r="F15" s="795"/>
      <c r="G15" s="798"/>
    </row>
    <row r="16" spans="1:8" ht="25.5">
      <c r="A16" s="28"/>
      <c r="B16" s="1120"/>
      <c r="C16" s="793" t="s">
        <v>1285</v>
      </c>
      <c r="D16" s="794"/>
      <c r="E16" s="794"/>
      <c r="F16" s="795"/>
      <c r="G16" s="798"/>
    </row>
    <row r="17" spans="1:7">
      <c r="A17" s="28"/>
      <c r="B17" s="1120"/>
      <c r="C17" s="797"/>
      <c r="D17" s="794"/>
      <c r="E17" s="794"/>
      <c r="F17" s="795"/>
      <c r="G17" s="798"/>
    </row>
    <row r="18" spans="1:7">
      <c r="A18" s="28"/>
      <c r="B18" s="1120"/>
      <c r="C18" s="793" t="s">
        <v>1286</v>
      </c>
      <c r="D18" s="794" t="s">
        <v>818</v>
      </c>
      <c r="E18" s="799">
        <f>22.5+25</f>
        <v>47.5</v>
      </c>
      <c r="F18" s="795">
        <v>60</v>
      </c>
      <c r="G18" s="798">
        <f>+E18*F18</f>
        <v>2850</v>
      </c>
    </row>
    <row r="19" spans="1:7">
      <c r="A19" s="28"/>
      <c r="B19" s="1120"/>
      <c r="C19" s="797"/>
      <c r="D19" s="794"/>
      <c r="E19" s="794"/>
      <c r="F19" s="795"/>
      <c r="G19" s="798"/>
    </row>
    <row r="20" spans="1:7">
      <c r="A20" s="28"/>
      <c r="B20" s="1120"/>
      <c r="C20" s="797" t="s">
        <v>1287</v>
      </c>
      <c r="D20" s="794" t="s">
        <v>818</v>
      </c>
      <c r="E20" s="794">
        <f>37+22.5+25</f>
        <v>84.5</v>
      </c>
      <c r="F20" s="795">
        <v>132</v>
      </c>
      <c r="G20" s="798">
        <f t="shared" ref="G20:G39" si="0">+E20*F20</f>
        <v>11154</v>
      </c>
    </row>
    <row r="21" spans="1:7">
      <c r="A21" s="28"/>
      <c r="B21" s="1120"/>
      <c r="C21" s="797"/>
      <c r="D21" s="794"/>
      <c r="E21" s="794"/>
      <c r="F21" s="795"/>
      <c r="G21" s="798"/>
    </row>
    <row r="22" spans="1:7">
      <c r="A22" s="28"/>
      <c r="B22" s="1120"/>
      <c r="C22" s="797" t="s">
        <v>1288</v>
      </c>
      <c r="D22" s="794" t="s">
        <v>818</v>
      </c>
      <c r="E22" s="794">
        <f>153+25</f>
        <v>178</v>
      </c>
      <c r="F22" s="795">
        <v>215</v>
      </c>
      <c r="G22" s="798">
        <f t="shared" si="0"/>
        <v>38270</v>
      </c>
    </row>
    <row r="23" spans="1:7">
      <c r="A23" s="28"/>
      <c r="B23" s="1120"/>
      <c r="C23" s="797"/>
      <c r="D23" s="794"/>
      <c r="E23" s="794"/>
      <c r="F23" s="795"/>
      <c r="G23" s="798"/>
    </row>
    <row r="24" spans="1:7" ht="25.5">
      <c r="A24" s="28"/>
      <c r="B24" s="1120"/>
      <c r="C24" s="793" t="s">
        <v>1289</v>
      </c>
      <c r="D24" s="794"/>
      <c r="E24" s="794"/>
      <c r="F24" s="795"/>
      <c r="G24" s="798"/>
    </row>
    <row r="25" spans="1:7">
      <c r="A25" s="28"/>
      <c r="B25" s="1120"/>
      <c r="C25" s="797"/>
      <c r="D25" s="794"/>
      <c r="E25" s="794"/>
      <c r="F25" s="795"/>
      <c r="G25" s="798"/>
    </row>
    <row r="26" spans="1:7">
      <c r="A26" s="28"/>
      <c r="B26" s="1120"/>
      <c r="C26" s="793" t="s">
        <v>1286</v>
      </c>
      <c r="D26" s="794" t="s">
        <v>818</v>
      </c>
      <c r="E26" s="794">
        <f>66+12+74+62+113+135</f>
        <v>462</v>
      </c>
      <c r="F26" s="795">
        <v>86</v>
      </c>
      <c r="G26" s="798">
        <f t="shared" si="0"/>
        <v>39732</v>
      </c>
    </row>
    <row r="27" spans="1:7">
      <c r="A27" s="28"/>
      <c r="B27" s="1120"/>
      <c r="C27" s="797"/>
      <c r="D27" s="794"/>
      <c r="E27" s="794"/>
      <c r="F27" s="795"/>
      <c r="G27" s="798"/>
    </row>
    <row r="28" spans="1:7">
      <c r="A28" s="28"/>
      <c r="B28" s="1120"/>
      <c r="C28" s="797" t="s">
        <v>1287</v>
      </c>
      <c r="D28" s="794" t="s">
        <v>818</v>
      </c>
      <c r="E28" s="794">
        <f>66+12+74+62+113+135</f>
        <v>462</v>
      </c>
      <c r="F28" s="795">
        <v>188</v>
      </c>
      <c r="G28" s="798">
        <f t="shared" si="0"/>
        <v>86856</v>
      </c>
    </row>
    <row r="29" spans="1:7">
      <c r="A29" s="28"/>
      <c r="B29" s="1120"/>
      <c r="C29" s="797"/>
      <c r="D29" s="794"/>
      <c r="E29" s="794"/>
      <c r="F29" s="795"/>
      <c r="G29" s="798"/>
    </row>
    <row r="30" spans="1:7">
      <c r="A30" s="28"/>
      <c r="B30" s="1120"/>
      <c r="C30" s="797" t="s">
        <v>1288</v>
      </c>
      <c r="D30" s="794" t="s">
        <v>818</v>
      </c>
      <c r="E30" s="794">
        <f>66+74+62</f>
        <v>202</v>
      </c>
      <c r="F30" s="795">
        <v>308</v>
      </c>
      <c r="G30" s="798">
        <f t="shared" si="0"/>
        <v>62216</v>
      </c>
    </row>
    <row r="31" spans="1:7">
      <c r="A31" s="28"/>
      <c r="B31" s="1120"/>
      <c r="C31" s="797"/>
      <c r="D31" s="794"/>
      <c r="E31" s="794"/>
      <c r="F31" s="795"/>
      <c r="G31" s="798"/>
    </row>
    <row r="32" spans="1:7">
      <c r="A32" s="28"/>
      <c r="B32" s="1120"/>
      <c r="C32" s="797" t="s">
        <v>1290</v>
      </c>
      <c r="D32" s="794" t="s">
        <v>818</v>
      </c>
      <c r="E32" s="794">
        <v>20</v>
      </c>
      <c r="F32" s="795">
        <v>442</v>
      </c>
      <c r="G32" s="798">
        <f t="shared" si="0"/>
        <v>8840</v>
      </c>
    </row>
    <row r="33" spans="1:7">
      <c r="A33" s="28"/>
      <c r="B33" s="1120"/>
      <c r="C33" s="797"/>
      <c r="D33" s="794"/>
      <c r="E33" s="794"/>
      <c r="F33" s="795"/>
      <c r="G33" s="798"/>
    </row>
    <row r="34" spans="1:7">
      <c r="A34" s="28"/>
      <c r="B34" s="1120"/>
      <c r="C34" s="797"/>
      <c r="D34" s="794"/>
      <c r="E34" s="794"/>
      <c r="F34" s="795"/>
      <c r="G34" s="798"/>
    </row>
    <row r="35" spans="1:7" ht="25.5">
      <c r="A35" s="28"/>
      <c r="B35" s="1120" t="s">
        <v>1291</v>
      </c>
      <c r="C35" s="797" t="s">
        <v>1292</v>
      </c>
      <c r="D35" s="794"/>
      <c r="E35" s="794"/>
      <c r="F35" s="795"/>
      <c r="G35" s="798"/>
    </row>
    <row r="36" spans="1:7">
      <c r="A36" s="28"/>
      <c r="B36" s="1120"/>
      <c r="C36" s="797"/>
      <c r="D36" s="794"/>
      <c r="E36" s="794"/>
      <c r="F36" s="795"/>
      <c r="G36" s="798"/>
    </row>
    <row r="37" spans="1:7">
      <c r="A37" s="28"/>
      <c r="B37" s="1120" t="s">
        <v>1293</v>
      </c>
      <c r="C37" s="797" t="s">
        <v>1294</v>
      </c>
      <c r="D37" s="794" t="s">
        <v>1295</v>
      </c>
      <c r="E37" s="794">
        <f>135+162+35+7+4+23</f>
        <v>366</v>
      </c>
      <c r="F37" s="795">
        <f>'Master Rates'!K16</f>
        <v>375</v>
      </c>
      <c r="G37" s="798">
        <f t="shared" si="0"/>
        <v>137250</v>
      </c>
    </row>
    <row r="38" spans="1:7">
      <c r="A38" s="28"/>
      <c r="B38" s="1120"/>
      <c r="C38" s="797"/>
      <c r="D38" s="794"/>
      <c r="E38" s="794"/>
      <c r="F38" s="795"/>
      <c r="G38" s="798"/>
    </row>
    <row r="39" spans="1:7">
      <c r="A39" s="28"/>
      <c r="B39" s="1120" t="s">
        <v>1296</v>
      </c>
      <c r="C39" s="797" t="s">
        <v>1297</v>
      </c>
      <c r="D39" s="794" t="s">
        <v>1295</v>
      </c>
      <c r="E39" s="794">
        <f>25+12.5+2+108+90</f>
        <v>237.5</v>
      </c>
      <c r="F39" s="795">
        <f>'Master Rates'!K17</f>
        <v>1182</v>
      </c>
      <c r="G39" s="798">
        <f t="shared" si="0"/>
        <v>280725</v>
      </c>
    </row>
    <row r="40" spans="1:7">
      <c r="A40" s="28"/>
      <c r="B40" s="1120"/>
      <c r="C40" s="797"/>
      <c r="D40" s="794"/>
      <c r="E40" s="794"/>
      <c r="F40" s="795"/>
      <c r="G40" s="798"/>
    </row>
    <row r="41" spans="1:7" ht="25.5">
      <c r="A41" s="28"/>
      <c r="B41" s="1120" t="s">
        <v>992</v>
      </c>
      <c r="C41" s="800" t="s">
        <v>1298</v>
      </c>
      <c r="D41" s="794"/>
      <c r="E41" s="794"/>
      <c r="F41" s="795"/>
      <c r="G41" s="798"/>
    </row>
    <row r="42" spans="1:7">
      <c r="A42" s="28"/>
      <c r="B42" s="1120"/>
      <c r="C42" s="797"/>
      <c r="D42" s="794"/>
      <c r="E42" s="794"/>
      <c r="F42" s="795"/>
      <c r="G42" s="798"/>
    </row>
    <row r="43" spans="1:7" ht="38.25">
      <c r="A43" s="28"/>
      <c r="B43" s="1120" t="s">
        <v>1299</v>
      </c>
      <c r="C43" s="797" t="s">
        <v>1300</v>
      </c>
      <c r="D43" s="794"/>
      <c r="E43" s="794"/>
      <c r="F43" s="795"/>
      <c r="G43" s="798"/>
    </row>
    <row r="44" spans="1:7">
      <c r="A44" s="28"/>
      <c r="B44" s="1120"/>
      <c r="C44" s="797"/>
      <c r="D44" s="794"/>
      <c r="E44" s="794"/>
      <c r="F44" s="795"/>
      <c r="G44" s="798"/>
    </row>
    <row r="45" spans="1:7">
      <c r="A45" s="28"/>
      <c r="B45" s="1120" t="s">
        <v>999</v>
      </c>
      <c r="C45" s="797" t="s">
        <v>1301</v>
      </c>
      <c r="D45" s="794" t="s">
        <v>1295</v>
      </c>
      <c r="E45" s="801">
        <v>90</v>
      </c>
      <c r="F45" s="795">
        <v>125</v>
      </c>
      <c r="G45" s="798">
        <f t="shared" ref="G45:G59" si="1">+E45*F45</f>
        <v>11250</v>
      </c>
    </row>
    <row r="46" spans="1:7">
      <c r="A46" s="28"/>
      <c r="B46" s="1120"/>
      <c r="C46" s="797"/>
      <c r="D46" s="794"/>
      <c r="E46" s="794"/>
      <c r="F46" s="795"/>
      <c r="G46" s="798"/>
    </row>
    <row r="47" spans="1:7">
      <c r="A47" s="28"/>
      <c r="B47" s="1120" t="s">
        <v>1002</v>
      </c>
      <c r="C47" s="797" t="s">
        <v>1003</v>
      </c>
      <c r="D47" s="794" t="s">
        <v>1295</v>
      </c>
      <c r="E47" s="801">
        <v>115</v>
      </c>
      <c r="F47" s="795">
        <v>125</v>
      </c>
      <c r="G47" s="798">
        <f t="shared" si="1"/>
        <v>14375</v>
      </c>
    </row>
    <row r="48" spans="1:7">
      <c r="A48" s="28"/>
      <c r="B48" s="1120"/>
      <c r="C48" s="797"/>
      <c r="D48" s="794"/>
      <c r="E48" s="794"/>
      <c r="F48" s="795"/>
      <c r="G48" s="798"/>
    </row>
    <row r="49" spans="1:7" ht="25.5">
      <c r="A49" s="28"/>
      <c r="B49" s="1120" t="s">
        <v>996</v>
      </c>
      <c r="C49" s="797" t="s">
        <v>1302</v>
      </c>
      <c r="D49" s="794"/>
      <c r="E49" s="794"/>
      <c r="F49" s="795"/>
      <c r="G49" s="798"/>
    </row>
    <row r="50" spans="1:7">
      <c r="A50" s="28"/>
      <c r="B50" s="1120"/>
      <c r="C50" s="797"/>
      <c r="D50" s="794"/>
      <c r="E50" s="794"/>
      <c r="F50" s="795"/>
      <c r="G50" s="798"/>
    </row>
    <row r="51" spans="1:7">
      <c r="A51" s="28"/>
      <c r="B51" s="1120" t="s">
        <v>999</v>
      </c>
      <c r="C51" s="797" t="s">
        <v>1301</v>
      </c>
      <c r="D51" s="794" t="s">
        <v>1295</v>
      </c>
      <c r="E51" s="794">
        <v>90</v>
      </c>
      <c r="F51" s="795">
        <v>325</v>
      </c>
      <c r="G51" s="798">
        <f t="shared" si="1"/>
        <v>29250</v>
      </c>
    </row>
    <row r="52" spans="1:7">
      <c r="A52" s="28"/>
      <c r="B52" s="1120"/>
      <c r="C52" s="797"/>
      <c r="D52" s="794"/>
      <c r="E52" s="794"/>
      <c r="F52" s="795"/>
      <c r="G52" s="798"/>
    </row>
    <row r="53" spans="1:7">
      <c r="A53" s="28"/>
      <c r="B53" s="1120"/>
      <c r="C53" s="797"/>
      <c r="D53" s="794"/>
      <c r="E53" s="794"/>
      <c r="F53" s="795"/>
      <c r="G53" s="798"/>
    </row>
    <row r="54" spans="1:7">
      <c r="A54" s="127"/>
      <c r="B54" s="128"/>
      <c r="C54" s="129"/>
      <c r="D54" s="130"/>
      <c r="E54" s="131"/>
      <c r="F54" s="132"/>
      <c r="G54" s="133"/>
    </row>
    <row r="55" spans="1:7">
      <c r="A55" s="134"/>
      <c r="B55" s="135"/>
      <c r="C55" s="31" t="s">
        <v>96</v>
      </c>
      <c r="D55" s="136"/>
      <c r="E55" s="137"/>
      <c r="F55" s="138"/>
      <c r="G55" s="32">
        <f>SUM(G10:G53)</f>
        <v>722768</v>
      </c>
    </row>
    <row r="56" spans="1:7">
      <c r="A56" s="139"/>
      <c r="B56" s="139"/>
      <c r="C56" s="33" t="s">
        <v>220</v>
      </c>
      <c r="D56" s="802"/>
      <c r="E56" s="803"/>
      <c r="F56" s="804"/>
      <c r="G56" s="805">
        <f>G55</f>
        <v>722768</v>
      </c>
    </row>
    <row r="57" spans="1:7">
      <c r="A57" s="28"/>
      <c r="B57" s="1120"/>
      <c r="C57" s="797"/>
      <c r="D57" s="794"/>
      <c r="E57" s="794"/>
      <c r="F57" s="795"/>
      <c r="G57" s="798"/>
    </row>
    <row r="58" spans="1:7">
      <c r="A58" s="28"/>
      <c r="B58" s="1120"/>
      <c r="C58" s="797"/>
      <c r="D58" s="794"/>
      <c r="E58" s="794"/>
      <c r="F58" s="795"/>
      <c r="G58" s="798"/>
    </row>
    <row r="59" spans="1:7">
      <c r="A59" s="28"/>
      <c r="B59" s="1120" t="s">
        <v>1002</v>
      </c>
      <c r="C59" s="797" t="s">
        <v>1003</v>
      </c>
      <c r="D59" s="794" t="s">
        <v>1295</v>
      </c>
      <c r="E59" s="794">
        <v>115</v>
      </c>
      <c r="F59" s="795">
        <v>325</v>
      </c>
      <c r="G59" s="798">
        <f t="shared" si="1"/>
        <v>37375</v>
      </c>
    </row>
    <row r="60" spans="1:7">
      <c r="A60" s="28"/>
      <c r="B60" s="1120"/>
      <c r="C60" s="797"/>
      <c r="D60" s="794"/>
      <c r="E60" s="794"/>
      <c r="F60" s="795"/>
      <c r="G60" s="798"/>
    </row>
    <row r="61" spans="1:7">
      <c r="A61" s="28"/>
      <c r="B61" s="1121"/>
      <c r="C61" s="806" t="s">
        <v>1303</v>
      </c>
      <c r="D61" s="807"/>
      <c r="E61" s="794"/>
      <c r="F61" s="795"/>
      <c r="G61" s="798"/>
    </row>
    <row r="62" spans="1:7">
      <c r="A62" s="28"/>
      <c r="B62" s="1121"/>
      <c r="C62" s="806"/>
      <c r="D62" s="807"/>
      <c r="E62" s="794"/>
      <c r="F62" s="795"/>
      <c r="G62" s="798"/>
    </row>
    <row r="63" spans="1:7" ht="25.5">
      <c r="A63" s="28"/>
      <c r="B63" s="1121" t="s">
        <v>1005</v>
      </c>
      <c r="C63" s="806" t="s">
        <v>1304</v>
      </c>
      <c r="D63" s="807" t="s">
        <v>574</v>
      </c>
      <c r="E63" s="794">
        <f>40+10+10</f>
        <v>60</v>
      </c>
      <c r="F63" s="795">
        <f>'Master Rates'!$C$4</f>
        <v>2800</v>
      </c>
      <c r="G63" s="798">
        <f>F63*E63</f>
        <v>168000</v>
      </c>
    </row>
    <row r="64" spans="1:7">
      <c r="A64" s="28"/>
      <c r="B64" s="1121"/>
      <c r="C64" s="806"/>
      <c r="D64" s="807"/>
      <c r="E64" s="794"/>
      <c r="F64" s="795"/>
      <c r="G64" s="798"/>
    </row>
    <row r="65" spans="1:8" ht="25.5">
      <c r="A65" s="28"/>
      <c r="B65" s="1121" t="s">
        <v>1005</v>
      </c>
      <c r="C65" s="806" t="s">
        <v>1305</v>
      </c>
      <c r="D65" s="807" t="s">
        <v>574</v>
      </c>
      <c r="E65" s="794">
        <v>8</v>
      </c>
      <c r="F65" s="795">
        <f>'Master Rates'!$C$4</f>
        <v>2800</v>
      </c>
      <c r="G65" s="798">
        <f>F65*E65</f>
        <v>22400</v>
      </c>
    </row>
    <row r="66" spans="1:8">
      <c r="A66" s="28"/>
      <c r="B66" s="1121"/>
      <c r="C66" s="806"/>
      <c r="D66" s="807"/>
      <c r="E66" s="794"/>
      <c r="F66" s="795"/>
      <c r="G66" s="798"/>
    </row>
    <row r="67" spans="1:8">
      <c r="A67" s="28"/>
      <c r="B67" s="1121" t="s">
        <v>1005</v>
      </c>
      <c r="C67" s="806" t="s">
        <v>1306</v>
      </c>
      <c r="D67" s="807" t="s">
        <v>574</v>
      </c>
      <c r="E67" s="794">
        <v>4</v>
      </c>
      <c r="F67" s="795">
        <f>'Master Rates'!$C$4</f>
        <v>2800</v>
      </c>
      <c r="G67" s="798">
        <f>F67*E67</f>
        <v>11200</v>
      </c>
    </row>
    <row r="68" spans="1:8">
      <c r="A68" s="28"/>
      <c r="B68" s="1121"/>
      <c r="C68" s="806"/>
      <c r="D68" s="807"/>
      <c r="E68" s="794"/>
      <c r="F68" s="795"/>
      <c r="G68" s="798"/>
    </row>
    <row r="69" spans="1:8">
      <c r="A69" s="28"/>
      <c r="B69" s="1121" t="s">
        <v>1005</v>
      </c>
      <c r="C69" s="806" t="s">
        <v>1307</v>
      </c>
      <c r="D69" s="807" t="s">
        <v>574</v>
      </c>
      <c r="E69" s="794">
        <v>10</v>
      </c>
      <c r="F69" s="795">
        <f>'Master Rates'!$C$4</f>
        <v>2800</v>
      </c>
      <c r="G69" s="798">
        <f>F69*E69</f>
        <v>28000</v>
      </c>
    </row>
    <row r="70" spans="1:8">
      <c r="A70" s="28"/>
      <c r="B70" s="1121"/>
      <c r="C70" s="806"/>
      <c r="D70" s="807"/>
      <c r="E70" s="794"/>
      <c r="F70" s="795"/>
      <c r="G70" s="798"/>
    </row>
    <row r="71" spans="1:8">
      <c r="A71" s="28"/>
      <c r="B71" s="1121" t="s">
        <v>1005</v>
      </c>
      <c r="C71" s="806" t="s">
        <v>1308</v>
      </c>
      <c r="D71" s="807" t="s">
        <v>574</v>
      </c>
      <c r="E71" s="794">
        <v>15</v>
      </c>
      <c r="F71" s="795">
        <f>'Master Rates'!$C$4</f>
        <v>2800</v>
      </c>
      <c r="G71" s="798">
        <f>F71*E71</f>
        <v>42000</v>
      </c>
    </row>
    <row r="72" spans="1:8">
      <c r="A72" s="28"/>
      <c r="B72" s="1121"/>
      <c r="C72" s="806"/>
      <c r="D72" s="807"/>
      <c r="E72" s="794"/>
      <c r="F72" s="795"/>
      <c r="G72" s="798"/>
    </row>
    <row r="73" spans="1:8">
      <c r="A73" s="28"/>
      <c r="B73" s="1121"/>
      <c r="C73" s="1122" t="s">
        <v>767</v>
      </c>
      <c r="D73" s="155"/>
      <c r="E73" s="794"/>
      <c r="F73" s="795"/>
      <c r="G73" s="798"/>
    </row>
    <row r="74" spans="1:8">
      <c r="A74" s="28"/>
      <c r="B74" s="1121"/>
      <c r="C74" s="14"/>
      <c r="D74" s="155"/>
      <c r="E74" s="794"/>
      <c r="F74" s="795"/>
      <c r="G74" s="798"/>
    </row>
    <row r="75" spans="1:8">
      <c r="A75" s="28"/>
      <c r="B75" s="1121"/>
      <c r="C75" s="14" t="s">
        <v>1309</v>
      </c>
      <c r="D75" s="155" t="s">
        <v>825</v>
      </c>
      <c r="E75" s="794">
        <f>450+225+120</f>
        <v>795</v>
      </c>
      <c r="F75" s="795">
        <f>'Master Rates'!C94</f>
        <v>40</v>
      </c>
      <c r="G75" s="798">
        <f>F75*E75</f>
        <v>31800</v>
      </c>
      <c r="H75" s="26" t="s">
        <v>1310</v>
      </c>
    </row>
    <row r="76" spans="1:8">
      <c r="A76" s="28"/>
      <c r="B76" s="1121"/>
      <c r="C76" s="806"/>
      <c r="D76" s="807"/>
      <c r="E76" s="794"/>
      <c r="F76" s="795"/>
      <c r="G76" s="798"/>
    </row>
    <row r="77" spans="1:8" ht="25.5">
      <c r="A77" s="28"/>
      <c r="B77" s="1120" t="s">
        <v>1311</v>
      </c>
      <c r="C77" s="808" t="s">
        <v>1312</v>
      </c>
      <c r="D77" s="794"/>
      <c r="E77" s="794"/>
      <c r="F77" s="795"/>
      <c r="G77" s="798"/>
    </row>
    <row r="78" spans="1:8" ht="16.149999999999999" customHeight="1">
      <c r="A78" s="28"/>
      <c r="B78" s="1120"/>
      <c r="C78" s="793"/>
      <c r="D78" s="794"/>
      <c r="E78" s="794"/>
      <c r="F78" s="795"/>
      <c r="G78" s="798"/>
    </row>
    <row r="79" spans="1:8">
      <c r="A79" s="28"/>
      <c r="B79" s="1123"/>
      <c r="C79" s="671" t="s">
        <v>1077</v>
      </c>
      <c r="D79" s="794"/>
      <c r="E79" s="794"/>
      <c r="F79" s="795"/>
      <c r="G79" s="798"/>
    </row>
    <row r="80" spans="1:8">
      <c r="A80" s="28"/>
      <c r="B80" s="1120"/>
      <c r="C80" s="797"/>
      <c r="D80" s="794"/>
      <c r="E80" s="794"/>
      <c r="F80" s="795"/>
      <c r="G80" s="798"/>
    </row>
    <row r="81" spans="1:9">
      <c r="A81" s="28"/>
      <c r="B81" s="1120" t="s">
        <v>815</v>
      </c>
      <c r="C81" s="793" t="s">
        <v>1313</v>
      </c>
      <c r="D81" s="794"/>
      <c r="E81" s="794"/>
      <c r="F81" s="795"/>
      <c r="G81" s="798"/>
    </row>
    <row r="82" spans="1:9" s="148" customFormat="1">
      <c r="A82" s="149"/>
      <c r="B82" s="1124"/>
      <c r="C82" s="809"/>
      <c r="D82" s="810"/>
      <c r="E82" s="810"/>
      <c r="F82" s="811"/>
      <c r="G82" s="812"/>
    </row>
    <row r="83" spans="1:9">
      <c r="A83" s="28"/>
      <c r="B83" s="1120" t="s">
        <v>1314</v>
      </c>
      <c r="C83" s="1125" t="s">
        <v>1079</v>
      </c>
      <c r="D83" s="794"/>
      <c r="E83" s="794"/>
      <c r="F83" s="795"/>
      <c r="G83" s="798"/>
    </row>
    <row r="84" spans="1:9">
      <c r="A84" s="28"/>
      <c r="B84" s="1120" t="s">
        <v>1114</v>
      </c>
      <c r="C84" s="1125"/>
      <c r="D84" s="794"/>
      <c r="E84" s="794"/>
      <c r="F84" s="795"/>
      <c r="G84" s="798"/>
    </row>
    <row r="85" spans="1:9">
      <c r="A85" s="28"/>
      <c r="B85" s="1120"/>
      <c r="C85" s="1125"/>
      <c r="D85" s="794"/>
      <c r="E85" s="794"/>
      <c r="F85" s="795"/>
      <c r="G85" s="798"/>
    </row>
    <row r="86" spans="1:9" ht="45">
      <c r="A86" s="28"/>
      <c r="B86" s="1120"/>
      <c r="C86" s="1125" t="s">
        <v>1315</v>
      </c>
      <c r="D86" s="794" t="s">
        <v>335</v>
      </c>
      <c r="E86" s="813">
        <v>1</v>
      </c>
      <c r="F86" s="795">
        <v>100000</v>
      </c>
      <c r="G86" s="798">
        <f>F86*E86</f>
        <v>100000</v>
      </c>
      <c r="H86" s="152" t="s">
        <v>1316</v>
      </c>
      <c r="I86" s="814" t="s">
        <v>1317</v>
      </c>
    </row>
    <row r="87" spans="1:9" s="148" customFormat="1">
      <c r="A87" s="149"/>
      <c r="B87" s="1124"/>
      <c r="C87" s="1126"/>
      <c r="D87" s="810"/>
      <c r="E87" s="815"/>
      <c r="F87" s="811"/>
      <c r="G87" s="812"/>
      <c r="H87" s="153"/>
      <c r="I87" s="153"/>
    </row>
    <row r="88" spans="1:9" ht="38.25">
      <c r="A88" s="28"/>
      <c r="B88" s="1120"/>
      <c r="C88" s="1125" t="s">
        <v>1318</v>
      </c>
      <c r="D88" s="155" t="s">
        <v>1319</v>
      </c>
      <c r="E88" s="813">
        <v>2</v>
      </c>
      <c r="F88" s="795">
        <v>50000</v>
      </c>
      <c r="G88" s="798">
        <f t="shared" ref="G88:G118" si="2">F88*E88</f>
        <v>100000</v>
      </c>
    </row>
    <row r="89" spans="1:9" s="148" customFormat="1">
      <c r="A89" s="149"/>
      <c r="B89" s="1124"/>
      <c r="C89" s="1126"/>
      <c r="D89" s="816"/>
      <c r="E89" s="815"/>
      <c r="F89" s="811"/>
      <c r="G89" s="812"/>
    </row>
    <row r="90" spans="1:9">
      <c r="A90" s="28"/>
      <c r="B90" s="1120"/>
      <c r="C90" s="1125" t="s">
        <v>1320</v>
      </c>
      <c r="D90" s="155" t="s">
        <v>1319</v>
      </c>
      <c r="E90" s="813">
        <v>2</v>
      </c>
      <c r="F90" s="795">
        <v>25000</v>
      </c>
      <c r="G90" s="798">
        <f t="shared" si="2"/>
        <v>50000</v>
      </c>
    </row>
    <row r="91" spans="1:9">
      <c r="A91" s="28"/>
      <c r="B91" s="1120"/>
      <c r="C91" s="1127"/>
      <c r="D91" s="155"/>
      <c r="E91" s="813"/>
      <c r="F91" s="795"/>
      <c r="G91" s="798"/>
    </row>
    <row r="92" spans="1:9">
      <c r="A92" s="28"/>
      <c r="B92" s="1120"/>
      <c r="C92" s="1125" t="s">
        <v>1321</v>
      </c>
      <c r="D92" s="155" t="s">
        <v>1319</v>
      </c>
      <c r="E92" s="813">
        <v>4</v>
      </c>
      <c r="F92" s="795">
        <v>17500</v>
      </c>
      <c r="G92" s="798">
        <f t="shared" si="2"/>
        <v>70000</v>
      </c>
    </row>
    <row r="93" spans="1:9" s="148" customFormat="1">
      <c r="A93" s="149"/>
      <c r="B93" s="1124"/>
      <c r="C93" s="1126"/>
      <c r="D93" s="816"/>
      <c r="E93" s="815"/>
      <c r="F93" s="811"/>
      <c r="G93" s="812"/>
    </row>
    <row r="94" spans="1:9">
      <c r="A94" s="28"/>
      <c r="B94" s="1120"/>
      <c r="C94" s="1125" t="s">
        <v>1322</v>
      </c>
      <c r="D94" s="155"/>
      <c r="E94" s="813"/>
      <c r="F94" s="795"/>
      <c r="G94" s="798"/>
    </row>
    <row r="95" spans="1:9">
      <c r="A95" s="28"/>
      <c r="B95" s="1120"/>
      <c r="C95" s="1125"/>
      <c r="D95" s="155"/>
      <c r="E95" s="813"/>
      <c r="F95" s="795"/>
      <c r="G95" s="798"/>
    </row>
    <row r="96" spans="1:9">
      <c r="A96" s="28"/>
      <c r="B96" s="1120"/>
      <c r="C96" s="1125" t="s">
        <v>1323</v>
      </c>
      <c r="D96" s="155" t="s">
        <v>1319</v>
      </c>
      <c r="E96" s="813">
        <v>2</v>
      </c>
      <c r="F96" s="795">
        <v>85000</v>
      </c>
      <c r="G96" s="798">
        <f t="shared" si="2"/>
        <v>170000</v>
      </c>
    </row>
    <row r="97" spans="1:7">
      <c r="A97" s="28"/>
      <c r="B97" s="1120"/>
      <c r="C97" s="1125"/>
      <c r="D97" s="155"/>
      <c r="E97" s="813"/>
      <c r="F97" s="795"/>
      <c r="G97" s="798"/>
    </row>
    <row r="98" spans="1:7">
      <c r="A98" s="28"/>
      <c r="B98" s="1120"/>
      <c r="C98" s="1125" t="s">
        <v>1324</v>
      </c>
      <c r="D98" s="155"/>
      <c r="E98" s="813"/>
      <c r="F98" s="795"/>
      <c r="G98" s="798"/>
    </row>
    <row r="99" spans="1:7">
      <c r="A99" s="28"/>
      <c r="B99" s="1120"/>
      <c r="C99" s="1125"/>
      <c r="D99" s="155"/>
      <c r="E99" s="813"/>
      <c r="F99" s="795"/>
      <c r="G99" s="798"/>
    </row>
    <row r="100" spans="1:7">
      <c r="A100" s="28"/>
      <c r="B100" s="1120"/>
      <c r="C100" s="1125" t="s">
        <v>1325</v>
      </c>
      <c r="D100" s="155" t="s">
        <v>1319</v>
      </c>
      <c r="E100" s="813">
        <v>4</v>
      </c>
      <c r="F100" s="795">
        <v>48000</v>
      </c>
      <c r="G100" s="798">
        <f t="shared" si="2"/>
        <v>192000</v>
      </c>
    </row>
    <row r="101" spans="1:7">
      <c r="A101" s="28"/>
      <c r="B101" s="1120"/>
      <c r="C101" s="1125"/>
      <c r="D101" s="155"/>
      <c r="E101" s="813"/>
      <c r="F101" s="795"/>
      <c r="G101" s="798"/>
    </row>
    <row r="102" spans="1:7">
      <c r="A102" s="28"/>
      <c r="B102" s="1120"/>
      <c r="C102" s="1125"/>
      <c r="D102" s="155"/>
      <c r="E102" s="813"/>
      <c r="F102" s="795"/>
      <c r="G102" s="798"/>
    </row>
    <row r="103" spans="1:7">
      <c r="A103" s="28"/>
      <c r="B103" s="1120"/>
      <c r="C103" s="1125"/>
      <c r="D103" s="155"/>
      <c r="E103" s="813"/>
      <c r="F103" s="795"/>
      <c r="G103" s="798"/>
    </row>
    <row r="104" spans="1:7">
      <c r="A104" s="127"/>
      <c r="B104" s="128"/>
      <c r="C104" s="129"/>
      <c r="D104" s="130"/>
      <c r="E104" s="131"/>
      <c r="F104" s="132"/>
      <c r="G104" s="133"/>
    </row>
    <row r="105" spans="1:7">
      <c r="A105" s="134"/>
      <c r="B105" s="135"/>
      <c r="C105" s="31" t="s">
        <v>96</v>
      </c>
      <c r="D105" s="136"/>
      <c r="E105" s="137"/>
      <c r="F105" s="138"/>
      <c r="G105" s="32">
        <f>SUM(G56:G103)</f>
        <v>1745543</v>
      </c>
    </row>
    <row r="106" spans="1:7">
      <c r="A106" s="139"/>
      <c r="B106" s="139"/>
      <c r="C106" s="33" t="s">
        <v>220</v>
      </c>
      <c r="D106" s="802"/>
      <c r="E106" s="803"/>
      <c r="F106" s="804"/>
      <c r="G106" s="805">
        <f>G105</f>
        <v>1745543</v>
      </c>
    </row>
    <row r="107" spans="1:7">
      <c r="A107" s="28"/>
      <c r="B107" s="1120"/>
      <c r="C107" s="1125"/>
      <c r="D107" s="155"/>
      <c r="E107" s="813"/>
      <c r="F107" s="795"/>
      <c r="G107" s="798"/>
    </row>
    <row r="108" spans="1:7">
      <c r="A108" s="28"/>
      <c r="B108" s="1120"/>
      <c r="C108" s="1125" t="s">
        <v>1326</v>
      </c>
      <c r="D108" s="155"/>
      <c r="E108" s="813"/>
      <c r="F108" s="795"/>
      <c r="G108" s="798"/>
    </row>
    <row r="109" spans="1:7">
      <c r="A109" s="28"/>
      <c r="B109" s="1120"/>
      <c r="C109" s="1125"/>
      <c r="D109" s="155"/>
      <c r="E109" s="813"/>
      <c r="F109" s="795"/>
      <c r="G109" s="798"/>
    </row>
    <row r="110" spans="1:7" ht="25.5">
      <c r="A110" s="28"/>
      <c r="B110" s="1120"/>
      <c r="C110" s="1125" t="s">
        <v>1327</v>
      </c>
      <c r="D110" s="155" t="s">
        <v>1319</v>
      </c>
      <c r="E110" s="813">
        <v>4</v>
      </c>
      <c r="F110" s="795">
        <v>60000</v>
      </c>
      <c r="G110" s="798">
        <f t="shared" si="2"/>
        <v>240000</v>
      </c>
    </row>
    <row r="111" spans="1:7" s="151" customFormat="1">
      <c r="A111" s="150"/>
      <c r="B111" s="1128"/>
      <c r="C111" s="1129"/>
      <c r="D111" s="817"/>
      <c r="E111" s="818"/>
      <c r="F111" s="819"/>
      <c r="G111" s="820"/>
    </row>
    <row r="112" spans="1:7">
      <c r="A112" s="28"/>
      <c r="B112" s="1120"/>
      <c r="C112" s="1125" t="s">
        <v>148</v>
      </c>
      <c r="D112" s="821"/>
      <c r="E112" s="822"/>
      <c r="F112" s="795"/>
      <c r="G112" s="798"/>
    </row>
    <row r="113" spans="1:7">
      <c r="A113" s="28"/>
      <c r="B113" s="1120"/>
      <c r="C113" s="1125"/>
      <c r="D113" s="155"/>
      <c r="E113" s="813"/>
      <c r="F113" s="795"/>
      <c r="G113" s="798"/>
    </row>
    <row r="114" spans="1:7">
      <c r="A114" s="28"/>
      <c r="B114" s="1120"/>
      <c r="C114" s="1125" t="s">
        <v>1328</v>
      </c>
      <c r="D114" s="155" t="s">
        <v>1319</v>
      </c>
      <c r="E114" s="813">
        <v>2</v>
      </c>
      <c r="F114" s="795">
        <v>50000</v>
      </c>
      <c r="G114" s="798">
        <f t="shared" si="2"/>
        <v>100000</v>
      </c>
    </row>
    <row r="115" spans="1:7" s="151" customFormat="1">
      <c r="A115" s="150"/>
      <c r="B115" s="1128"/>
      <c r="C115" s="1129"/>
      <c r="D115" s="817"/>
      <c r="E115" s="818"/>
      <c r="F115" s="819"/>
      <c r="G115" s="820"/>
    </row>
    <row r="116" spans="1:7">
      <c r="A116" s="28"/>
      <c r="B116" s="1120"/>
      <c r="C116" s="1125" t="s">
        <v>1329</v>
      </c>
      <c r="D116" s="155"/>
      <c r="E116" s="813"/>
      <c r="F116" s="795"/>
      <c r="G116" s="798"/>
    </row>
    <row r="117" spans="1:7">
      <c r="A117" s="28"/>
      <c r="B117" s="1120"/>
      <c r="C117" s="1125"/>
      <c r="D117" s="155"/>
      <c r="E117" s="813"/>
      <c r="F117" s="795"/>
      <c r="G117" s="798"/>
    </row>
    <row r="118" spans="1:7">
      <c r="A118" s="28"/>
      <c r="B118" s="1120"/>
      <c r="C118" s="1125" t="s">
        <v>1330</v>
      </c>
      <c r="D118" s="155" t="s">
        <v>1319</v>
      </c>
      <c r="E118" s="813">
        <v>4</v>
      </c>
      <c r="F118" s="795">
        <v>100000</v>
      </c>
      <c r="G118" s="798">
        <f t="shared" si="2"/>
        <v>400000</v>
      </c>
    </row>
    <row r="119" spans="1:7" s="151" customFormat="1">
      <c r="A119" s="150"/>
      <c r="B119" s="1128"/>
      <c r="C119" s="1129"/>
      <c r="D119" s="817"/>
      <c r="E119" s="818"/>
      <c r="F119" s="819"/>
      <c r="G119" s="820"/>
    </row>
    <row r="120" spans="1:7" ht="13.9" customHeight="1">
      <c r="A120" s="28"/>
      <c r="B120" s="1120"/>
      <c r="C120" s="1125" t="s">
        <v>1331</v>
      </c>
      <c r="D120" s="155"/>
      <c r="E120" s="813"/>
      <c r="F120" s="795"/>
      <c r="G120" s="798"/>
    </row>
    <row r="121" spans="1:7" ht="13.9" customHeight="1">
      <c r="A121" s="28"/>
      <c r="B121" s="1120"/>
      <c r="C121" s="1125"/>
      <c r="D121" s="155"/>
      <c r="E121" s="813"/>
      <c r="F121" s="795"/>
      <c r="G121" s="798"/>
    </row>
    <row r="122" spans="1:7" ht="13.9" customHeight="1">
      <c r="A122" s="28"/>
      <c r="B122" s="1120"/>
      <c r="C122" s="1125" t="s">
        <v>1332</v>
      </c>
      <c r="D122" s="155" t="s">
        <v>1319</v>
      </c>
      <c r="E122" s="813">
        <v>2</v>
      </c>
      <c r="F122" s="795">
        <v>150000</v>
      </c>
      <c r="G122" s="798">
        <f>F122*E122</f>
        <v>300000</v>
      </c>
    </row>
    <row r="123" spans="1:7" s="151" customFormat="1" ht="13.9" customHeight="1">
      <c r="A123" s="150"/>
      <c r="B123" s="1128"/>
      <c r="C123" s="1129"/>
      <c r="D123" s="817"/>
      <c r="E123" s="818"/>
      <c r="F123" s="819"/>
      <c r="G123" s="820"/>
    </row>
    <row r="124" spans="1:7">
      <c r="A124" s="28"/>
      <c r="B124" s="1120"/>
      <c r="C124" s="1125" t="s">
        <v>107</v>
      </c>
      <c r="D124" s="155"/>
      <c r="E124" s="813"/>
      <c r="F124" s="795"/>
      <c r="G124" s="798"/>
    </row>
    <row r="125" spans="1:7">
      <c r="A125" s="28"/>
      <c r="B125" s="1120"/>
      <c r="C125" s="1125"/>
      <c r="D125" s="155"/>
      <c r="E125" s="813"/>
      <c r="F125" s="795"/>
      <c r="G125" s="798"/>
    </row>
    <row r="126" spans="1:7">
      <c r="A126" s="28"/>
      <c r="B126" s="1120"/>
      <c r="C126" s="1125" t="s">
        <v>1333</v>
      </c>
      <c r="D126" s="794" t="s">
        <v>1319</v>
      </c>
      <c r="E126" s="794">
        <v>4</v>
      </c>
      <c r="F126" s="795">
        <v>10000</v>
      </c>
      <c r="G126" s="798">
        <f t="shared" ref="G126" si="3">F126*E126</f>
        <v>40000</v>
      </c>
    </row>
    <row r="127" spans="1:7">
      <c r="A127" s="28"/>
      <c r="B127" s="1120"/>
      <c r="C127" s="1125"/>
      <c r="D127" s="794"/>
      <c r="E127" s="794"/>
      <c r="F127" s="795"/>
      <c r="G127" s="798"/>
    </row>
    <row r="128" spans="1:7">
      <c r="A128" s="28"/>
      <c r="B128" s="1120"/>
      <c r="C128" s="823" t="s">
        <v>1334</v>
      </c>
      <c r="D128" s="155"/>
      <c r="E128" s="813"/>
      <c r="F128" s="795"/>
      <c r="G128" s="798"/>
    </row>
    <row r="129" spans="1:7">
      <c r="A129" s="28"/>
      <c r="B129" s="1120"/>
      <c r="C129" s="823"/>
      <c r="D129" s="155"/>
      <c r="E129" s="813"/>
      <c r="F129" s="795"/>
      <c r="G129" s="798"/>
    </row>
    <row r="130" spans="1:7" s="165" customFormat="1">
      <c r="A130" s="163"/>
      <c r="B130" s="1130"/>
      <c r="C130" s="824" t="s">
        <v>1335</v>
      </c>
      <c r="D130" s="825" t="s">
        <v>335</v>
      </c>
      <c r="E130" s="826">
        <v>1</v>
      </c>
      <c r="F130" s="827">
        <v>300000</v>
      </c>
      <c r="G130" s="828">
        <f>F130*E130</f>
        <v>300000</v>
      </c>
    </row>
    <row r="131" spans="1:7" s="148" customFormat="1">
      <c r="A131" s="149"/>
      <c r="B131" s="1124"/>
      <c r="C131" s="1126"/>
      <c r="D131" s="810"/>
      <c r="E131" s="810"/>
      <c r="F131" s="811"/>
      <c r="G131" s="812"/>
    </row>
    <row r="132" spans="1:7" s="148" customFormat="1" ht="25.5">
      <c r="A132" s="149"/>
      <c r="B132" s="1120" t="s">
        <v>1311</v>
      </c>
      <c r="C132" s="808" t="s">
        <v>1336</v>
      </c>
      <c r="D132" s="810"/>
      <c r="E132" s="810"/>
      <c r="F132" s="811"/>
      <c r="G132" s="812"/>
    </row>
    <row r="133" spans="1:7" s="148" customFormat="1">
      <c r="A133" s="149"/>
      <c r="B133" s="1120"/>
      <c r="C133" s="793"/>
      <c r="D133" s="810"/>
      <c r="E133" s="810"/>
      <c r="F133" s="811"/>
      <c r="G133" s="812"/>
    </row>
    <row r="134" spans="1:7" s="148" customFormat="1">
      <c r="A134" s="149"/>
      <c r="B134" s="1123"/>
      <c r="C134" s="671" t="s">
        <v>1077</v>
      </c>
      <c r="D134" s="810"/>
      <c r="E134" s="810"/>
      <c r="F134" s="811"/>
      <c r="G134" s="812"/>
    </row>
    <row r="135" spans="1:7" s="148" customFormat="1">
      <c r="A135" s="149"/>
      <c r="B135" s="1120"/>
      <c r="C135" s="797"/>
      <c r="D135" s="810"/>
      <c r="E135" s="810"/>
      <c r="F135" s="811"/>
      <c r="G135" s="812"/>
    </row>
    <row r="136" spans="1:7" s="148" customFormat="1">
      <c r="A136" s="149"/>
      <c r="B136" s="1120" t="s">
        <v>815</v>
      </c>
      <c r="C136" s="793" t="s">
        <v>1313</v>
      </c>
      <c r="D136" s="810"/>
      <c r="E136" s="810"/>
      <c r="F136" s="811"/>
      <c r="G136" s="812"/>
    </row>
    <row r="137" spans="1:7">
      <c r="A137" s="28"/>
      <c r="B137" s="1120"/>
      <c r="C137" s="797"/>
      <c r="D137" s="794"/>
      <c r="E137" s="794"/>
      <c r="F137" s="795"/>
      <c r="G137" s="798"/>
    </row>
    <row r="138" spans="1:7">
      <c r="A138" s="28"/>
      <c r="B138" s="1120" t="s">
        <v>1314</v>
      </c>
      <c r="C138" s="1125" t="s">
        <v>1079</v>
      </c>
      <c r="D138" s="794"/>
      <c r="E138" s="794"/>
      <c r="F138" s="795"/>
      <c r="G138" s="798"/>
    </row>
    <row r="139" spans="1:7">
      <c r="A139" s="28"/>
      <c r="B139" s="1120" t="s">
        <v>1114</v>
      </c>
      <c r="C139" s="1125"/>
      <c r="D139" s="794"/>
      <c r="E139" s="794"/>
      <c r="F139" s="795"/>
      <c r="G139" s="798"/>
    </row>
    <row r="140" spans="1:7">
      <c r="A140" s="28"/>
      <c r="B140" s="1120"/>
      <c r="C140" s="1125"/>
      <c r="D140" s="794"/>
      <c r="E140" s="794"/>
      <c r="F140" s="795"/>
      <c r="G140" s="798"/>
    </row>
    <row r="141" spans="1:7" ht="38.25">
      <c r="A141" s="28"/>
      <c r="B141" s="1120"/>
      <c r="C141" s="1125" t="s">
        <v>1315</v>
      </c>
      <c r="D141" s="794" t="s">
        <v>335</v>
      </c>
      <c r="E141" s="794">
        <v>1</v>
      </c>
      <c r="F141" s="795">
        <v>100000</v>
      </c>
      <c r="G141" s="798">
        <f>F141*E141</f>
        <v>100000</v>
      </c>
    </row>
    <row r="142" spans="1:7" s="148" customFormat="1">
      <c r="A142" s="149"/>
      <c r="B142" s="1124"/>
      <c r="C142" s="1126"/>
      <c r="D142" s="810"/>
      <c r="E142" s="810"/>
      <c r="F142" s="811"/>
      <c r="G142" s="812"/>
    </row>
    <row r="143" spans="1:7" ht="38.25">
      <c r="A143" s="28"/>
      <c r="B143" s="1120"/>
      <c r="C143" s="1125" t="s">
        <v>1337</v>
      </c>
      <c r="D143" s="155" t="s">
        <v>1319</v>
      </c>
      <c r="E143" s="794">
        <v>2</v>
      </c>
      <c r="F143" s="795">
        <v>90000</v>
      </c>
      <c r="G143" s="798">
        <f>F143*E143</f>
        <v>180000</v>
      </c>
    </row>
    <row r="144" spans="1:7" s="148" customFormat="1">
      <c r="A144" s="149"/>
      <c r="B144" s="1124"/>
      <c r="C144" s="1126"/>
      <c r="D144" s="816"/>
      <c r="E144" s="810"/>
      <c r="F144" s="811"/>
      <c r="G144" s="812"/>
    </row>
    <row r="145" spans="1:7">
      <c r="A145" s="28"/>
      <c r="B145" s="1120"/>
      <c r="C145" s="1125" t="s">
        <v>1338</v>
      </c>
      <c r="D145" s="155" t="s">
        <v>1319</v>
      </c>
      <c r="E145" s="794">
        <v>1</v>
      </c>
      <c r="F145" s="795">
        <v>80000</v>
      </c>
      <c r="G145" s="798">
        <f t="shared" ref="G145:G177" si="4">F145*E145</f>
        <v>80000</v>
      </c>
    </row>
    <row r="146" spans="1:7" s="148" customFormat="1">
      <c r="A146" s="149"/>
      <c r="B146" s="1124"/>
      <c r="C146" s="1126"/>
      <c r="D146" s="816"/>
      <c r="E146" s="810"/>
      <c r="F146" s="811"/>
      <c r="G146" s="812"/>
    </row>
    <row r="147" spans="1:7" s="148" customFormat="1">
      <c r="A147" s="149"/>
      <c r="B147" s="1124"/>
      <c r="C147" s="1125" t="s">
        <v>1339</v>
      </c>
      <c r="D147" s="155" t="s">
        <v>1319</v>
      </c>
      <c r="E147" s="794">
        <v>1</v>
      </c>
      <c r="F147" s="795">
        <v>50000</v>
      </c>
      <c r="G147" s="798">
        <f t="shared" ref="G147" si="5">F147*E147</f>
        <v>50000</v>
      </c>
    </row>
    <row r="148" spans="1:7" s="148" customFormat="1">
      <c r="A148" s="149"/>
      <c r="B148" s="1124"/>
      <c r="C148" s="1126"/>
      <c r="D148" s="816"/>
      <c r="E148" s="810"/>
      <c r="F148" s="811"/>
      <c r="G148" s="812"/>
    </row>
    <row r="149" spans="1:7">
      <c r="A149" s="28"/>
      <c r="B149" s="1120"/>
      <c r="C149" s="1125" t="s">
        <v>1322</v>
      </c>
      <c r="D149" s="155"/>
      <c r="E149" s="813"/>
      <c r="F149" s="795"/>
      <c r="G149" s="798"/>
    </row>
    <row r="150" spans="1:7">
      <c r="A150" s="28"/>
      <c r="B150" s="1120"/>
      <c r="C150" s="1125"/>
      <c r="D150" s="155"/>
      <c r="E150" s="813"/>
      <c r="F150" s="795"/>
      <c r="G150" s="798"/>
    </row>
    <row r="151" spans="1:7">
      <c r="A151" s="28"/>
      <c r="B151" s="1120"/>
      <c r="C151" s="1125" t="s">
        <v>1340</v>
      </c>
      <c r="D151" s="155" t="s">
        <v>1319</v>
      </c>
      <c r="E151" s="813">
        <v>2</v>
      </c>
      <c r="F151" s="795">
        <v>125000</v>
      </c>
      <c r="G151" s="798">
        <f t="shared" si="4"/>
        <v>250000</v>
      </c>
    </row>
    <row r="152" spans="1:7">
      <c r="A152" s="28"/>
      <c r="B152" s="1120"/>
      <c r="C152" s="1125"/>
      <c r="D152" s="155"/>
      <c r="E152" s="813"/>
      <c r="F152" s="795"/>
      <c r="G152" s="798"/>
    </row>
    <row r="153" spans="1:7">
      <c r="A153" s="28"/>
      <c r="B153" s="1120"/>
      <c r="C153" s="1125"/>
      <c r="D153" s="155"/>
      <c r="E153" s="813"/>
      <c r="F153" s="795"/>
      <c r="G153" s="798"/>
    </row>
    <row r="154" spans="1:7">
      <c r="A154" s="28"/>
      <c r="B154" s="1120"/>
      <c r="C154" s="1125"/>
      <c r="D154" s="155"/>
      <c r="E154" s="813"/>
      <c r="F154" s="795"/>
      <c r="G154" s="798"/>
    </row>
    <row r="155" spans="1:7">
      <c r="A155" s="127"/>
      <c r="B155" s="128"/>
      <c r="C155" s="129"/>
      <c r="D155" s="130"/>
      <c r="E155" s="131"/>
      <c r="F155" s="132"/>
      <c r="G155" s="133"/>
    </row>
    <row r="156" spans="1:7">
      <c r="A156" s="134"/>
      <c r="B156" s="135"/>
      <c r="C156" s="31" t="s">
        <v>96</v>
      </c>
      <c r="D156" s="136"/>
      <c r="E156" s="137"/>
      <c r="F156" s="138"/>
      <c r="G156" s="32">
        <f>SUM(G106:G154)</f>
        <v>3785543</v>
      </c>
    </row>
    <row r="157" spans="1:7">
      <c r="A157" s="139"/>
      <c r="B157" s="139"/>
      <c r="C157" s="33" t="s">
        <v>220</v>
      </c>
      <c r="D157" s="802"/>
      <c r="E157" s="803"/>
      <c r="F157" s="804"/>
      <c r="G157" s="805">
        <f>G156</f>
        <v>3785543</v>
      </c>
    </row>
    <row r="158" spans="1:7">
      <c r="A158" s="28"/>
      <c r="B158" s="1120"/>
      <c r="C158" s="1125"/>
      <c r="D158" s="155"/>
      <c r="E158" s="813"/>
      <c r="F158" s="795"/>
      <c r="G158" s="798"/>
    </row>
    <row r="159" spans="1:7">
      <c r="A159" s="28"/>
      <c r="B159" s="1120"/>
      <c r="C159" s="1125" t="s">
        <v>1324</v>
      </c>
      <c r="D159" s="155"/>
      <c r="E159" s="813"/>
      <c r="F159" s="795"/>
      <c r="G159" s="798"/>
    </row>
    <row r="160" spans="1:7">
      <c r="A160" s="28"/>
      <c r="B160" s="1120"/>
      <c r="C160" s="1125"/>
      <c r="D160" s="155"/>
      <c r="E160" s="813"/>
      <c r="F160" s="795"/>
      <c r="G160" s="798"/>
    </row>
    <row r="161" spans="1:8">
      <c r="A161" s="28"/>
      <c r="B161" s="1120"/>
      <c r="C161" s="1125" t="s">
        <v>1341</v>
      </c>
      <c r="D161" s="155" t="s">
        <v>1319</v>
      </c>
      <c r="E161" s="813">
        <v>4</v>
      </c>
      <c r="F161" s="795">
        <v>75000</v>
      </c>
      <c r="G161" s="798">
        <f t="shared" si="4"/>
        <v>300000</v>
      </c>
    </row>
    <row r="162" spans="1:8">
      <c r="A162" s="28"/>
      <c r="B162" s="1120"/>
      <c r="C162" s="1125"/>
      <c r="D162" s="155"/>
      <c r="E162" s="794"/>
      <c r="F162" s="795"/>
      <c r="G162" s="798"/>
    </row>
    <row r="163" spans="1:8">
      <c r="A163" s="28"/>
      <c r="B163" s="1120"/>
      <c r="C163" s="1125" t="s">
        <v>1342</v>
      </c>
      <c r="D163" s="155"/>
      <c r="E163" s="794"/>
      <c r="F163" s="795"/>
      <c r="G163" s="798"/>
    </row>
    <row r="164" spans="1:8">
      <c r="A164" s="28"/>
      <c r="B164" s="1120"/>
      <c r="C164" s="1125"/>
      <c r="D164" s="155"/>
      <c r="E164" s="794"/>
      <c r="F164" s="795"/>
      <c r="G164" s="798"/>
    </row>
    <row r="165" spans="1:8" ht="25.5">
      <c r="A165" s="28"/>
      <c r="B165" s="1120"/>
      <c r="C165" s="1125" t="s">
        <v>1343</v>
      </c>
      <c r="D165" s="155" t="s">
        <v>1319</v>
      </c>
      <c r="E165" s="794">
        <v>2</v>
      </c>
      <c r="F165" s="795">
        <v>110000</v>
      </c>
      <c r="G165" s="798">
        <f t="shared" si="4"/>
        <v>220000</v>
      </c>
      <c r="H165" s="26" t="s">
        <v>1344</v>
      </c>
    </row>
    <row r="166" spans="1:8">
      <c r="A166" s="28"/>
      <c r="B166" s="1120"/>
      <c r="C166" s="1125"/>
      <c r="D166" s="155"/>
      <c r="E166" s="794"/>
      <c r="F166" s="795"/>
      <c r="G166" s="798"/>
    </row>
    <row r="167" spans="1:8">
      <c r="A167" s="28"/>
      <c r="B167" s="1120"/>
      <c r="C167" s="1125" t="s">
        <v>1345</v>
      </c>
      <c r="D167" s="155"/>
      <c r="E167" s="794"/>
      <c r="F167" s="795"/>
      <c r="G167" s="798"/>
    </row>
    <row r="168" spans="1:8">
      <c r="A168" s="28"/>
      <c r="B168" s="1120"/>
      <c r="C168" s="1125"/>
      <c r="D168" s="155"/>
      <c r="E168" s="794"/>
      <c r="F168" s="795"/>
      <c r="G168" s="798"/>
    </row>
    <row r="169" spans="1:8" ht="25.5">
      <c r="A169" s="28"/>
      <c r="B169" s="1120"/>
      <c r="C169" s="1125" t="s">
        <v>1346</v>
      </c>
      <c r="D169" s="155" t="s">
        <v>1319</v>
      </c>
      <c r="E169" s="794">
        <v>2</v>
      </c>
      <c r="F169" s="795">
        <v>100000</v>
      </c>
      <c r="G169" s="798">
        <f t="shared" si="4"/>
        <v>200000</v>
      </c>
    </row>
    <row r="170" spans="1:8">
      <c r="A170" s="28"/>
      <c r="B170" s="1120"/>
      <c r="C170" s="1125"/>
      <c r="D170" s="155"/>
      <c r="E170" s="794"/>
      <c r="F170" s="795"/>
      <c r="G170" s="798"/>
    </row>
    <row r="171" spans="1:8">
      <c r="A171" s="28"/>
      <c r="B171" s="1120"/>
      <c r="C171" s="1125" t="s">
        <v>1329</v>
      </c>
      <c r="D171" s="155"/>
      <c r="E171" s="813"/>
      <c r="F171" s="795"/>
      <c r="G171" s="798"/>
    </row>
    <row r="172" spans="1:8">
      <c r="A172" s="28"/>
      <c r="B172" s="1120"/>
      <c r="C172" s="1125"/>
      <c r="D172" s="155"/>
      <c r="E172" s="813"/>
      <c r="F172" s="795"/>
      <c r="G172" s="798"/>
    </row>
    <row r="173" spans="1:8">
      <c r="A173" s="28"/>
      <c r="B173" s="1120"/>
      <c r="C173" s="1125" t="s">
        <v>1347</v>
      </c>
      <c r="D173" s="155" t="s">
        <v>1319</v>
      </c>
      <c r="E173" s="813">
        <v>2</v>
      </c>
      <c r="F173" s="795">
        <v>350000</v>
      </c>
      <c r="G173" s="798">
        <f t="shared" si="4"/>
        <v>700000</v>
      </c>
    </row>
    <row r="174" spans="1:8" s="151" customFormat="1">
      <c r="A174" s="150"/>
      <c r="B174" s="1128"/>
      <c r="C174" s="1129"/>
      <c r="D174" s="818"/>
      <c r="E174" s="829"/>
      <c r="F174" s="819"/>
      <c r="G174" s="820"/>
    </row>
    <row r="175" spans="1:8">
      <c r="A175" s="28"/>
      <c r="B175" s="1120"/>
      <c r="C175" s="1125" t="s">
        <v>166</v>
      </c>
      <c r="D175" s="813"/>
      <c r="E175" s="813"/>
      <c r="F175" s="795"/>
      <c r="G175" s="798"/>
    </row>
    <row r="176" spans="1:8">
      <c r="A176" s="28"/>
      <c r="B176" s="1120"/>
      <c r="C176" s="1125"/>
      <c r="D176" s="813"/>
      <c r="E176" s="813"/>
      <c r="F176" s="795"/>
      <c r="G176" s="798"/>
    </row>
    <row r="177" spans="1:8">
      <c r="A177" s="28"/>
      <c r="B177" s="1120"/>
      <c r="C177" s="1125" t="s">
        <v>1348</v>
      </c>
      <c r="D177" s="813" t="s">
        <v>1319</v>
      </c>
      <c r="E177" s="794">
        <v>2</v>
      </c>
      <c r="F177" s="795">
        <v>3000</v>
      </c>
      <c r="G177" s="798">
        <f t="shared" si="4"/>
        <v>6000</v>
      </c>
    </row>
    <row r="178" spans="1:8">
      <c r="A178" s="28"/>
      <c r="B178" s="1120"/>
      <c r="C178" s="1125"/>
      <c r="D178" s="145"/>
      <c r="E178" s="794"/>
      <c r="F178" s="795"/>
      <c r="G178" s="798"/>
    </row>
    <row r="179" spans="1:8">
      <c r="A179" s="28"/>
      <c r="B179" s="1120"/>
      <c r="C179" s="1125" t="s">
        <v>1349</v>
      </c>
      <c r="D179" s="813" t="s">
        <v>1319</v>
      </c>
      <c r="E179" s="794">
        <v>2</v>
      </c>
      <c r="F179" s="795">
        <v>6000</v>
      </c>
      <c r="G179" s="798">
        <f t="shared" ref="G179" si="6">F179*E179</f>
        <v>12000</v>
      </c>
    </row>
    <row r="180" spans="1:8">
      <c r="A180" s="28"/>
      <c r="B180" s="1120"/>
      <c r="C180" s="1125"/>
      <c r="D180" s="794"/>
      <c r="E180" s="794"/>
      <c r="F180" s="795"/>
      <c r="G180" s="798"/>
    </row>
    <row r="181" spans="1:8">
      <c r="A181" s="28"/>
      <c r="B181" s="1120"/>
      <c r="C181" s="1125" t="s">
        <v>107</v>
      </c>
      <c r="D181" s="813"/>
      <c r="E181" s="813"/>
      <c r="F181" s="795"/>
      <c r="G181" s="798"/>
    </row>
    <row r="182" spans="1:8">
      <c r="A182" s="28"/>
      <c r="B182" s="1120"/>
      <c r="C182" s="1125"/>
      <c r="D182" s="813"/>
      <c r="E182" s="813"/>
      <c r="F182" s="795"/>
      <c r="G182" s="798"/>
    </row>
    <row r="183" spans="1:8">
      <c r="A183" s="28"/>
      <c r="B183" s="1120"/>
      <c r="C183" s="1125" t="s">
        <v>1350</v>
      </c>
      <c r="D183" s="794" t="s">
        <v>1319</v>
      </c>
      <c r="E183" s="794">
        <v>2</v>
      </c>
      <c r="F183" s="795">
        <v>25000</v>
      </c>
      <c r="G183" s="798">
        <f t="shared" ref="G183" si="7">F183*E183</f>
        <v>50000</v>
      </c>
    </row>
    <row r="184" spans="1:8">
      <c r="A184" s="28"/>
      <c r="B184" s="1120"/>
      <c r="C184" s="1125"/>
      <c r="D184" s="794"/>
      <c r="E184" s="794"/>
      <c r="F184" s="795"/>
      <c r="G184" s="798"/>
    </row>
    <row r="185" spans="1:8">
      <c r="A185" s="28"/>
      <c r="B185" s="1120"/>
      <c r="C185" s="1125" t="s">
        <v>1351</v>
      </c>
      <c r="D185" s="794"/>
      <c r="E185" s="794"/>
      <c r="F185" s="795"/>
      <c r="G185" s="798"/>
    </row>
    <row r="186" spans="1:8">
      <c r="A186" s="28"/>
      <c r="B186" s="1120"/>
      <c r="C186" s="1125"/>
      <c r="D186" s="794"/>
      <c r="E186" s="794"/>
      <c r="F186" s="795"/>
      <c r="G186" s="798"/>
    </row>
    <row r="187" spans="1:8">
      <c r="A187" s="28"/>
      <c r="B187" s="1120"/>
      <c r="C187" s="1125" t="s">
        <v>1352</v>
      </c>
      <c r="D187" s="794" t="s">
        <v>1319</v>
      </c>
      <c r="E187" s="794">
        <v>2</v>
      </c>
      <c r="F187" s="795">
        <v>455000</v>
      </c>
      <c r="G187" s="798">
        <f t="shared" ref="G187" si="8">F187*E187</f>
        <v>910000</v>
      </c>
      <c r="H187" s="148" t="s">
        <v>1353</v>
      </c>
    </row>
    <row r="188" spans="1:8">
      <c r="A188" s="28"/>
      <c r="B188" s="1120"/>
      <c r="C188" s="1125"/>
      <c r="D188" s="794"/>
      <c r="E188" s="794"/>
      <c r="F188" s="795"/>
      <c r="G188" s="798"/>
      <c r="H188" s="148"/>
    </row>
    <row r="189" spans="1:8">
      <c r="A189" s="28"/>
      <c r="B189" s="1120"/>
      <c r="C189" s="823" t="s">
        <v>1334</v>
      </c>
      <c r="D189" s="155"/>
      <c r="E189" s="813"/>
      <c r="F189" s="795"/>
      <c r="G189" s="798"/>
      <c r="H189" s="148"/>
    </row>
    <row r="190" spans="1:8">
      <c r="A190" s="28"/>
      <c r="B190" s="1120"/>
      <c r="C190" s="823"/>
      <c r="D190" s="155"/>
      <c r="E190" s="813"/>
      <c r="F190" s="795"/>
      <c r="G190" s="798"/>
      <c r="H190" s="148"/>
    </row>
    <row r="191" spans="1:8" s="165" customFormat="1">
      <c r="A191" s="163"/>
      <c r="B191" s="1130"/>
      <c r="C191" s="824" t="s">
        <v>1335</v>
      </c>
      <c r="D191" s="825" t="s">
        <v>335</v>
      </c>
      <c r="E191" s="826">
        <v>1</v>
      </c>
      <c r="F191" s="827">
        <v>300000</v>
      </c>
      <c r="G191" s="828">
        <f>F191*E191</f>
        <v>300000</v>
      </c>
      <c r="H191" s="164"/>
    </row>
    <row r="192" spans="1:8">
      <c r="A192" s="28"/>
      <c r="B192" s="1120"/>
      <c r="C192" s="1125"/>
      <c r="D192" s="794"/>
      <c r="E192" s="794"/>
      <c r="F192" s="795"/>
      <c r="G192" s="798"/>
    </row>
    <row r="193" spans="1:7" ht="25.5">
      <c r="A193" s="28"/>
      <c r="B193" s="1120" t="s">
        <v>1311</v>
      </c>
      <c r="C193" s="808" t="s">
        <v>1354</v>
      </c>
      <c r="D193" s="794"/>
      <c r="E193" s="794"/>
      <c r="F193" s="795"/>
      <c r="G193" s="798"/>
    </row>
    <row r="194" spans="1:7">
      <c r="A194" s="28"/>
      <c r="B194" s="1120"/>
      <c r="C194" s="793"/>
      <c r="D194" s="794"/>
      <c r="E194" s="794"/>
      <c r="F194" s="795"/>
      <c r="G194" s="798"/>
    </row>
    <row r="195" spans="1:7">
      <c r="A195" s="28"/>
      <c r="B195" s="1123"/>
      <c r="C195" s="671" t="s">
        <v>1077</v>
      </c>
      <c r="D195" s="794"/>
      <c r="E195" s="794"/>
      <c r="F195" s="795"/>
      <c r="G195" s="798"/>
    </row>
    <row r="196" spans="1:7">
      <c r="A196" s="28"/>
      <c r="B196" s="1120"/>
      <c r="C196" s="797"/>
      <c r="D196" s="794"/>
      <c r="E196" s="794"/>
      <c r="F196" s="795"/>
      <c r="G196" s="798"/>
    </row>
    <row r="197" spans="1:7">
      <c r="A197" s="28"/>
      <c r="B197" s="1120" t="s">
        <v>815</v>
      </c>
      <c r="C197" s="793" t="s">
        <v>1313</v>
      </c>
      <c r="D197" s="794"/>
      <c r="E197" s="794"/>
      <c r="F197" s="795"/>
      <c r="G197" s="798"/>
    </row>
    <row r="198" spans="1:7">
      <c r="A198" s="28"/>
      <c r="B198" s="1120"/>
      <c r="C198" s="1125"/>
      <c r="D198" s="794"/>
      <c r="E198" s="794"/>
      <c r="F198" s="795"/>
      <c r="G198" s="798"/>
    </row>
    <row r="199" spans="1:7">
      <c r="A199" s="28"/>
      <c r="B199" s="1120"/>
      <c r="C199" s="1125" t="s">
        <v>1355</v>
      </c>
      <c r="D199" s="794" t="s">
        <v>1319</v>
      </c>
      <c r="E199" s="794">
        <v>7</v>
      </c>
      <c r="F199" s="795">
        <v>9000</v>
      </c>
      <c r="G199" s="798">
        <f t="shared" ref="G199" si="9">F199*E199</f>
        <v>63000</v>
      </c>
    </row>
    <row r="200" spans="1:7">
      <c r="A200" s="28"/>
      <c r="B200" s="1120"/>
      <c r="C200" s="1125"/>
      <c r="D200" s="794"/>
      <c r="E200" s="794"/>
      <c r="F200" s="795"/>
      <c r="G200" s="798"/>
    </row>
    <row r="201" spans="1:7">
      <c r="A201" s="28"/>
      <c r="B201" s="1120"/>
      <c r="C201" s="1125" t="s">
        <v>1356</v>
      </c>
      <c r="D201" s="155"/>
      <c r="E201" s="813"/>
      <c r="F201" s="795"/>
      <c r="G201" s="798"/>
    </row>
    <row r="202" spans="1:7">
      <c r="A202" s="28"/>
      <c r="B202" s="1120"/>
      <c r="C202" s="1125"/>
      <c r="D202" s="155"/>
      <c r="E202" s="813"/>
      <c r="F202" s="795"/>
      <c r="G202" s="798"/>
    </row>
    <row r="203" spans="1:7">
      <c r="A203" s="28"/>
      <c r="B203" s="1120"/>
      <c r="C203" s="1125" t="s">
        <v>1357</v>
      </c>
      <c r="D203" s="155" t="s">
        <v>1319</v>
      </c>
      <c r="E203" s="813">
        <v>18</v>
      </c>
      <c r="F203" s="795">
        <v>500</v>
      </c>
      <c r="G203" s="798">
        <f t="shared" ref="G203" si="10">F203*E203</f>
        <v>9000</v>
      </c>
    </row>
    <row r="204" spans="1:7">
      <c r="A204" s="28"/>
      <c r="B204" s="1120"/>
      <c r="C204" s="1125"/>
      <c r="D204" s="794"/>
      <c r="E204" s="794"/>
      <c r="F204" s="795"/>
      <c r="G204" s="798"/>
    </row>
    <row r="205" spans="1:7">
      <c r="A205" s="28"/>
      <c r="B205" s="1120"/>
      <c r="C205" s="1125" t="s">
        <v>166</v>
      </c>
      <c r="D205" s="813"/>
      <c r="E205" s="813"/>
      <c r="F205" s="795"/>
      <c r="G205" s="798"/>
    </row>
    <row r="206" spans="1:7">
      <c r="A206" s="28"/>
      <c r="B206" s="1120"/>
      <c r="C206" s="1125"/>
      <c r="D206" s="813"/>
      <c r="E206" s="813"/>
      <c r="F206" s="795"/>
      <c r="G206" s="798"/>
    </row>
    <row r="207" spans="1:7">
      <c r="A207" s="28"/>
      <c r="B207" s="1120"/>
      <c r="C207" s="1125"/>
      <c r="D207" s="813"/>
      <c r="E207" s="145"/>
      <c r="F207" s="795"/>
      <c r="G207" s="798"/>
    </row>
    <row r="208" spans="1:7">
      <c r="A208" s="28"/>
      <c r="B208" s="1120"/>
      <c r="C208" s="1125"/>
      <c r="D208" s="813"/>
      <c r="E208" s="145"/>
      <c r="F208" s="795"/>
      <c r="G208" s="798"/>
    </row>
    <row r="209" spans="1:7">
      <c r="A209" s="127"/>
      <c r="B209" s="128"/>
      <c r="C209" s="129"/>
      <c r="D209" s="130"/>
      <c r="E209" s="131"/>
      <c r="F209" s="132"/>
      <c r="G209" s="133"/>
    </row>
    <row r="210" spans="1:7">
      <c r="A210" s="134"/>
      <c r="B210" s="135"/>
      <c r="C210" s="31" t="s">
        <v>96</v>
      </c>
      <c r="D210" s="136"/>
      <c r="E210" s="137"/>
      <c r="F210" s="138"/>
      <c r="G210" s="32">
        <f>SUM(G157:G208)</f>
        <v>6555543</v>
      </c>
    </row>
    <row r="211" spans="1:7">
      <c r="A211" s="139"/>
      <c r="B211" s="139"/>
      <c r="C211" s="33" t="s">
        <v>220</v>
      </c>
      <c r="D211" s="802"/>
      <c r="E211" s="803"/>
      <c r="F211" s="804"/>
      <c r="G211" s="805">
        <f>G210</f>
        <v>6555543</v>
      </c>
    </row>
    <row r="212" spans="1:7">
      <c r="A212" s="28"/>
      <c r="B212" s="1120"/>
      <c r="C212" s="1125"/>
      <c r="D212" s="813"/>
      <c r="E212" s="145"/>
      <c r="F212" s="795"/>
      <c r="G212" s="798"/>
    </row>
    <row r="213" spans="1:7">
      <c r="A213" s="28"/>
      <c r="B213" s="1120"/>
      <c r="C213" s="1125" t="s">
        <v>1348</v>
      </c>
      <c r="D213" s="813" t="s">
        <v>1319</v>
      </c>
      <c r="E213" s="794">
        <v>2</v>
      </c>
      <c r="F213" s="795">
        <v>3000</v>
      </c>
      <c r="G213" s="798">
        <f>F213*E213</f>
        <v>6000</v>
      </c>
    </row>
    <row r="214" spans="1:7">
      <c r="A214" s="28"/>
      <c r="B214" s="1120"/>
      <c r="C214" s="1125"/>
      <c r="D214" s="145"/>
      <c r="E214" s="794"/>
      <c r="F214" s="795"/>
      <c r="G214" s="798"/>
    </row>
    <row r="215" spans="1:7">
      <c r="A215" s="28"/>
      <c r="B215" s="1120"/>
      <c r="C215" s="823" t="s">
        <v>1334</v>
      </c>
      <c r="D215" s="155"/>
      <c r="E215" s="813"/>
      <c r="F215" s="795"/>
      <c r="G215" s="798"/>
    </row>
    <row r="216" spans="1:7">
      <c r="A216" s="28"/>
      <c r="B216" s="1120"/>
      <c r="C216" s="823"/>
      <c r="D216" s="155"/>
      <c r="E216" s="813"/>
      <c r="F216" s="795"/>
      <c r="G216" s="798"/>
    </row>
    <row r="217" spans="1:7" s="165" customFormat="1">
      <c r="A217" s="163"/>
      <c r="B217" s="1130"/>
      <c r="C217" s="824" t="s">
        <v>1358</v>
      </c>
      <c r="D217" s="825" t="s">
        <v>335</v>
      </c>
      <c r="E217" s="826">
        <v>1</v>
      </c>
      <c r="F217" s="827">
        <v>25000</v>
      </c>
      <c r="G217" s="828">
        <f>F217*E217</f>
        <v>25000</v>
      </c>
    </row>
    <row r="218" spans="1:7">
      <c r="A218" s="28"/>
      <c r="B218" s="1120"/>
      <c r="C218" s="1125"/>
      <c r="D218" s="794"/>
      <c r="E218" s="794"/>
      <c r="F218" s="795"/>
      <c r="G218" s="798"/>
    </row>
    <row r="219" spans="1:7" ht="25.5">
      <c r="A219" s="28"/>
      <c r="B219" s="1120" t="s">
        <v>1311</v>
      </c>
      <c r="C219" s="1131" t="s">
        <v>225</v>
      </c>
      <c r="D219" s="794"/>
      <c r="E219" s="794"/>
      <c r="F219" s="795"/>
      <c r="G219" s="798"/>
    </row>
    <row r="220" spans="1:7">
      <c r="A220" s="28"/>
      <c r="B220" s="1120"/>
      <c r="C220" s="1125"/>
      <c r="D220" s="794"/>
      <c r="E220" s="794"/>
      <c r="F220" s="795"/>
      <c r="G220" s="798"/>
    </row>
    <row r="221" spans="1:7">
      <c r="A221" s="28"/>
      <c r="B221" s="1123"/>
      <c r="C221" s="671" t="s">
        <v>1077</v>
      </c>
      <c r="D221" s="794"/>
      <c r="E221" s="794"/>
      <c r="F221" s="795"/>
      <c r="G221" s="798"/>
    </row>
    <row r="222" spans="1:7">
      <c r="A222" s="28"/>
      <c r="B222" s="1120"/>
      <c r="C222" s="797"/>
      <c r="D222" s="794"/>
      <c r="E222" s="794"/>
      <c r="F222" s="795"/>
      <c r="G222" s="798"/>
    </row>
    <row r="223" spans="1:7">
      <c r="A223" s="28"/>
      <c r="B223" s="1120" t="s">
        <v>815</v>
      </c>
      <c r="C223" s="793" t="s">
        <v>1313</v>
      </c>
      <c r="D223" s="794"/>
      <c r="E223" s="794"/>
      <c r="F223" s="795"/>
      <c r="G223" s="798"/>
    </row>
    <row r="224" spans="1:7">
      <c r="A224" s="28"/>
      <c r="B224" s="1120"/>
      <c r="C224" s="797"/>
      <c r="D224" s="794"/>
      <c r="E224" s="794"/>
      <c r="F224" s="795"/>
      <c r="G224" s="798"/>
    </row>
    <row r="225" spans="1:7">
      <c r="A225" s="28"/>
      <c r="B225" s="1120" t="s">
        <v>1314</v>
      </c>
      <c r="C225" s="1125" t="s">
        <v>1079</v>
      </c>
      <c r="D225" s="794"/>
      <c r="E225" s="794"/>
      <c r="F225" s="795"/>
      <c r="G225" s="798"/>
    </row>
    <row r="226" spans="1:7">
      <c r="A226" s="28"/>
      <c r="B226" s="1120" t="s">
        <v>1114</v>
      </c>
      <c r="C226" s="1125"/>
      <c r="D226" s="794"/>
      <c r="E226" s="794"/>
      <c r="F226" s="795"/>
      <c r="G226" s="798"/>
    </row>
    <row r="227" spans="1:7">
      <c r="A227" s="28"/>
      <c r="B227" s="1120"/>
      <c r="C227" s="1125"/>
      <c r="D227" s="794"/>
      <c r="E227" s="794"/>
      <c r="F227" s="795"/>
      <c r="G227" s="798"/>
    </row>
    <row r="228" spans="1:7" ht="38.25">
      <c r="A228" s="28"/>
      <c r="B228" s="1120"/>
      <c r="C228" s="1125" t="s">
        <v>1315</v>
      </c>
      <c r="D228" s="794" t="s">
        <v>335</v>
      </c>
      <c r="E228" s="794">
        <v>1</v>
      </c>
      <c r="F228" s="795">
        <v>50000</v>
      </c>
      <c r="G228" s="798">
        <f>F228*E228</f>
        <v>50000</v>
      </c>
    </row>
    <row r="229" spans="1:7" s="148" customFormat="1">
      <c r="A229" s="149"/>
      <c r="B229" s="1124"/>
      <c r="C229" s="1126"/>
      <c r="D229" s="810"/>
      <c r="E229" s="810"/>
      <c r="F229" s="811"/>
      <c r="G229" s="812"/>
    </row>
    <row r="230" spans="1:7" ht="38.25">
      <c r="A230" s="28"/>
      <c r="B230" s="1120"/>
      <c r="C230" s="1125" t="s">
        <v>1359</v>
      </c>
      <c r="D230" s="155" t="s">
        <v>1319</v>
      </c>
      <c r="E230" s="794">
        <v>2</v>
      </c>
      <c r="F230" s="795">
        <v>55000</v>
      </c>
      <c r="G230" s="798">
        <f t="shared" ref="G230:G232" si="11">F230*E230</f>
        <v>110000</v>
      </c>
    </row>
    <row r="231" spans="1:7">
      <c r="A231" s="28"/>
      <c r="B231" s="1120"/>
      <c r="C231" s="1125"/>
      <c r="D231" s="155"/>
      <c r="E231" s="794"/>
      <c r="F231" s="795"/>
      <c r="G231" s="798"/>
    </row>
    <row r="232" spans="1:7">
      <c r="A232" s="28"/>
      <c r="B232" s="1120"/>
      <c r="C232" s="1125" t="s">
        <v>1360</v>
      </c>
      <c r="D232" s="155" t="s">
        <v>1319</v>
      </c>
      <c r="E232" s="794">
        <v>1</v>
      </c>
      <c r="F232" s="795">
        <v>58000</v>
      </c>
      <c r="G232" s="798">
        <f t="shared" si="11"/>
        <v>58000</v>
      </c>
    </row>
    <row r="233" spans="1:7">
      <c r="A233" s="28"/>
      <c r="B233" s="1120"/>
      <c r="C233" s="1125"/>
      <c r="D233" s="794"/>
      <c r="E233" s="794"/>
      <c r="F233" s="795"/>
      <c r="G233" s="798"/>
    </row>
    <row r="234" spans="1:7">
      <c r="A234" s="28"/>
      <c r="B234" s="1120"/>
      <c r="C234" s="1125" t="s">
        <v>107</v>
      </c>
      <c r="D234" s="155"/>
      <c r="E234" s="813"/>
      <c r="F234" s="795"/>
      <c r="G234" s="798"/>
    </row>
    <row r="235" spans="1:7">
      <c r="A235" s="28"/>
      <c r="B235" s="1120"/>
      <c r="C235" s="1125"/>
      <c r="D235" s="155"/>
      <c r="E235" s="813"/>
      <c r="F235" s="795"/>
      <c r="G235" s="798"/>
    </row>
    <row r="236" spans="1:7">
      <c r="A236" s="28"/>
      <c r="B236" s="1120"/>
      <c r="C236" s="1125" t="s">
        <v>1361</v>
      </c>
      <c r="D236" s="794" t="s">
        <v>1319</v>
      </c>
      <c r="E236" s="794">
        <v>1</v>
      </c>
      <c r="F236" s="795">
        <v>20000</v>
      </c>
      <c r="G236" s="798">
        <f t="shared" ref="G236" si="12">F236*E236</f>
        <v>20000</v>
      </c>
    </row>
    <row r="237" spans="1:7">
      <c r="A237" s="28"/>
      <c r="B237" s="1120"/>
      <c r="C237" s="1125"/>
      <c r="D237" s="794"/>
      <c r="E237" s="794"/>
      <c r="F237" s="795"/>
      <c r="G237" s="798"/>
    </row>
    <row r="238" spans="1:7">
      <c r="A238" s="28"/>
      <c r="B238" s="1120"/>
      <c r="C238" s="823" t="s">
        <v>1334</v>
      </c>
      <c r="D238" s="155"/>
      <c r="E238" s="813"/>
      <c r="F238" s="795"/>
      <c r="G238" s="798"/>
    </row>
    <row r="239" spans="1:7">
      <c r="A239" s="28"/>
      <c r="B239" s="1120"/>
      <c r="C239" s="823"/>
      <c r="D239" s="155"/>
      <c r="E239" s="813"/>
      <c r="F239" s="795"/>
      <c r="G239" s="798"/>
    </row>
    <row r="240" spans="1:7" s="165" customFormat="1">
      <c r="A240" s="163"/>
      <c r="B240" s="1130"/>
      <c r="C240" s="824" t="s">
        <v>1358</v>
      </c>
      <c r="D240" s="825" t="s">
        <v>335</v>
      </c>
      <c r="E240" s="826">
        <v>1</v>
      </c>
      <c r="F240" s="827">
        <v>50000</v>
      </c>
      <c r="G240" s="828">
        <f>F240*E240</f>
        <v>50000</v>
      </c>
    </row>
    <row r="241" spans="1:7" s="148" customFormat="1">
      <c r="A241" s="149"/>
      <c r="B241" s="1124"/>
      <c r="C241" s="1126"/>
      <c r="D241" s="810"/>
      <c r="E241" s="810"/>
      <c r="F241" s="811"/>
      <c r="G241" s="812"/>
    </row>
    <row r="242" spans="1:7" ht="25.5">
      <c r="A242" s="28"/>
      <c r="B242" s="1120" t="s">
        <v>1311</v>
      </c>
      <c r="C242" s="808" t="s">
        <v>226</v>
      </c>
      <c r="D242" s="794"/>
      <c r="E242" s="794"/>
      <c r="F242" s="795"/>
      <c r="G242" s="798"/>
    </row>
    <row r="243" spans="1:7">
      <c r="A243" s="28"/>
      <c r="B243" s="1120"/>
      <c r="C243" s="793"/>
      <c r="D243" s="794"/>
      <c r="E243" s="794"/>
      <c r="F243" s="795"/>
      <c r="G243" s="798"/>
    </row>
    <row r="244" spans="1:7">
      <c r="A244" s="28"/>
      <c r="B244" s="1123"/>
      <c r="C244" s="671" t="s">
        <v>1077</v>
      </c>
      <c r="D244" s="794"/>
      <c r="E244" s="794"/>
      <c r="F244" s="795"/>
      <c r="G244" s="798"/>
    </row>
    <row r="245" spans="1:7">
      <c r="A245" s="28"/>
      <c r="B245" s="1120"/>
      <c r="C245" s="797"/>
      <c r="D245" s="794"/>
      <c r="E245" s="794"/>
      <c r="F245" s="795"/>
      <c r="G245" s="798"/>
    </row>
    <row r="246" spans="1:7">
      <c r="A246" s="28"/>
      <c r="B246" s="1120" t="s">
        <v>815</v>
      </c>
      <c r="C246" s="793" t="s">
        <v>1313</v>
      </c>
      <c r="D246" s="794"/>
      <c r="E246" s="794"/>
      <c r="F246" s="795"/>
      <c r="G246" s="798"/>
    </row>
    <row r="247" spans="1:7">
      <c r="A247" s="28"/>
      <c r="B247" s="1120"/>
      <c r="C247" s="797"/>
      <c r="D247" s="794"/>
      <c r="E247" s="794"/>
      <c r="F247" s="795"/>
      <c r="G247" s="798"/>
    </row>
    <row r="248" spans="1:7">
      <c r="A248" s="28"/>
      <c r="B248" s="1120" t="s">
        <v>1314</v>
      </c>
      <c r="C248" s="1125" t="s">
        <v>1079</v>
      </c>
      <c r="D248" s="794"/>
      <c r="E248" s="794"/>
      <c r="F248" s="795"/>
      <c r="G248" s="798"/>
    </row>
    <row r="249" spans="1:7">
      <c r="A249" s="28"/>
      <c r="B249" s="1120" t="s">
        <v>1114</v>
      </c>
      <c r="C249" s="1125"/>
      <c r="D249" s="794"/>
      <c r="E249" s="794"/>
      <c r="F249" s="795"/>
      <c r="G249" s="798"/>
    </row>
    <row r="250" spans="1:7">
      <c r="A250" s="28"/>
      <c r="B250" s="1120"/>
      <c r="C250" s="1125"/>
      <c r="D250" s="794"/>
      <c r="E250" s="794"/>
      <c r="F250" s="795"/>
      <c r="G250" s="798"/>
    </row>
    <row r="251" spans="1:7" ht="38.25">
      <c r="A251" s="28"/>
      <c r="B251" s="1120"/>
      <c r="C251" s="1125" t="s">
        <v>1315</v>
      </c>
      <c r="D251" s="794" t="s">
        <v>335</v>
      </c>
      <c r="E251" s="794">
        <v>1</v>
      </c>
      <c r="F251" s="795">
        <v>50000</v>
      </c>
      <c r="G251" s="798">
        <f>F251*E251</f>
        <v>50000</v>
      </c>
    </row>
    <row r="252" spans="1:7" s="148" customFormat="1">
      <c r="A252" s="149"/>
      <c r="B252" s="1124"/>
      <c r="C252" s="1126"/>
      <c r="D252" s="810"/>
      <c r="E252" s="810"/>
      <c r="F252" s="811"/>
      <c r="G252" s="812"/>
    </row>
    <row r="253" spans="1:7" ht="38.25">
      <c r="A253" s="28"/>
      <c r="B253" s="1120"/>
      <c r="C253" s="1125" t="s">
        <v>1362</v>
      </c>
      <c r="D253" s="155" t="s">
        <v>1319</v>
      </c>
      <c r="E253" s="794">
        <v>1</v>
      </c>
      <c r="F253" s="795">
        <v>85000</v>
      </c>
      <c r="G253" s="798">
        <f t="shared" ref="G253:G255" si="13">F253*E253</f>
        <v>85000</v>
      </c>
    </row>
    <row r="254" spans="1:7" s="148" customFormat="1">
      <c r="A254" s="149"/>
      <c r="B254" s="1124"/>
      <c r="C254" s="1126"/>
      <c r="D254" s="816"/>
      <c r="E254" s="810"/>
      <c r="F254" s="811"/>
      <c r="G254" s="812"/>
    </row>
    <row r="255" spans="1:7">
      <c r="A255" s="28"/>
      <c r="B255" s="1120"/>
      <c r="C255" s="1125" t="s">
        <v>1363</v>
      </c>
      <c r="D255" s="155" t="s">
        <v>1319</v>
      </c>
      <c r="E255" s="794">
        <v>1</v>
      </c>
      <c r="F255" s="795">
        <v>85000</v>
      </c>
      <c r="G255" s="798">
        <f t="shared" si="13"/>
        <v>85000</v>
      </c>
    </row>
    <row r="256" spans="1:7">
      <c r="A256" s="28"/>
      <c r="B256" s="1120"/>
      <c r="C256" s="1125"/>
      <c r="D256" s="794"/>
      <c r="E256" s="794"/>
      <c r="F256" s="795"/>
      <c r="G256" s="798"/>
    </row>
    <row r="257" spans="1:7">
      <c r="A257" s="127"/>
      <c r="B257" s="128"/>
      <c r="C257" s="129"/>
      <c r="D257" s="130"/>
      <c r="E257" s="131"/>
      <c r="F257" s="132"/>
      <c r="G257" s="133"/>
    </row>
    <row r="258" spans="1:7">
      <c r="A258" s="134"/>
      <c r="B258" s="135"/>
      <c r="C258" s="31" t="s">
        <v>96</v>
      </c>
      <c r="D258" s="136"/>
      <c r="E258" s="137"/>
      <c r="F258" s="138"/>
      <c r="G258" s="32">
        <f>SUM(G211:G256)</f>
        <v>7094543</v>
      </c>
    </row>
    <row r="259" spans="1:7">
      <c r="A259" s="139"/>
      <c r="B259" s="139"/>
      <c r="C259" s="33" t="s">
        <v>220</v>
      </c>
      <c r="D259" s="139"/>
      <c r="E259" s="160"/>
      <c r="F259" s="830"/>
      <c r="G259" s="805">
        <f>G258</f>
        <v>7094543</v>
      </c>
    </row>
    <row r="260" spans="1:7">
      <c r="A260" s="28"/>
      <c r="B260" s="1120"/>
      <c r="C260" s="1125"/>
      <c r="D260" s="155"/>
      <c r="E260" s="155"/>
      <c r="F260" s="795"/>
      <c r="G260" s="798"/>
    </row>
    <row r="261" spans="1:7">
      <c r="A261" s="28"/>
      <c r="B261" s="1120"/>
      <c r="C261" s="1125" t="s">
        <v>107</v>
      </c>
      <c r="D261" s="155"/>
      <c r="E261" s="155"/>
      <c r="F261" s="795"/>
      <c r="G261" s="798"/>
    </row>
    <row r="262" spans="1:7">
      <c r="A262" s="28"/>
      <c r="B262" s="1120"/>
      <c r="C262" s="1125"/>
      <c r="D262" s="155"/>
      <c r="E262" s="155"/>
      <c r="F262" s="795"/>
      <c r="G262" s="798"/>
    </row>
    <row r="263" spans="1:7">
      <c r="A263" s="28"/>
      <c r="B263" s="1120"/>
      <c r="C263" s="1125" t="s">
        <v>1350</v>
      </c>
      <c r="D263" s="155" t="s">
        <v>1319</v>
      </c>
      <c r="E263" s="794">
        <v>1</v>
      </c>
      <c r="F263" s="795">
        <v>25000</v>
      </c>
      <c r="G263" s="798">
        <f t="shared" ref="G263" si="14">F263*E263</f>
        <v>25000</v>
      </c>
    </row>
    <row r="264" spans="1:7">
      <c r="A264" s="28"/>
      <c r="B264" s="1120"/>
      <c r="C264" s="1125"/>
      <c r="D264" s="794"/>
      <c r="E264" s="794"/>
      <c r="F264" s="795"/>
      <c r="G264" s="798"/>
    </row>
    <row r="265" spans="1:7">
      <c r="A265" s="28"/>
      <c r="B265" s="1120"/>
      <c r="C265" s="823" t="s">
        <v>1334</v>
      </c>
      <c r="D265" s="155"/>
      <c r="E265" s="813"/>
      <c r="F265" s="795"/>
      <c r="G265" s="798"/>
    </row>
    <row r="266" spans="1:7">
      <c r="A266" s="28"/>
      <c r="B266" s="1120"/>
      <c r="C266" s="823"/>
      <c r="D266" s="155"/>
      <c r="E266" s="813"/>
      <c r="F266" s="795"/>
      <c r="G266" s="798"/>
    </row>
    <row r="267" spans="1:7" s="165" customFormat="1">
      <c r="A267" s="163"/>
      <c r="B267" s="1130"/>
      <c r="C267" s="824" t="s">
        <v>1358</v>
      </c>
      <c r="D267" s="825" t="s">
        <v>335</v>
      </c>
      <c r="E267" s="826">
        <v>1</v>
      </c>
      <c r="F267" s="827">
        <v>50000</v>
      </c>
      <c r="G267" s="828">
        <f>F267*E267</f>
        <v>50000</v>
      </c>
    </row>
    <row r="268" spans="1:7">
      <c r="A268" s="28"/>
      <c r="B268" s="1120"/>
      <c r="C268" s="1125"/>
      <c r="D268" s="794"/>
      <c r="E268" s="794"/>
      <c r="F268" s="795"/>
      <c r="G268" s="798"/>
    </row>
    <row r="269" spans="1:7" ht="25.5">
      <c r="A269" s="28"/>
      <c r="B269" s="1120" t="s">
        <v>1311</v>
      </c>
      <c r="C269" s="808" t="s">
        <v>1364</v>
      </c>
      <c r="D269" s="794"/>
      <c r="E269" s="794"/>
      <c r="F269" s="795"/>
      <c r="G269" s="798"/>
    </row>
    <row r="270" spans="1:7">
      <c r="A270" s="28"/>
      <c r="B270" s="1120"/>
      <c r="C270" s="793"/>
      <c r="D270" s="794"/>
      <c r="E270" s="794"/>
      <c r="F270" s="795"/>
      <c r="G270" s="798"/>
    </row>
    <row r="271" spans="1:7">
      <c r="A271" s="28"/>
      <c r="B271" s="1123"/>
      <c r="C271" s="671" t="s">
        <v>1077</v>
      </c>
      <c r="D271" s="794"/>
      <c r="E271" s="794"/>
      <c r="F271" s="795"/>
      <c r="G271" s="798"/>
    </row>
    <row r="272" spans="1:7">
      <c r="A272" s="28"/>
      <c r="B272" s="1120"/>
      <c r="C272" s="797"/>
      <c r="D272" s="794"/>
      <c r="E272" s="794"/>
      <c r="F272" s="795"/>
      <c r="G272" s="798"/>
    </row>
    <row r="273" spans="1:7" ht="25.5">
      <c r="A273" s="28"/>
      <c r="B273" s="1120" t="s">
        <v>815</v>
      </c>
      <c r="C273" s="793" t="s">
        <v>1365</v>
      </c>
      <c r="D273" s="794"/>
      <c r="E273" s="794"/>
      <c r="F273" s="795"/>
      <c r="G273" s="798"/>
    </row>
    <row r="274" spans="1:7">
      <c r="A274" s="28"/>
      <c r="B274" s="1120"/>
      <c r="C274" s="144"/>
      <c r="D274" s="794"/>
      <c r="E274" s="794"/>
      <c r="F274" s="795"/>
      <c r="G274" s="798"/>
    </row>
    <row r="275" spans="1:7">
      <c r="A275" s="28"/>
      <c r="B275" s="1120" t="s">
        <v>1314</v>
      </c>
      <c r="C275" s="1125" t="s">
        <v>1079</v>
      </c>
      <c r="D275" s="794"/>
      <c r="E275" s="794"/>
      <c r="F275" s="795"/>
      <c r="G275" s="798"/>
    </row>
    <row r="276" spans="1:7">
      <c r="A276" s="28"/>
      <c r="B276" s="1120" t="s">
        <v>1114</v>
      </c>
      <c r="C276" s="1125"/>
      <c r="D276" s="794"/>
      <c r="E276" s="794"/>
      <c r="F276" s="795"/>
      <c r="G276" s="798"/>
    </row>
    <row r="277" spans="1:7">
      <c r="A277" s="28"/>
      <c r="B277" s="1120"/>
      <c r="C277" s="1125"/>
      <c r="D277" s="794"/>
      <c r="E277" s="794"/>
      <c r="F277" s="795"/>
      <c r="G277" s="798"/>
    </row>
    <row r="278" spans="1:7" ht="38.25">
      <c r="A278" s="28"/>
      <c r="B278" s="1120"/>
      <c r="C278" s="1125" t="s">
        <v>1315</v>
      </c>
      <c r="D278" s="794" t="s">
        <v>335</v>
      </c>
      <c r="E278" s="794">
        <v>1</v>
      </c>
      <c r="F278" s="795">
        <v>100000</v>
      </c>
      <c r="G278" s="798">
        <f>F278*E278</f>
        <v>100000</v>
      </c>
    </row>
    <row r="279" spans="1:7">
      <c r="A279" s="28"/>
      <c r="B279" s="1120"/>
      <c r="C279" s="1125"/>
      <c r="D279" s="794"/>
      <c r="E279" s="794"/>
      <c r="F279" s="795"/>
      <c r="G279" s="798"/>
    </row>
    <row r="280" spans="1:7" ht="38.25">
      <c r="A280" s="28"/>
      <c r="B280" s="1120"/>
      <c r="C280" s="1125" t="s">
        <v>1366</v>
      </c>
      <c r="D280" s="155" t="s">
        <v>1319</v>
      </c>
      <c r="E280" s="794">
        <v>1</v>
      </c>
      <c r="F280" s="795">
        <f>10000*1.05</f>
        <v>10500</v>
      </c>
      <c r="G280" s="798">
        <f t="shared" ref="G280:G294" si="15">F280*E280</f>
        <v>10500</v>
      </c>
    </row>
    <row r="281" spans="1:7">
      <c r="A281" s="28"/>
      <c r="B281" s="1120"/>
      <c r="C281" s="1125"/>
      <c r="D281" s="145"/>
      <c r="E281" s="794"/>
      <c r="F281" s="795"/>
      <c r="G281" s="798"/>
    </row>
    <row r="282" spans="1:7" ht="38.25">
      <c r="A282" s="28"/>
      <c r="B282" s="1120"/>
      <c r="C282" s="1125" t="s">
        <v>1367</v>
      </c>
      <c r="D282" s="155" t="s">
        <v>1319</v>
      </c>
      <c r="E282" s="794">
        <v>1</v>
      </c>
      <c r="F282" s="795">
        <v>15000</v>
      </c>
      <c r="G282" s="798">
        <f t="shared" si="15"/>
        <v>15000</v>
      </c>
    </row>
    <row r="283" spans="1:7">
      <c r="A283" s="28"/>
      <c r="B283" s="1120"/>
      <c r="C283" s="1125"/>
      <c r="D283" s="155"/>
      <c r="E283" s="794"/>
      <c r="F283" s="795"/>
      <c r="G283" s="798"/>
    </row>
    <row r="284" spans="1:7" ht="38.25">
      <c r="A284" s="28"/>
      <c r="B284" s="1120"/>
      <c r="C284" s="1125" t="s">
        <v>1368</v>
      </c>
      <c r="D284" s="155" t="s">
        <v>1319</v>
      </c>
      <c r="E284" s="794">
        <v>1</v>
      </c>
      <c r="F284" s="795">
        <v>30000</v>
      </c>
      <c r="G284" s="798">
        <f t="shared" si="15"/>
        <v>30000</v>
      </c>
    </row>
    <row r="285" spans="1:7">
      <c r="A285" s="28"/>
      <c r="B285" s="1120"/>
      <c r="C285" s="1125"/>
      <c r="D285" s="155"/>
      <c r="E285" s="794"/>
      <c r="F285" s="795"/>
      <c r="G285" s="798"/>
    </row>
    <row r="286" spans="1:7" ht="38.25">
      <c r="A286" s="28"/>
      <c r="B286" s="1120"/>
      <c r="C286" s="1125" t="s">
        <v>1369</v>
      </c>
      <c r="D286" s="155" t="s">
        <v>1319</v>
      </c>
      <c r="E286" s="794">
        <v>1</v>
      </c>
      <c r="F286" s="795">
        <v>12500</v>
      </c>
      <c r="G286" s="798">
        <f t="shared" si="15"/>
        <v>12500</v>
      </c>
    </row>
    <row r="287" spans="1:7">
      <c r="A287" s="28"/>
      <c r="B287" s="1120"/>
      <c r="C287" s="1125"/>
      <c r="D287" s="155"/>
      <c r="E287" s="794"/>
      <c r="F287" s="795"/>
      <c r="G287" s="798"/>
    </row>
    <row r="288" spans="1:7">
      <c r="A288" s="28"/>
      <c r="B288" s="1120"/>
      <c r="C288" s="1125" t="s">
        <v>1329</v>
      </c>
      <c r="D288" s="155"/>
      <c r="E288" s="813"/>
      <c r="F288" s="795"/>
      <c r="G288" s="798"/>
    </row>
    <row r="289" spans="1:7">
      <c r="A289" s="28"/>
      <c r="B289" s="1120"/>
      <c r="C289" s="1125"/>
      <c r="D289" s="155"/>
      <c r="E289" s="813"/>
      <c r="F289" s="795"/>
      <c r="G289" s="798"/>
    </row>
    <row r="290" spans="1:7">
      <c r="A290" s="28"/>
      <c r="B290" s="1120"/>
      <c r="C290" s="1125" t="s">
        <v>1370</v>
      </c>
      <c r="D290" s="155" t="s">
        <v>1319</v>
      </c>
      <c r="E290" s="813">
        <v>2</v>
      </c>
      <c r="F290" s="795">
        <v>50000</v>
      </c>
      <c r="G290" s="798">
        <f t="shared" si="15"/>
        <v>100000</v>
      </c>
    </row>
    <row r="291" spans="1:7">
      <c r="A291" s="28"/>
      <c r="B291" s="1120"/>
      <c r="C291" s="1125"/>
      <c r="D291" s="155"/>
      <c r="E291" s="794"/>
      <c r="F291" s="795"/>
      <c r="G291" s="798"/>
    </row>
    <row r="292" spans="1:7">
      <c r="A292" s="28"/>
      <c r="B292" s="1120"/>
      <c r="C292" s="1125" t="s">
        <v>166</v>
      </c>
      <c r="D292" s="155"/>
      <c r="E292" s="813"/>
      <c r="F292" s="795"/>
      <c r="G292" s="798"/>
    </row>
    <row r="293" spans="1:7">
      <c r="A293" s="28"/>
      <c r="B293" s="1120"/>
      <c r="C293" s="1125"/>
      <c r="D293" s="155"/>
      <c r="E293" s="813"/>
      <c r="F293" s="795"/>
      <c r="G293" s="798"/>
    </row>
    <row r="294" spans="1:7">
      <c r="A294" s="28"/>
      <c r="B294" s="1120"/>
      <c r="C294" s="1125" t="s">
        <v>1348</v>
      </c>
      <c r="D294" s="155" t="s">
        <v>1319</v>
      </c>
      <c r="E294" s="794">
        <v>1</v>
      </c>
      <c r="F294" s="795">
        <v>3000</v>
      </c>
      <c r="G294" s="798">
        <f t="shared" si="15"/>
        <v>3000</v>
      </c>
    </row>
    <row r="295" spans="1:7">
      <c r="A295" s="28"/>
      <c r="B295" s="1120"/>
      <c r="C295" s="146"/>
      <c r="D295" s="145"/>
      <c r="E295" s="794"/>
      <c r="F295" s="795"/>
      <c r="G295" s="798"/>
    </row>
    <row r="296" spans="1:7">
      <c r="A296" s="28"/>
      <c r="B296" s="1120"/>
      <c r="C296" s="823" t="s">
        <v>1334</v>
      </c>
      <c r="D296" s="155"/>
      <c r="E296" s="813"/>
      <c r="F296" s="795"/>
      <c r="G296" s="798"/>
    </row>
    <row r="297" spans="1:7">
      <c r="A297" s="28"/>
      <c r="B297" s="1120"/>
      <c r="C297" s="823"/>
      <c r="D297" s="155"/>
      <c r="E297" s="813"/>
      <c r="F297" s="795"/>
      <c r="G297" s="798"/>
    </row>
    <row r="298" spans="1:7">
      <c r="A298" s="28"/>
      <c r="B298" s="1120"/>
      <c r="C298" s="823" t="s">
        <v>1358</v>
      </c>
      <c r="D298" s="155" t="s">
        <v>335</v>
      </c>
      <c r="E298" s="813">
        <v>1</v>
      </c>
      <c r="F298" s="795">
        <v>100000</v>
      </c>
      <c r="G298" s="798">
        <f>F298*E298</f>
        <v>100000</v>
      </c>
    </row>
    <row r="299" spans="1:7">
      <c r="A299" s="28"/>
      <c r="B299" s="1120"/>
      <c r="C299" s="146"/>
      <c r="D299" s="794"/>
      <c r="E299" s="794"/>
      <c r="F299" s="795"/>
      <c r="G299" s="798"/>
    </row>
    <row r="300" spans="1:7" ht="25.5">
      <c r="A300" s="28"/>
      <c r="B300" s="1120" t="s">
        <v>1311</v>
      </c>
      <c r="C300" s="808" t="s">
        <v>1371</v>
      </c>
      <c r="D300" s="794"/>
      <c r="E300" s="794"/>
      <c r="F300" s="795"/>
      <c r="G300" s="798"/>
    </row>
    <row r="301" spans="1:7">
      <c r="A301" s="28"/>
      <c r="B301" s="1120"/>
      <c r="C301" s="793"/>
      <c r="D301" s="794"/>
      <c r="E301" s="794"/>
      <c r="F301" s="795"/>
      <c r="G301" s="798"/>
    </row>
    <row r="302" spans="1:7">
      <c r="A302" s="28"/>
      <c r="B302" s="1120"/>
      <c r="C302" s="793"/>
      <c r="D302" s="794"/>
      <c r="E302" s="794"/>
      <c r="F302" s="795"/>
      <c r="G302" s="798"/>
    </row>
    <row r="303" spans="1:7">
      <c r="A303" s="28"/>
      <c r="B303" s="1120"/>
      <c r="C303" s="793"/>
      <c r="D303" s="794"/>
      <c r="E303" s="794"/>
      <c r="F303" s="795"/>
      <c r="G303" s="798"/>
    </row>
    <row r="304" spans="1:7">
      <c r="A304" s="127"/>
      <c r="B304" s="128"/>
      <c r="C304" s="129"/>
      <c r="D304" s="130"/>
      <c r="E304" s="131"/>
      <c r="F304" s="132"/>
      <c r="G304" s="133"/>
    </row>
    <row r="305" spans="1:7">
      <c r="A305" s="134"/>
      <c r="B305" s="135"/>
      <c r="C305" s="31" t="s">
        <v>96</v>
      </c>
      <c r="D305" s="136"/>
      <c r="E305" s="137"/>
      <c r="F305" s="138"/>
      <c r="G305" s="32">
        <f>SUM(G259:G303)</f>
        <v>7540543</v>
      </c>
    </row>
    <row r="306" spans="1:7">
      <c r="A306" s="139"/>
      <c r="B306" s="139"/>
      <c r="C306" s="33" t="s">
        <v>220</v>
      </c>
      <c r="D306" s="139"/>
      <c r="E306" s="160"/>
      <c r="F306" s="830"/>
      <c r="G306" s="805">
        <f>G305</f>
        <v>7540543</v>
      </c>
    </row>
    <row r="307" spans="1:7">
      <c r="A307" s="28"/>
      <c r="B307" s="1120"/>
      <c r="C307" s="793"/>
      <c r="D307" s="794"/>
      <c r="E307" s="794"/>
      <c r="F307" s="795"/>
      <c r="G307" s="798"/>
    </row>
    <row r="308" spans="1:7">
      <c r="A308" s="28"/>
      <c r="B308" s="1123"/>
      <c r="C308" s="671" t="s">
        <v>1077</v>
      </c>
      <c r="D308" s="794"/>
      <c r="E308" s="794"/>
      <c r="F308" s="795"/>
      <c r="G308" s="798"/>
    </row>
    <row r="309" spans="1:7">
      <c r="A309" s="28"/>
      <c r="B309" s="1120"/>
      <c r="C309" s="797"/>
      <c r="D309" s="794"/>
      <c r="E309" s="794"/>
      <c r="F309" s="795"/>
      <c r="G309" s="798"/>
    </row>
    <row r="310" spans="1:7" ht="25.5">
      <c r="A310" s="28"/>
      <c r="B310" s="1120" t="s">
        <v>815</v>
      </c>
      <c r="C310" s="793" t="s">
        <v>1365</v>
      </c>
      <c r="D310" s="794"/>
      <c r="E310" s="794"/>
      <c r="F310" s="795"/>
      <c r="G310" s="798"/>
    </row>
    <row r="311" spans="1:7">
      <c r="A311" s="28"/>
      <c r="B311" s="1120"/>
      <c r="C311" s="797"/>
      <c r="D311" s="794"/>
      <c r="E311" s="794"/>
      <c r="F311" s="795"/>
      <c r="G311" s="798"/>
    </row>
    <row r="312" spans="1:7">
      <c r="A312" s="28"/>
      <c r="B312" s="1120" t="s">
        <v>1314</v>
      </c>
      <c r="C312" s="1125" t="s">
        <v>1079</v>
      </c>
      <c r="D312" s="794"/>
      <c r="E312" s="794"/>
      <c r="F312" s="795"/>
      <c r="G312" s="798"/>
    </row>
    <row r="313" spans="1:7">
      <c r="A313" s="28"/>
      <c r="B313" s="1120" t="s">
        <v>1114</v>
      </c>
      <c r="C313" s="1125"/>
      <c r="D313" s="794"/>
      <c r="E313" s="794"/>
      <c r="F313" s="795"/>
      <c r="G313" s="798"/>
    </row>
    <row r="314" spans="1:7">
      <c r="A314" s="28"/>
      <c r="B314" s="1120"/>
      <c r="C314" s="1125"/>
      <c r="D314" s="794"/>
      <c r="E314" s="794"/>
      <c r="F314" s="795"/>
      <c r="G314" s="798"/>
    </row>
    <row r="315" spans="1:7" ht="38.25">
      <c r="A315" s="28"/>
      <c r="B315" s="1120"/>
      <c r="C315" s="1125" t="s">
        <v>1315</v>
      </c>
      <c r="D315" s="794" t="s">
        <v>335</v>
      </c>
      <c r="E315" s="794">
        <v>1</v>
      </c>
      <c r="F315" s="795">
        <v>200000</v>
      </c>
      <c r="G315" s="798">
        <f>F315*E315</f>
        <v>200000</v>
      </c>
    </row>
    <row r="316" spans="1:7">
      <c r="A316" s="28"/>
      <c r="B316" s="1120"/>
      <c r="C316" s="1125"/>
      <c r="D316" s="155"/>
      <c r="E316" s="813"/>
      <c r="F316" s="795"/>
      <c r="G316" s="798"/>
    </row>
    <row r="317" spans="1:7" ht="25.5">
      <c r="A317" s="28"/>
      <c r="B317" s="1120"/>
      <c r="C317" s="1125" t="s">
        <v>1372</v>
      </c>
      <c r="D317" s="155" t="s">
        <v>1319</v>
      </c>
      <c r="E317" s="813">
        <v>15</v>
      </c>
      <c r="F317" s="795">
        <v>70000</v>
      </c>
      <c r="G317" s="798">
        <f t="shared" ref="G317:G347" si="16">F317*E317</f>
        <v>1050000</v>
      </c>
    </row>
    <row r="318" spans="1:7">
      <c r="A318" s="28"/>
      <c r="B318" s="1120"/>
      <c r="C318" s="823"/>
      <c r="D318" s="155"/>
      <c r="E318" s="813"/>
      <c r="F318" s="795"/>
      <c r="G318" s="798"/>
    </row>
    <row r="319" spans="1:7" ht="25.5">
      <c r="A319" s="28"/>
      <c r="B319" s="1120"/>
      <c r="C319" s="1125" t="s">
        <v>1373</v>
      </c>
      <c r="D319" s="155" t="s">
        <v>1319</v>
      </c>
      <c r="E319" s="813">
        <v>1</v>
      </c>
      <c r="F319" s="795">
        <v>60000</v>
      </c>
      <c r="G319" s="798">
        <f t="shared" si="16"/>
        <v>60000</v>
      </c>
    </row>
    <row r="320" spans="1:7">
      <c r="A320" s="28"/>
      <c r="B320" s="1120"/>
      <c r="C320" s="823"/>
      <c r="D320" s="155"/>
      <c r="E320" s="813"/>
      <c r="F320" s="795"/>
      <c r="G320" s="798"/>
    </row>
    <row r="321" spans="1:7" ht="25.5">
      <c r="A321" s="28"/>
      <c r="B321" s="1120"/>
      <c r="C321" s="1125" t="s">
        <v>1374</v>
      </c>
      <c r="D321" s="155" t="s">
        <v>1319</v>
      </c>
      <c r="E321" s="813">
        <v>1</v>
      </c>
      <c r="F321" s="795">
        <v>50000</v>
      </c>
      <c r="G321" s="798">
        <f t="shared" si="16"/>
        <v>50000</v>
      </c>
    </row>
    <row r="322" spans="1:7">
      <c r="A322" s="28"/>
      <c r="B322" s="1120"/>
      <c r="C322" s="823"/>
      <c r="D322" s="155"/>
      <c r="E322" s="813"/>
      <c r="F322" s="795"/>
      <c r="G322" s="798"/>
    </row>
    <row r="323" spans="1:7" ht="25.5">
      <c r="A323" s="28"/>
      <c r="B323" s="1120"/>
      <c r="C323" s="1125" t="s">
        <v>1375</v>
      </c>
      <c r="D323" s="155" t="s">
        <v>1319</v>
      </c>
      <c r="E323" s="813">
        <v>1</v>
      </c>
      <c r="F323" s="795">
        <v>60000</v>
      </c>
      <c r="G323" s="798">
        <f t="shared" ref="G323" si="17">F323*E323</f>
        <v>60000</v>
      </c>
    </row>
    <row r="324" spans="1:7">
      <c r="A324" s="28"/>
      <c r="B324" s="1120"/>
      <c r="C324" s="823"/>
      <c r="D324" s="155"/>
      <c r="E324" s="813"/>
      <c r="F324" s="795"/>
      <c r="G324" s="798"/>
    </row>
    <row r="325" spans="1:7">
      <c r="A325" s="28"/>
      <c r="B325" s="1120"/>
      <c r="C325" s="1125" t="s">
        <v>1376</v>
      </c>
      <c r="D325" s="155" t="s">
        <v>1319</v>
      </c>
      <c r="E325" s="813">
        <v>1</v>
      </c>
      <c r="F325" s="795">
        <v>70000</v>
      </c>
      <c r="G325" s="798">
        <f t="shared" si="16"/>
        <v>70000</v>
      </c>
    </row>
    <row r="326" spans="1:7">
      <c r="A326" s="28"/>
      <c r="B326" s="1120"/>
      <c r="C326" s="823"/>
      <c r="D326" s="155"/>
      <c r="E326" s="813"/>
      <c r="F326" s="795"/>
      <c r="G326" s="798"/>
    </row>
    <row r="327" spans="1:7">
      <c r="A327" s="28"/>
      <c r="B327" s="1120"/>
      <c r="C327" s="1125" t="s">
        <v>1377</v>
      </c>
      <c r="D327" s="155" t="s">
        <v>1319</v>
      </c>
      <c r="E327" s="813">
        <v>1</v>
      </c>
      <c r="F327" s="795">
        <v>95000</v>
      </c>
      <c r="G327" s="798">
        <f t="shared" si="16"/>
        <v>95000</v>
      </c>
    </row>
    <row r="328" spans="1:7">
      <c r="A328" s="28"/>
      <c r="B328" s="1120"/>
      <c r="C328" s="823"/>
      <c r="D328" s="155"/>
      <c r="E328" s="813"/>
      <c r="F328" s="795"/>
      <c r="G328" s="798"/>
    </row>
    <row r="329" spans="1:7">
      <c r="A329" s="28"/>
      <c r="B329" s="1120"/>
      <c r="C329" s="1125" t="s">
        <v>1378</v>
      </c>
      <c r="D329" s="155" t="s">
        <v>1319</v>
      </c>
      <c r="E329" s="813">
        <v>1</v>
      </c>
      <c r="F329" s="795">
        <v>85000</v>
      </c>
      <c r="G329" s="798">
        <f t="shared" si="16"/>
        <v>85000</v>
      </c>
    </row>
    <row r="330" spans="1:7">
      <c r="A330" s="28"/>
      <c r="B330" s="1120"/>
      <c r="C330" s="823"/>
      <c r="D330" s="155"/>
      <c r="E330" s="813"/>
      <c r="F330" s="795"/>
      <c r="G330" s="798"/>
    </row>
    <row r="331" spans="1:7">
      <c r="A331" s="28"/>
      <c r="B331" s="1120"/>
      <c r="C331" s="823" t="s">
        <v>107</v>
      </c>
      <c r="D331" s="155"/>
      <c r="E331" s="813"/>
      <c r="F331" s="795"/>
      <c r="G331" s="798"/>
    </row>
    <row r="332" spans="1:7">
      <c r="A332" s="28"/>
      <c r="B332" s="1120"/>
      <c r="C332" s="823"/>
      <c r="D332" s="155"/>
      <c r="E332" s="813"/>
      <c r="F332" s="795"/>
      <c r="G332" s="798"/>
    </row>
    <row r="333" spans="1:7">
      <c r="A333" s="28"/>
      <c r="B333" s="1120"/>
      <c r="C333" s="823" t="s">
        <v>1379</v>
      </c>
      <c r="D333" s="155" t="s">
        <v>1319</v>
      </c>
      <c r="E333" s="813">
        <v>1</v>
      </c>
      <c r="F333" s="795">
        <v>25000</v>
      </c>
      <c r="G333" s="798">
        <f t="shared" ref="G333" si="18">F333*E333</f>
        <v>25000</v>
      </c>
    </row>
    <row r="334" spans="1:7">
      <c r="A334" s="28"/>
      <c r="B334" s="1120"/>
      <c r="C334" s="823"/>
      <c r="D334" s="155"/>
      <c r="E334" s="813"/>
      <c r="F334" s="795"/>
      <c r="G334" s="798"/>
    </row>
    <row r="335" spans="1:7">
      <c r="A335" s="28"/>
      <c r="B335" s="1120"/>
      <c r="C335" s="823" t="s">
        <v>1356</v>
      </c>
      <c r="D335" s="155"/>
      <c r="E335" s="813"/>
      <c r="F335" s="795"/>
      <c r="G335" s="798"/>
    </row>
    <row r="336" spans="1:7">
      <c r="A336" s="28"/>
      <c r="B336" s="1120"/>
      <c r="C336" s="823"/>
      <c r="D336" s="155"/>
      <c r="E336" s="813"/>
      <c r="F336" s="795"/>
      <c r="G336" s="798"/>
    </row>
    <row r="337" spans="1:7" ht="25.5">
      <c r="A337" s="28"/>
      <c r="B337" s="1120"/>
      <c r="C337" s="823" t="s">
        <v>1380</v>
      </c>
      <c r="D337" s="155" t="s">
        <v>1319</v>
      </c>
      <c r="E337" s="813">
        <v>1</v>
      </c>
      <c r="F337" s="795">
        <v>45000</v>
      </c>
      <c r="G337" s="798">
        <f t="shared" si="16"/>
        <v>45000</v>
      </c>
    </row>
    <row r="338" spans="1:7" s="151" customFormat="1">
      <c r="A338" s="150"/>
      <c r="B338" s="1128"/>
      <c r="C338" s="831"/>
      <c r="D338" s="817"/>
      <c r="E338" s="818"/>
      <c r="F338" s="819"/>
      <c r="G338" s="820"/>
    </row>
    <row r="339" spans="1:7" ht="25.5">
      <c r="A339" s="28"/>
      <c r="B339" s="1120"/>
      <c r="C339" s="823" t="s">
        <v>1381</v>
      </c>
      <c r="D339" s="155" t="s">
        <v>1319</v>
      </c>
      <c r="E339" s="813">
        <v>1</v>
      </c>
      <c r="F339" s="795">
        <v>130000</v>
      </c>
      <c r="G339" s="798">
        <f t="shared" si="16"/>
        <v>130000</v>
      </c>
    </row>
    <row r="340" spans="1:7">
      <c r="A340" s="28"/>
      <c r="B340" s="1120"/>
      <c r="C340" s="823"/>
      <c r="D340" s="155"/>
      <c r="E340" s="813"/>
      <c r="F340" s="795"/>
      <c r="G340" s="798"/>
    </row>
    <row r="341" spans="1:7">
      <c r="A341" s="28"/>
      <c r="B341" s="1120"/>
      <c r="C341" s="823" t="s">
        <v>1342</v>
      </c>
      <c r="D341" s="155"/>
      <c r="E341" s="813"/>
      <c r="F341" s="795"/>
      <c r="G341" s="798"/>
    </row>
    <row r="342" spans="1:7">
      <c r="A342" s="28"/>
      <c r="B342" s="1120"/>
      <c r="C342" s="823"/>
      <c r="D342" s="155"/>
      <c r="E342" s="813"/>
      <c r="F342" s="795"/>
      <c r="G342" s="798"/>
    </row>
    <row r="343" spans="1:7" ht="25.5">
      <c r="A343" s="28"/>
      <c r="B343" s="1120"/>
      <c r="C343" s="823" t="s">
        <v>1382</v>
      </c>
      <c r="D343" s="155" t="s">
        <v>1319</v>
      </c>
      <c r="E343" s="813">
        <v>1</v>
      </c>
      <c r="F343" s="795">
        <v>35000</v>
      </c>
      <c r="G343" s="798">
        <f t="shared" si="16"/>
        <v>35000</v>
      </c>
    </row>
    <row r="344" spans="1:7">
      <c r="A344" s="28"/>
      <c r="B344" s="1120"/>
      <c r="C344" s="823"/>
      <c r="D344" s="155"/>
      <c r="E344" s="813"/>
      <c r="F344" s="795"/>
      <c r="G344" s="798"/>
    </row>
    <row r="345" spans="1:7">
      <c r="A345" s="28"/>
      <c r="B345" s="1120"/>
      <c r="C345" s="823" t="s">
        <v>1383</v>
      </c>
      <c r="D345" s="155"/>
      <c r="E345" s="813"/>
      <c r="F345" s="795"/>
      <c r="G345" s="798"/>
    </row>
    <row r="346" spans="1:7">
      <c r="A346" s="28"/>
      <c r="B346" s="1120"/>
      <c r="C346" s="823"/>
      <c r="D346" s="155"/>
      <c r="E346" s="813"/>
      <c r="F346" s="795"/>
      <c r="G346" s="798"/>
    </row>
    <row r="347" spans="1:7" ht="25.5">
      <c r="A347" s="28"/>
      <c r="B347" s="1120"/>
      <c r="C347" s="823" t="s">
        <v>1384</v>
      </c>
      <c r="D347" s="155" t="s">
        <v>1319</v>
      </c>
      <c r="E347" s="813">
        <v>1</v>
      </c>
      <c r="F347" s="795">
        <v>100000</v>
      </c>
      <c r="G347" s="798">
        <f t="shared" si="16"/>
        <v>100000</v>
      </c>
    </row>
    <row r="348" spans="1:7">
      <c r="A348" s="28"/>
      <c r="B348" s="1120"/>
      <c r="C348" s="823"/>
      <c r="D348" s="155"/>
      <c r="E348" s="813"/>
      <c r="F348" s="795"/>
      <c r="G348" s="798"/>
    </row>
    <row r="349" spans="1:7">
      <c r="A349" s="28"/>
      <c r="B349" s="1120"/>
      <c r="C349" s="823"/>
      <c r="D349" s="155"/>
      <c r="E349" s="813"/>
      <c r="F349" s="795"/>
      <c r="G349" s="798"/>
    </row>
    <row r="350" spans="1:7">
      <c r="A350" s="127"/>
      <c r="B350" s="128"/>
      <c r="C350" s="129"/>
      <c r="D350" s="130"/>
      <c r="E350" s="131"/>
      <c r="F350" s="132"/>
      <c r="G350" s="133"/>
    </row>
    <row r="351" spans="1:7">
      <c r="A351" s="134"/>
      <c r="B351" s="135"/>
      <c r="C351" s="31" t="s">
        <v>96</v>
      </c>
      <c r="D351" s="136"/>
      <c r="E351" s="137"/>
      <c r="F351" s="138"/>
      <c r="G351" s="32">
        <f>SUM(G306:G349)</f>
        <v>9545543</v>
      </c>
    </row>
    <row r="352" spans="1:7">
      <c r="A352" s="139"/>
      <c r="B352" s="139"/>
      <c r="C352" s="33" t="s">
        <v>220</v>
      </c>
      <c r="D352" s="139"/>
      <c r="E352" s="160"/>
      <c r="F352" s="830"/>
      <c r="G352" s="805">
        <f>G351</f>
        <v>9545543</v>
      </c>
    </row>
    <row r="353" spans="1:7">
      <c r="A353" s="28"/>
      <c r="B353" s="1120"/>
      <c r="C353" s="823"/>
      <c r="D353" s="155"/>
      <c r="E353" s="813"/>
      <c r="F353" s="795"/>
      <c r="G353" s="798"/>
    </row>
    <row r="354" spans="1:7">
      <c r="A354" s="28"/>
      <c r="B354" s="1120"/>
      <c r="C354" s="823" t="s">
        <v>1385</v>
      </c>
      <c r="D354" s="155" t="s">
        <v>335</v>
      </c>
      <c r="E354" s="813">
        <v>1</v>
      </c>
      <c r="F354" s="795">
        <v>400000</v>
      </c>
      <c r="G354" s="798">
        <f>F354*E354</f>
        <v>400000</v>
      </c>
    </row>
    <row r="355" spans="1:7">
      <c r="A355" s="28"/>
      <c r="B355" s="1120"/>
      <c r="C355" s="823"/>
      <c r="D355" s="155"/>
      <c r="E355" s="813"/>
      <c r="F355" s="795"/>
      <c r="G355" s="798"/>
    </row>
    <row r="356" spans="1:7">
      <c r="A356" s="28"/>
      <c r="B356" s="1120"/>
      <c r="C356" s="823" t="s">
        <v>1386</v>
      </c>
      <c r="D356" s="155" t="s">
        <v>335</v>
      </c>
      <c r="E356" s="813">
        <v>1</v>
      </c>
      <c r="F356" s="795">
        <v>10000</v>
      </c>
      <c r="G356" s="798">
        <f>F356*E356</f>
        <v>10000</v>
      </c>
    </row>
    <row r="357" spans="1:7">
      <c r="A357" s="28"/>
      <c r="B357" s="1120"/>
      <c r="C357" s="823"/>
      <c r="D357" s="155"/>
      <c r="E357" s="813"/>
      <c r="F357" s="795"/>
      <c r="G357" s="798"/>
    </row>
    <row r="358" spans="1:7">
      <c r="A358" s="28"/>
      <c r="B358" s="1120"/>
      <c r="C358" s="823" t="s">
        <v>1334</v>
      </c>
      <c r="D358" s="155"/>
      <c r="E358" s="813"/>
      <c r="F358" s="795"/>
      <c r="G358" s="798"/>
    </row>
    <row r="359" spans="1:7">
      <c r="A359" s="28"/>
      <c r="B359" s="1120"/>
      <c r="C359" s="823"/>
      <c r="D359" s="155"/>
      <c r="E359" s="813"/>
      <c r="F359" s="795"/>
      <c r="G359" s="798"/>
    </row>
    <row r="360" spans="1:7">
      <c r="A360" s="28"/>
      <c r="B360" s="1120"/>
      <c r="C360" s="823" t="s">
        <v>1358</v>
      </c>
      <c r="D360" s="155" t="s">
        <v>335</v>
      </c>
      <c r="E360" s="813">
        <v>1</v>
      </c>
      <c r="F360" s="795">
        <v>250000</v>
      </c>
      <c r="G360" s="798">
        <f>F360*E360</f>
        <v>250000</v>
      </c>
    </row>
    <row r="361" spans="1:7">
      <c r="A361" s="28"/>
      <c r="B361" s="1120"/>
      <c r="C361" s="823"/>
      <c r="D361" s="155"/>
      <c r="E361" s="813"/>
      <c r="F361" s="795"/>
      <c r="G361" s="798"/>
    </row>
    <row r="362" spans="1:7" ht="25.5">
      <c r="A362" s="28"/>
      <c r="B362" s="1120" t="s">
        <v>1311</v>
      </c>
      <c r="C362" s="808" t="s">
        <v>1387</v>
      </c>
      <c r="D362" s="794"/>
      <c r="E362" s="794"/>
      <c r="F362" s="795"/>
      <c r="G362" s="798"/>
    </row>
    <row r="363" spans="1:7">
      <c r="A363" s="28"/>
      <c r="B363" s="1120"/>
      <c r="C363" s="793"/>
      <c r="D363" s="794"/>
      <c r="E363" s="794"/>
      <c r="F363" s="795"/>
      <c r="G363" s="798"/>
    </row>
    <row r="364" spans="1:7">
      <c r="A364" s="28"/>
      <c r="B364" s="1123"/>
      <c r="C364" s="671" t="s">
        <v>1077</v>
      </c>
      <c r="D364" s="794"/>
      <c r="E364" s="794"/>
      <c r="F364" s="795"/>
      <c r="G364" s="798"/>
    </row>
    <row r="365" spans="1:7">
      <c r="A365" s="28"/>
      <c r="B365" s="1120"/>
      <c r="C365" s="797"/>
      <c r="D365" s="794"/>
      <c r="E365" s="794"/>
      <c r="F365" s="795"/>
      <c r="G365" s="798"/>
    </row>
    <row r="366" spans="1:7" ht="25.5">
      <c r="A366" s="28"/>
      <c r="B366" s="1120" t="s">
        <v>815</v>
      </c>
      <c r="C366" s="793" t="s">
        <v>1365</v>
      </c>
      <c r="D366" s="794"/>
      <c r="E366" s="794"/>
      <c r="F366" s="795"/>
      <c r="G366" s="798"/>
    </row>
    <row r="367" spans="1:7">
      <c r="A367" s="28"/>
      <c r="B367" s="1120"/>
      <c r="C367" s="797"/>
      <c r="D367" s="794"/>
      <c r="E367" s="794"/>
      <c r="F367" s="795"/>
      <c r="G367" s="798"/>
    </row>
    <row r="368" spans="1:7">
      <c r="A368" s="28"/>
      <c r="B368" s="1120" t="s">
        <v>1314</v>
      </c>
      <c r="C368" s="1125" t="s">
        <v>1079</v>
      </c>
      <c r="D368" s="794"/>
      <c r="E368" s="794"/>
      <c r="F368" s="795"/>
      <c r="G368" s="798"/>
    </row>
    <row r="369" spans="1:7">
      <c r="A369" s="28"/>
      <c r="B369" s="1120" t="s">
        <v>1114</v>
      </c>
      <c r="C369" s="1125"/>
      <c r="D369" s="794"/>
      <c r="E369" s="794"/>
      <c r="F369" s="795"/>
      <c r="G369" s="798"/>
    </row>
    <row r="370" spans="1:7">
      <c r="A370" s="28"/>
      <c r="B370" s="1120"/>
      <c r="C370" s="1125"/>
      <c r="D370" s="794"/>
      <c r="E370" s="794"/>
      <c r="F370" s="795"/>
      <c r="G370" s="798"/>
    </row>
    <row r="371" spans="1:7" ht="38.25">
      <c r="A371" s="28"/>
      <c r="B371" s="1120"/>
      <c r="C371" s="1125" t="s">
        <v>1315</v>
      </c>
      <c r="D371" s="794" t="s">
        <v>335</v>
      </c>
      <c r="E371" s="794">
        <v>1</v>
      </c>
      <c r="F371" s="795">
        <v>200000</v>
      </c>
      <c r="G371" s="798">
        <f>F371*E371</f>
        <v>200000</v>
      </c>
    </row>
    <row r="372" spans="1:7">
      <c r="A372" s="28"/>
      <c r="B372" s="1120"/>
      <c r="C372" s="823"/>
      <c r="D372" s="155"/>
      <c r="E372" s="813"/>
      <c r="F372" s="795"/>
      <c r="G372" s="798"/>
    </row>
    <row r="373" spans="1:7" ht="25.5">
      <c r="A373" s="28"/>
      <c r="B373" s="1120"/>
      <c r="C373" s="1125" t="s">
        <v>1388</v>
      </c>
      <c r="D373" s="155" t="s">
        <v>1319</v>
      </c>
      <c r="E373" s="813">
        <v>13</v>
      </c>
      <c r="F373" s="795">
        <v>60000</v>
      </c>
      <c r="G373" s="798">
        <f t="shared" ref="G373:G391" si="19">F373*E373</f>
        <v>780000</v>
      </c>
    </row>
    <row r="374" spans="1:7">
      <c r="A374" s="28"/>
      <c r="B374" s="1120"/>
      <c r="C374" s="823"/>
      <c r="D374" s="155"/>
      <c r="E374" s="813"/>
      <c r="F374" s="795"/>
      <c r="G374" s="798"/>
    </row>
    <row r="375" spans="1:7" ht="25.5">
      <c r="A375" s="28"/>
      <c r="B375" s="1120"/>
      <c r="C375" s="1125" t="s">
        <v>1389</v>
      </c>
      <c r="D375" s="155" t="s">
        <v>1319</v>
      </c>
      <c r="E375" s="813">
        <v>1</v>
      </c>
      <c r="F375" s="795">
        <v>35000</v>
      </c>
      <c r="G375" s="798">
        <f t="shared" si="19"/>
        <v>35000</v>
      </c>
    </row>
    <row r="376" spans="1:7">
      <c r="A376" s="28"/>
      <c r="B376" s="1120"/>
      <c r="C376" s="823"/>
      <c r="D376" s="155"/>
      <c r="E376" s="813"/>
      <c r="F376" s="795"/>
      <c r="G376" s="798"/>
    </row>
    <row r="377" spans="1:7">
      <c r="A377" s="28"/>
      <c r="B377" s="1120"/>
      <c r="C377" s="1125" t="s">
        <v>1390</v>
      </c>
      <c r="D377" s="155" t="s">
        <v>1319</v>
      </c>
      <c r="E377" s="813">
        <v>1</v>
      </c>
      <c r="F377" s="795">
        <v>50000</v>
      </c>
      <c r="G377" s="798">
        <f t="shared" si="19"/>
        <v>50000</v>
      </c>
    </row>
    <row r="378" spans="1:7">
      <c r="A378" s="28"/>
      <c r="B378" s="1120"/>
      <c r="C378" s="823"/>
      <c r="D378" s="155"/>
      <c r="E378" s="813"/>
      <c r="F378" s="795"/>
      <c r="G378" s="798"/>
    </row>
    <row r="379" spans="1:7" ht="25.5">
      <c r="A379" s="28"/>
      <c r="B379" s="1120"/>
      <c r="C379" s="1125" t="s">
        <v>1391</v>
      </c>
      <c r="D379" s="155" t="s">
        <v>1319</v>
      </c>
      <c r="E379" s="813">
        <v>2</v>
      </c>
      <c r="F379" s="795">
        <v>40000</v>
      </c>
      <c r="G379" s="798">
        <f t="shared" si="19"/>
        <v>80000</v>
      </c>
    </row>
    <row r="380" spans="1:7">
      <c r="A380" s="28"/>
      <c r="B380" s="1120"/>
      <c r="C380" s="823"/>
      <c r="D380" s="155"/>
      <c r="E380" s="813"/>
      <c r="F380" s="795"/>
      <c r="G380" s="798"/>
    </row>
    <row r="381" spans="1:7" ht="25.5">
      <c r="A381" s="28"/>
      <c r="B381" s="1120"/>
      <c r="C381" s="1125" t="s">
        <v>1392</v>
      </c>
      <c r="D381" s="155" t="s">
        <v>1319</v>
      </c>
      <c r="E381" s="813">
        <v>2</v>
      </c>
      <c r="F381" s="795">
        <v>60000</v>
      </c>
      <c r="G381" s="798">
        <f t="shared" ref="G381" si="20">F381*E381</f>
        <v>120000</v>
      </c>
    </row>
    <row r="382" spans="1:7">
      <c r="A382" s="28"/>
      <c r="B382" s="1120"/>
      <c r="C382" s="823"/>
      <c r="D382" s="155"/>
      <c r="E382" s="813"/>
      <c r="F382" s="795"/>
      <c r="G382" s="798"/>
    </row>
    <row r="383" spans="1:7">
      <c r="A383" s="28"/>
      <c r="B383" s="1120"/>
      <c r="C383" s="823" t="s">
        <v>1342</v>
      </c>
      <c r="D383" s="155"/>
      <c r="E383" s="813"/>
      <c r="F383" s="795"/>
      <c r="G383" s="798"/>
    </row>
    <row r="384" spans="1:7">
      <c r="A384" s="28"/>
      <c r="B384" s="1120"/>
      <c r="C384" s="823"/>
      <c r="D384" s="155"/>
      <c r="E384" s="813"/>
      <c r="F384" s="795"/>
      <c r="G384" s="798"/>
    </row>
    <row r="385" spans="1:7" ht="25.5">
      <c r="A385" s="28"/>
      <c r="B385" s="1120"/>
      <c r="C385" s="823" t="s">
        <v>1393</v>
      </c>
      <c r="D385" s="155" t="s">
        <v>1319</v>
      </c>
      <c r="E385" s="813">
        <v>1</v>
      </c>
      <c r="F385" s="795">
        <v>75000</v>
      </c>
      <c r="G385" s="798">
        <f t="shared" si="19"/>
        <v>75000</v>
      </c>
    </row>
    <row r="386" spans="1:7" s="148" customFormat="1">
      <c r="A386" s="149"/>
      <c r="B386" s="1124"/>
      <c r="C386" s="832"/>
      <c r="D386" s="816"/>
      <c r="E386" s="815"/>
      <c r="F386" s="811"/>
      <c r="G386" s="812"/>
    </row>
    <row r="387" spans="1:7">
      <c r="A387" s="28"/>
      <c r="B387" s="1120"/>
      <c r="C387" s="823" t="s">
        <v>1356</v>
      </c>
      <c r="D387" s="155"/>
      <c r="E387" s="813"/>
      <c r="F387" s="795"/>
      <c r="G387" s="798"/>
    </row>
    <row r="388" spans="1:7">
      <c r="A388" s="28"/>
      <c r="B388" s="1120"/>
      <c r="C388" s="823"/>
      <c r="D388" s="155"/>
      <c r="E388" s="813"/>
      <c r="F388" s="795"/>
      <c r="G388" s="798"/>
    </row>
    <row r="389" spans="1:7" ht="25.5">
      <c r="A389" s="28"/>
      <c r="B389" s="1120"/>
      <c r="C389" s="823" t="s">
        <v>1394</v>
      </c>
      <c r="D389" s="155" t="s">
        <v>1319</v>
      </c>
      <c r="E389" s="813">
        <v>3</v>
      </c>
      <c r="F389" s="795">
        <v>60000</v>
      </c>
      <c r="G389" s="798">
        <f t="shared" si="19"/>
        <v>180000</v>
      </c>
    </row>
    <row r="390" spans="1:7">
      <c r="A390" s="28"/>
      <c r="B390" s="1120"/>
      <c r="C390" s="823"/>
      <c r="D390" s="155"/>
      <c r="E390" s="813"/>
      <c r="F390" s="795"/>
      <c r="G390" s="798"/>
    </row>
    <row r="391" spans="1:7">
      <c r="A391" s="28"/>
      <c r="B391" s="1120"/>
      <c r="C391" s="823" t="s">
        <v>1395</v>
      </c>
      <c r="D391" s="155" t="s">
        <v>1319</v>
      </c>
      <c r="E391" s="813">
        <v>3</v>
      </c>
      <c r="F391" s="795">
        <v>55000</v>
      </c>
      <c r="G391" s="798">
        <f t="shared" si="19"/>
        <v>165000</v>
      </c>
    </row>
    <row r="392" spans="1:7">
      <c r="A392" s="28"/>
      <c r="B392" s="1120"/>
      <c r="C392" s="823"/>
      <c r="D392" s="155"/>
      <c r="E392" s="813"/>
      <c r="F392" s="795"/>
      <c r="G392" s="798"/>
    </row>
    <row r="393" spans="1:7">
      <c r="A393" s="28"/>
      <c r="B393" s="1120"/>
      <c r="C393" s="823" t="s">
        <v>107</v>
      </c>
      <c r="D393" s="155"/>
      <c r="E393" s="813"/>
      <c r="F393" s="795"/>
      <c r="G393" s="798"/>
    </row>
    <row r="394" spans="1:7">
      <c r="A394" s="28"/>
      <c r="B394" s="1120"/>
      <c r="C394" s="823"/>
      <c r="D394" s="155"/>
      <c r="E394" s="813"/>
      <c r="F394" s="795"/>
      <c r="G394" s="798"/>
    </row>
    <row r="395" spans="1:7">
      <c r="A395" s="28"/>
      <c r="B395" s="1120"/>
      <c r="C395" s="823"/>
      <c r="D395" s="155"/>
      <c r="E395" s="813"/>
      <c r="F395" s="795"/>
      <c r="G395" s="798"/>
    </row>
    <row r="396" spans="1:7">
      <c r="A396" s="28"/>
      <c r="B396" s="1120"/>
      <c r="C396" s="823"/>
      <c r="D396" s="155"/>
      <c r="E396" s="813"/>
      <c r="F396" s="795"/>
      <c r="G396" s="798"/>
    </row>
    <row r="397" spans="1:7">
      <c r="A397" s="127"/>
      <c r="B397" s="128"/>
      <c r="C397" s="129"/>
      <c r="D397" s="130"/>
      <c r="E397" s="131"/>
      <c r="F397" s="132"/>
      <c r="G397" s="133"/>
    </row>
    <row r="398" spans="1:7">
      <c r="A398" s="134"/>
      <c r="B398" s="135"/>
      <c r="C398" s="31" t="s">
        <v>96</v>
      </c>
      <c r="D398" s="136"/>
      <c r="E398" s="137"/>
      <c r="F398" s="138"/>
      <c r="G398" s="32">
        <f>SUM(G352:G396)</f>
        <v>11890543</v>
      </c>
    </row>
    <row r="399" spans="1:7">
      <c r="A399" s="139"/>
      <c r="B399" s="139"/>
      <c r="C399" s="33" t="s">
        <v>220</v>
      </c>
      <c r="D399" s="139"/>
      <c r="E399" s="160"/>
      <c r="F399" s="830"/>
      <c r="G399" s="805">
        <f>G398</f>
        <v>11890543</v>
      </c>
    </row>
    <row r="400" spans="1:7">
      <c r="A400" s="28"/>
      <c r="B400" s="1120"/>
      <c r="C400" s="823"/>
      <c r="D400" s="155"/>
      <c r="E400" s="813"/>
      <c r="F400" s="795"/>
      <c r="G400" s="798"/>
    </row>
    <row r="401" spans="1:7">
      <c r="A401" s="28"/>
      <c r="B401" s="1120"/>
      <c r="C401" s="823"/>
      <c r="D401" s="155"/>
      <c r="E401" s="813"/>
      <c r="F401" s="795"/>
      <c r="G401" s="798"/>
    </row>
    <row r="402" spans="1:7">
      <c r="A402" s="28"/>
      <c r="B402" s="1120"/>
      <c r="C402" s="823" t="s">
        <v>1396</v>
      </c>
      <c r="D402" s="155" t="s">
        <v>1319</v>
      </c>
      <c r="E402" s="813">
        <v>1</v>
      </c>
      <c r="F402" s="795">
        <v>20000</v>
      </c>
      <c r="G402" s="798">
        <f t="shared" ref="G402" si="21">F402*E402</f>
        <v>20000</v>
      </c>
    </row>
    <row r="403" spans="1:7">
      <c r="A403" s="28"/>
      <c r="B403" s="1120"/>
      <c r="C403" s="833"/>
      <c r="D403" s="834"/>
      <c r="E403" s="835"/>
      <c r="F403" s="836"/>
      <c r="G403" s="837"/>
    </row>
    <row r="404" spans="1:7" ht="13.9" customHeight="1">
      <c r="A404" s="28"/>
      <c r="B404" s="1120"/>
      <c r="C404" s="823" t="s">
        <v>1385</v>
      </c>
      <c r="D404" s="155" t="s">
        <v>335</v>
      </c>
      <c r="E404" s="813">
        <v>1</v>
      </c>
      <c r="F404" s="795">
        <v>100000</v>
      </c>
      <c r="G404" s="798">
        <f>F404*E404</f>
        <v>100000</v>
      </c>
    </row>
    <row r="405" spans="1:7" ht="13.9" customHeight="1">
      <c r="A405" s="28"/>
      <c r="B405" s="1120"/>
      <c r="C405" s="823"/>
      <c r="D405" s="155"/>
      <c r="E405" s="813"/>
      <c r="F405" s="795"/>
      <c r="G405" s="798"/>
    </row>
    <row r="406" spans="1:7" ht="13.9" customHeight="1">
      <c r="A406" s="28"/>
      <c r="B406" s="1120"/>
      <c r="C406" s="823" t="s">
        <v>1386</v>
      </c>
      <c r="D406" s="155" t="s">
        <v>335</v>
      </c>
      <c r="E406" s="813">
        <v>1</v>
      </c>
      <c r="F406" s="795">
        <v>10000</v>
      </c>
      <c r="G406" s="798">
        <f>F406*E406</f>
        <v>10000</v>
      </c>
    </row>
    <row r="407" spans="1:7" ht="13.9" customHeight="1">
      <c r="A407" s="28"/>
      <c r="B407" s="1120"/>
      <c r="C407" s="823"/>
      <c r="D407" s="155"/>
      <c r="E407" s="813"/>
      <c r="F407" s="795"/>
      <c r="G407" s="798"/>
    </row>
    <row r="408" spans="1:7" ht="13.9" customHeight="1">
      <c r="A408" s="28"/>
      <c r="B408" s="1120"/>
      <c r="C408" s="823" t="s">
        <v>1334</v>
      </c>
      <c r="D408" s="155"/>
      <c r="E408" s="813"/>
      <c r="F408" s="795"/>
      <c r="G408" s="798"/>
    </row>
    <row r="409" spans="1:7" ht="13.9" customHeight="1">
      <c r="A409" s="28"/>
      <c r="B409" s="1120"/>
      <c r="C409" s="823"/>
      <c r="D409" s="155"/>
      <c r="E409" s="813"/>
      <c r="F409" s="795"/>
      <c r="G409" s="798"/>
    </row>
    <row r="410" spans="1:7" ht="13.9" customHeight="1">
      <c r="A410" s="28"/>
      <c r="B410" s="1120"/>
      <c r="C410" s="823" t="s">
        <v>1358</v>
      </c>
      <c r="D410" s="155" t="s">
        <v>335</v>
      </c>
      <c r="E410" s="813">
        <v>1</v>
      </c>
      <c r="F410" s="795">
        <v>250000</v>
      </c>
      <c r="G410" s="798">
        <f>F410*E410</f>
        <v>250000</v>
      </c>
    </row>
    <row r="411" spans="1:7">
      <c r="A411" s="28"/>
      <c r="B411" s="1120"/>
      <c r="C411" s="823"/>
      <c r="D411" s="155"/>
      <c r="E411" s="813"/>
      <c r="F411" s="795"/>
      <c r="G411" s="798"/>
    </row>
    <row r="412" spans="1:7" ht="25.5">
      <c r="A412" s="28"/>
      <c r="B412" s="1120" t="s">
        <v>1311</v>
      </c>
      <c r="C412" s="808" t="s">
        <v>1397</v>
      </c>
      <c r="D412" s="794"/>
      <c r="E412" s="794"/>
      <c r="F412" s="795"/>
      <c r="G412" s="798"/>
    </row>
    <row r="413" spans="1:7">
      <c r="A413" s="28"/>
      <c r="B413" s="1120"/>
      <c r="C413" s="793"/>
      <c r="D413" s="794"/>
      <c r="E413" s="794"/>
      <c r="F413" s="795"/>
      <c r="G413" s="798"/>
    </row>
    <row r="414" spans="1:7">
      <c r="A414" s="28"/>
      <c r="B414" s="1123"/>
      <c r="C414" s="671" t="s">
        <v>1077</v>
      </c>
      <c r="D414" s="794"/>
      <c r="E414" s="794"/>
      <c r="F414" s="795"/>
      <c r="G414" s="798"/>
    </row>
    <row r="415" spans="1:7">
      <c r="A415" s="28"/>
      <c r="B415" s="1120"/>
      <c r="C415" s="797"/>
      <c r="D415" s="794"/>
      <c r="E415" s="794"/>
      <c r="F415" s="795"/>
      <c r="G415" s="798"/>
    </row>
    <row r="416" spans="1:7" ht="25.5">
      <c r="A416" s="28"/>
      <c r="B416" s="1120" t="s">
        <v>815</v>
      </c>
      <c r="C416" s="793" t="s">
        <v>1365</v>
      </c>
      <c r="D416" s="794"/>
      <c r="E416" s="794"/>
      <c r="F416" s="795"/>
      <c r="G416" s="798"/>
    </row>
    <row r="417" spans="1:7">
      <c r="A417" s="28"/>
      <c r="B417" s="1120"/>
      <c r="C417" s="797"/>
      <c r="D417" s="794"/>
      <c r="E417" s="794"/>
      <c r="F417" s="795"/>
      <c r="G417" s="798"/>
    </row>
    <row r="418" spans="1:7">
      <c r="A418" s="28"/>
      <c r="B418" s="1120" t="s">
        <v>1314</v>
      </c>
      <c r="C418" s="1125" t="s">
        <v>1079</v>
      </c>
      <c r="D418" s="794"/>
      <c r="E418" s="794"/>
      <c r="F418" s="795"/>
      <c r="G418" s="798"/>
    </row>
    <row r="419" spans="1:7">
      <c r="A419" s="28"/>
      <c r="B419" s="1120" t="s">
        <v>1114</v>
      </c>
      <c r="C419" s="1125"/>
      <c r="D419" s="794"/>
      <c r="E419" s="794"/>
      <c r="F419" s="795"/>
      <c r="G419" s="798"/>
    </row>
    <row r="420" spans="1:7">
      <c r="A420" s="28"/>
      <c r="B420" s="1120"/>
      <c r="C420" s="1125"/>
      <c r="D420" s="794"/>
      <c r="E420" s="794"/>
      <c r="F420" s="795"/>
      <c r="G420" s="798"/>
    </row>
    <row r="421" spans="1:7" ht="38.25">
      <c r="A421" s="28"/>
      <c r="B421" s="1120"/>
      <c r="C421" s="1125" t="s">
        <v>1315</v>
      </c>
      <c r="D421" s="794" t="s">
        <v>335</v>
      </c>
      <c r="E421" s="794">
        <v>1</v>
      </c>
      <c r="F421" s="795">
        <v>100000</v>
      </c>
      <c r="G421" s="798">
        <f>F421*E421</f>
        <v>100000</v>
      </c>
    </row>
    <row r="422" spans="1:7">
      <c r="A422" s="28"/>
      <c r="B422" s="1120"/>
      <c r="C422" s="823"/>
      <c r="D422" s="155"/>
      <c r="E422" s="813"/>
      <c r="F422" s="795"/>
      <c r="G422" s="798"/>
    </row>
    <row r="423" spans="1:7" ht="25.5">
      <c r="A423" s="28"/>
      <c r="B423" s="1120"/>
      <c r="C423" s="1125" t="s">
        <v>1398</v>
      </c>
      <c r="D423" s="155" t="s">
        <v>1319</v>
      </c>
      <c r="E423" s="813">
        <v>1</v>
      </c>
      <c r="F423" s="795">
        <v>18000</v>
      </c>
      <c r="G423" s="798">
        <f>F423*E423</f>
        <v>18000</v>
      </c>
    </row>
    <row r="424" spans="1:7">
      <c r="A424" s="28"/>
      <c r="B424" s="1120"/>
      <c r="C424" s="823"/>
      <c r="D424" s="155"/>
      <c r="E424" s="813"/>
      <c r="F424" s="795"/>
      <c r="G424" s="798"/>
    </row>
    <row r="425" spans="1:7">
      <c r="A425" s="28"/>
      <c r="B425" s="1120"/>
      <c r="C425" s="1125" t="s">
        <v>1399</v>
      </c>
      <c r="D425" s="155" t="s">
        <v>1319</v>
      </c>
      <c r="E425" s="813">
        <v>1</v>
      </c>
      <c r="F425" s="795">
        <v>42000</v>
      </c>
      <c r="G425" s="798">
        <f t="shared" ref="G425:G433" si="22">F425*E425</f>
        <v>42000</v>
      </c>
    </row>
    <row r="426" spans="1:7">
      <c r="A426" s="28"/>
      <c r="B426" s="1120"/>
      <c r="C426" s="823"/>
      <c r="D426" s="155"/>
      <c r="E426" s="813"/>
      <c r="F426" s="795"/>
      <c r="G426" s="798"/>
    </row>
    <row r="427" spans="1:7">
      <c r="A427" s="28"/>
      <c r="B427" s="1120"/>
      <c r="C427" s="823" t="s">
        <v>1356</v>
      </c>
      <c r="D427" s="155"/>
      <c r="E427" s="813"/>
      <c r="F427" s="795"/>
      <c r="G427" s="798"/>
    </row>
    <row r="428" spans="1:7">
      <c r="A428" s="28"/>
      <c r="B428" s="1120"/>
      <c r="C428" s="823"/>
      <c r="D428" s="155"/>
      <c r="E428" s="813"/>
      <c r="F428" s="795"/>
      <c r="G428" s="798"/>
    </row>
    <row r="429" spans="1:7" ht="25.5">
      <c r="A429" s="28"/>
      <c r="B429" s="1120"/>
      <c r="C429" s="823" t="s">
        <v>1400</v>
      </c>
      <c r="D429" s="155" t="s">
        <v>1319</v>
      </c>
      <c r="E429" s="813">
        <v>1</v>
      </c>
      <c r="F429" s="795">
        <v>30000</v>
      </c>
      <c r="G429" s="798">
        <f t="shared" si="22"/>
        <v>30000</v>
      </c>
    </row>
    <row r="430" spans="1:7">
      <c r="A430" s="28"/>
      <c r="B430" s="1120"/>
      <c r="C430" s="823"/>
      <c r="D430" s="155"/>
      <c r="E430" s="813"/>
      <c r="F430" s="795"/>
      <c r="G430" s="798"/>
    </row>
    <row r="431" spans="1:7">
      <c r="A431" s="28"/>
      <c r="B431" s="1120"/>
      <c r="C431" s="823" t="s">
        <v>1383</v>
      </c>
      <c r="D431" s="155"/>
      <c r="E431" s="813"/>
      <c r="F431" s="795"/>
      <c r="G431" s="798"/>
    </row>
    <row r="432" spans="1:7">
      <c r="A432" s="28"/>
      <c r="B432" s="1120"/>
      <c r="C432" s="823"/>
      <c r="D432" s="155"/>
      <c r="E432" s="813"/>
      <c r="F432" s="795"/>
      <c r="G432" s="798"/>
    </row>
    <row r="433" spans="1:7" ht="25.5">
      <c r="A433" s="28"/>
      <c r="B433" s="1120"/>
      <c r="C433" s="823" t="s">
        <v>1401</v>
      </c>
      <c r="D433" s="155" t="s">
        <v>1319</v>
      </c>
      <c r="E433" s="813">
        <v>1</v>
      </c>
      <c r="F433" s="795">
        <v>35000</v>
      </c>
      <c r="G433" s="798">
        <f t="shared" si="22"/>
        <v>35000</v>
      </c>
    </row>
    <row r="434" spans="1:7">
      <c r="A434" s="28"/>
      <c r="B434" s="1120"/>
      <c r="C434" s="823"/>
      <c r="D434" s="155"/>
      <c r="E434" s="813"/>
      <c r="F434" s="795"/>
      <c r="G434" s="798"/>
    </row>
    <row r="435" spans="1:7">
      <c r="A435" s="28"/>
      <c r="B435" s="1120"/>
      <c r="C435" s="823" t="s">
        <v>1334</v>
      </c>
      <c r="D435" s="155"/>
      <c r="E435" s="813"/>
      <c r="F435" s="795"/>
      <c r="G435" s="798"/>
    </row>
    <row r="436" spans="1:7">
      <c r="A436" s="28"/>
      <c r="B436" s="1120"/>
      <c r="C436" s="823"/>
      <c r="D436" s="155"/>
      <c r="E436" s="813"/>
      <c r="F436" s="795"/>
      <c r="G436" s="798"/>
    </row>
    <row r="437" spans="1:7">
      <c r="A437" s="28"/>
      <c r="B437" s="1120"/>
      <c r="C437" s="823" t="s">
        <v>1358</v>
      </c>
      <c r="D437" s="155" t="s">
        <v>335</v>
      </c>
      <c r="E437" s="813">
        <v>1</v>
      </c>
      <c r="F437" s="795">
        <v>250000</v>
      </c>
      <c r="G437" s="798">
        <f>F437*E437</f>
        <v>250000</v>
      </c>
    </row>
    <row r="438" spans="1:7">
      <c r="A438" s="28"/>
      <c r="B438" s="1120"/>
      <c r="C438" s="823"/>
      <c r="D438" s="155"/>
      <c r="E438" s="813"/>
      <c r="F438" s="795"/>
      <c r="G438" s="798"/>
    </row>
    <row r="439" spans="1:7" ht="25.5">
      <c r="A439" s="28"/>
      <c r="B439" s="1120" t="s">
        <v>1311</v>
      </c>
      <c r="C439" s="808" t="s">
        <v>1402</v>
      </c>
      <c r="D439" s="794"/>
      <c r="E439" s="794"/>
      <c r="F439" s="795"/>
      <c r="G439" s="798"/>
    </row>
    <row r="440" spans="1:7">
      <c r="A440" s="28"/>
      <c r="B440" s="1120"/>
      <c r="C440" s="793"/>
      <c r="D440" s="794"/>
      <c r="E440" s="794"/>
      <c r="F440" s="795"/>
      <c r="G440" s="798"/>
    </row>
    <row r="441" spans="1:7">
      <c r="A441" s="28"/>
      <c r="B441" s="1123"/>
      <c r="C441" s="671" t="s">
        <v>1077</v>
      </c>
      <c r="D441" s="794"/>
      <c r="E441" s="794"/>
      <c r="F441" s="795"/>
      <c r="G441" s="798"/>
    </row>
    <row r="442" spans="1:7">
      <c r="A442" s="28"/>
      <c r="B442" s="1120"/>
      <c r="C442" s="797"/>
      <c r="D442" s="794"/>
      <c r="E442" s="794"/>
      <c r="F442" s="795"/>
      <c r="G442" s="798"/>
    </row>
    <row r="443" spans="1:7">
      <c r="A443" s="28"/>
      <c r="B443" s="1120"/>
      <c r="C443" s="797"/>
      <c r="D443" s="794"/>
      <c r="E443" s="794"/>
      <c r="F443" s="795"/>
      <c r="G443" s="798"/>
    </row>
    <row r="444" spans="1:7">
      <c r="A444" s="28"/>
      <c r="B444" s="1120"/>
      <c r="C444" s="797"/>
      <c r="D444" s="794"/>
      <c r="E444" s="794"/>
      <c r="F444" s="795"/>
      <c r="G444" s="798"/>
    </row>
    <row r="445" spans="1:7">
      <c r="A445" s="28"/>
      <c r="B445" s="1120"/>
      <c r="C445" s="797"/>
      <c r="D445" s="794"/>
      <c r="E445" s="794"/>
      <c r="F445" s="795"/>
      <c r="G445" s="798"/>
    </row>
    <row r="446" spans="1:7">
      <c r="A446" s="127"/>
      <c r="B446" s="128"/>
      <c r="C446" s="129"/>
      <c r="D446" s="130"/>
      <c r="E446" s="131"/>
      <c r="F446" s="132"/>
      <c r="G446" s="133"/>
    </row>
    <row r="447" spans="1:7">
      <c r="A447" s="134"/>
      <c r="B447" s="135"/>
      <c r="C447" s="31" t="s">
        <v>96</v>
      </c>
      <c r="D447" s="136"/>
      <c r="E447" s="137"/>
      <c r="F447" s="138"/>
      <c r="G447" s="32">
        <f>SUM(G399:G445)</f>
        <v>12745543</v>
      </c>
    </row>
    <row r="448" spans="1:7">
      <c r="A448" s="139"/>
      <c r="B448" s="139"/>
      <c r="C448" s="33" t="s">
        <v>220</v>
      </c>
      <c r="D448" s="139"/>
      <c r="E448" s="160"/>
      <c r="F448" s="830"/>
      <c r="G448" s="805">
        <f>G447</f>
        <v>12745543</v>
      </c>
    </row>
    <row r="449" spans="1:7">
      <c r="A449" s="28"/>
      <c r="B449" s="1120"/>
      <c r="C449" s="797"/>
      <c r="D449" s="794"/>
      <c r="E449" s="794"/>
      <c r="F449" s="795"/>
      <c r="G449" s="798"/>
    </row>
    <row r="450" spans="1:7" ht="25.5">
      <c r="A450" s="28"/>
      <c r="B450" s="1120" t="s">
        <v>815</v>
      </c>
      <c r="C450" s="793" t="s">
        <v>1365</v>
      </c>
      <c r="D450" s="794"/>
      <c r="E450" s="794"/>
      <c r="F450" s="795"/>
      <c r="G450" s="798"/>
    </row>
    <row r="451" spans="1:7">
      <c r="A451" s="28"/>
      <c r="B451" s="1120"/>
      <c r="C451" s="797"/>
      <c r="D451" s="794"/>
      <c r="E451" s="794"/>
      <c r="F451" s="795"/>
      <c r="G451" s="798"/>
    </row>
    <row r="452" spans="1:7">
      <c r="A452" s="28"/>
      <c r="B452" s="1120" t="s">
        <v>1314</v>
      </c>
      <c r="C452" s="1125" t="s">
        <v>1079</v>
      </c>
      <c r="D452" s="794"/>
      <c r="E452" s="794"/>
      <c r="F452" s="795"/>
      <c r="G452" s="798"/>
    </row>
    <row r="453" spans="1:7">
      <c r="A453" s="28"/>
      <c r="B453" s="1120" t="s">
        <v>1114</v>
      </c>
      <c r="C453" s="1125"/>
      <c r="D453" s="794"/>
      <c r="E453" s="794"/>
      <c r="F453" s="795"/>
      <c r="G453" s="798"/>
    </row>
    <row r="454" spans="1:7">
      <c r="A454" s="28"/>
      <c r="B454" s="1120"/>
      <c r="C454" s="1125"/>
      <c r="D454" s="794"/>
      <c r="E454" s="794"/>
      <c r="F454" s="795"/>
      <c r="G454" s="798"/>
    </row>
    <row r="455" spans="1:7" ht="38.25">
      <c r="A455" s="28"/>
      <c r="B455" s="1120"/>
      <c r="C455" s="1125" t="s">
        <v>1315</v>
      </c>
      <c r="D455" s="794" t="s">
        <v>335</v>
      </c>
      <c r="E455" s="794">
        <v>1</v>
      </c>
      <c r="F455" s="795">
        <v>100000</v>
      </c>
      <c r="G455" s="798">
        <f>F455*E455</f>
        <v>100000</v>
      </c>
    </row>
    <row r="456" spans="1:7">
      <c r="A456" s="28"/>
      <c r="B456" s="1120"/>
      <c r="C456" s="823"/>
      <c r="D456" s="155"/>
      <c r="E456" s="813"/>
      <c r="F456" s="795"/>
      <c r="G456" s="798"/>
    </row>
    <row r="457" spans="1:7" ht="25.5">
      <c r="A457" s="28"/>
      <c r="B457" s="1120"/>
      <c r="C457" s="1125" t="s">
        <v>1403</v>
      </c>
      <c r="D457" s="155" t="s">
        <v>1319</v>
      </c>
      <c r="E457" s="813">
        <v>3</v>
      </c>
      <c r="F457" s="795">
        <v>60000</v>
      </c>
      <c r="G457" s="798">
        <f t="shared" ref="G457:G469" si="23">F457*E457</f>
        <v>180000</v>
      </c>
    </row>
    <row r="458" spans="1:7">
      <c r="A458" s="28"/>
      <c r="B458" s="1120"/>
      <c r="C458" s="823"/>
      <c r="D458" s="155"/>
      <c r="E458" s="813"/>
      <c r="F458" s="795"/>
      <c r="G458" s="798"/>
    </row>
    <row r="459" spans="1:7" ht="25.5">
      <c r="A459" s="28"/>
      <c r="B459" s="1120"/>
      <c r="C459" s="1125" t="s">
        <v>1404</v>
      </c>
      <c r="D459" s="155" t="s">
        <v>1319</v>
      </c>
      <c r="E459" s="813">
        <v>1</v>
      </c>
      <c r="F459" s="795">
        <v>3000</v>
      </c>
      <c r="G459" s="798">
        <f t="shared" si="23"/>
        <v>3000</v>
      </c>
    </row>
    <row r="460" spans="1:7">
      <c r="A460" s="28"/>
      <c r="B460" s="1120"/>
      <c r="C460" s="823"/>
      <c r="D460" s="155"/>
      <c r="E460" s="813"/>
      <c r="F460" s="795"/>
      <c r="G460" s="798"/>
    </row>
    <row r="461" spans="1:7" ht="38.25">
      <c r="A461" s="28"/>
      <c r="B461" s="1120"/>
      <c r="C461" s="1125" t="s">
        <v>1405</v>
      </c>
      <c r="D461" s="155" t="s">
        <v>1319</v>
      </c>
      <c r="E461" s="794">
        <v>1</v>
      </c>
      <c r="F461" s="795">
        <v>3000</v>
      </c>
      <c r="G461" s="798">
        <f t="shared" si="23"/>
        <v>3000</v>
      </c>
    </row>
    <row r="462" spans="1:7">
      <c r="A462" s="28"/>
      <c r="B462" s="1120"/>
      <c r="C462" s="823"/>
      <c r="D462" s="155"/>
      <c r="E462" s="813"/>
      <c r="F462" s="795"/>
      <c r="G462" s="798"/>
    </row>
    <row r="463" spans="1:7">
      <c r="A463" s="28"/>
      <c r="B463" s="1120"/>
      <c r="C463" s="823" t="s">
        <v>1324</v>
      </c>
      <c r="D463" s="155"/>
      <c r="E463" s="813"/>
      <c r="F463" s="795"/>
      <c r="G463" s="798"/>
    </row>
    <row r="464" spans="1:7">
      <c r="A464" s="28"/>
      <c r="B464" s="1120"/>
      <c r="C464" s="823"/>
      <c r="D464" s="813"/>
      <c r="E464" s="813"/>
      <c r="F464" s="795"/>
      <c r="G464" s="798"/>
    </row>
    <row r="465" spans="1:7" ht="25.5">
      <c r="A465" s="28"/>
      <c r="B465" s="1132"/>
      <c r="C465" s="823" t="s">
        <v>1406</v>
      </c>
      <c r="D465" s="155" t="s">
        <v>1319</v>
      </c>
      <c r="E465" s="813">
        <v>1</v>
      </c>
      <c r="F465" s="798">
        <v>3000</v>
      </c>
      <c r="G465" s="798">
        <f t="shared" si="23"/>
        <v>3000</v>
      </c>
    </row>
    <row r="466" spans="1:7">
      <c r="A466" s="28"/>
      <c r="B466" s="1132"/>
      <c r="C466" s="823"/>
      <c r="D466" s="155"/>
      <c r="E466" s="813"/>
      <c r="F466" s="798"/>
      <c r="G466" s="798"/>
    </row>
    <row r="467" spans="1:7">
      <c r="A467" s="28"/>
      <c r="B467" s="1132"/>
      <c r="C467" s="823" t="s">
        <v>1356</v>
      </c>
      <c r="D467" s="155"/>
      <c r="E467" s="813"/>
      <c r="F467" s="798"/>
      <c r="G467" s="798"/>
    </row>
    <row r="468" spans="1:7">
      <c r="A468" s="28"/>
      <c r="B468" s="1132"/>
      <c r="C468" s="823"/>
      <c r="D468" s="155"/>
      <c r="E468" s="813"/>
      <c r="F468" s="798"/>
      <c r="G468" s="798"/>
    </row>
    <row r="469" spans="1:7" ht="25.5">
      <c r="A469" s="28"/>
      <c r="B469" s="1132"/>
      <c r="C469" s="823" t="s">
        <v>1407</v>
      </c>
      <c r="D469" s="155" t="s">
        <v>1319</v>
      </c>
      <c r="E469" s="813">
        <v>1</v>
      </c>
      <c r="F469" s="798">
        <v>4000</v>
      </c>
      <c r="G469" s="798">
        <f t="shared" si="23"/>
        <v>4000</v>
      </c>
    </row>
    <row r="470" spans="1:7">
      <c r="A470" s="28"/>
      <c r="B470" s="1132"/>
      <c r="C470" s="823"/>
      <c r="D470" s="155"/>
      <c r="E470" s="813"/>
      <c r="F470" s="798"/>
      <c r="G470" s="798"/>
    </row>
    <row r="471" spans="1:7">
      <c r="A471" s="28"/>
      <c r="B471" s="1132"/>
      <c r="C471" s="823" t="s">
        <v>1334</v>
      </c>
      <c r="D471" s="155"/>
      <c r="E471" s="813"/>
      <c r="F471" s="795"/>
      <c r="G471" s="798"/>
    </row>
    <row r="472" spans="1:7">
      <c r="A472" s="28"/>
      <c r="B472" s="1132"/>
      <c r="C472" s="823"/>
      <c r="D472" s="155"/>
      <c r="E472" s="813"/>
      <c r="F472" s="795"/>
      <c r="G472" s="798"/>
    </row>
    <row r="473" spans="1:7">
      <c r="A473" s="28"/>
      <c r="B473" s="1132"/>
      <c r="C473" s="823" t="s">
        <v>1358</v>
      </c>
      <c r="D473" s="155" t="s">
        <v>335</v>
      </c>
      <c r="E473" s="813">
        <v>1</v>
      </c>
      <c r="F473" s="795">
        <v>100000</v>
      </c>
      <c r="G473" s="798">
        <f>F473*E473</f>
        <v>100000</v>
      </c>
    </row>
    <row r="474" spans="1:7">
      <c r="A474" s="28"/>
      <c r="B474" s="1132"/>
      <c r="C474" s="823"/>
      <c r="D474" s="155"/>
      <c r="E474" s="813"/>
      <c r="F474" s="798"/>
      <c r="G474" s="798"/>
    </row>
    <row r="475" spans="1:7" ht="25.5">
      <c r="A475" s="161"/>
      <c r="B475" s="838" t="s">
        <v>1311</v>
      </c>
      <c r="C475" s="839" t="s">
        <v>1408</v>
      </c>
      <c r="D475" s="155"/>
      <c r="E475" s="794"/>
      <c r="F475" s="798"/>
      <c r="G475" s="798"/>
    </row>
    <row r="476" spans="1:7">
      <c r="A476" s="161"/>
      <c r="B476" s="838"/>
      <c r="C476" s="823"/>
      <c r="D476" s="155"/>
      <c r="E476" s="794"/>
      <c r="F476" s="798"/>
      <c r="G476" s="798"/>
    </row>
    <row r="477" spans="1:7">
      <c r="A477" s="161"/>
      <c r="B477" s="840"/>
      <c r="C477" s="841" t="s">
        <v>1077</v>
      </c>
      <c r="D477" s="155"/>
      <c r="E477" s="794"/>
      <c r="F477" s="798"/>
      <c r="G477" s="798"/>
    </row>
    <row r="478" spans="1:7">
      <c r="A478" s="161"/>
      <c r="B478" s="838"/>
      <c r="C478" s="840"/>
      <c r="D478" s="155"/>
      <c r="E478" s="794"/>
      <c r="F478" s="798"/>
      <c r="G478" s="798"/>
    </row>
    <row r="479" spans="1:7" ht="25.5">
      <c r="A479" s="161"/>
      <c r="B479" s="838" t="s">
        <v>815</v>
      </c>
      <c r="C479" s="823" t="s">
        <v>1365</v>
      </c>
      <c r="D479" s="155"/>
      <c r="E479" s="794"/>
      <c r="F479" s="798"/>
      <c r="G479" s="798"/>
    </row>
    <row r="480" spans="1:7">
      <c r="A480" s="161"/>
      <c r="B480" s="838"/>
      <c r="C480" s="840"/>
      <c r="D480" s="155"/>
      <c r="E480" s="794"/>
      <c r="F480" s="798"/>
      <c r="G480" s="798"/>
    </row>
    <row r="481" spans="1:7">
      <c r="A481" s="161"/>
      <c r="B481" s="838" t="s">
        <v>1314</v>
      </c>
      <c r="C481" s="823" t="s">
        <v>1079</v>
      </c>
      <c r="D481" s="155"/>
      <c r="E481" s="794"/>
      <c r="F481" s="798"/>
      <c r="G481" s="798"/>
    </row>
    <row r="482" spans="1:7">
      <c r="A482" s="161"/>
      <c r="B482" s="838" t="s">
        <v>1114</v>
      </c>
      <c r="C482" s="823"/>
      <c r="D482" s="155"/>
      <c r="E482" s="794"/>
      <c r="F482" s="798"/>
      <c r="G482" s="798"/>
    </row>
    <row r="483" spans="1:7">
      <c r="A483" s="161"/>
      <c r="B483" s="838"/>
      <c r="C483" s="823"/>
      <c r="D483" s="155"/>
      <c r="E483" s="794"/>
      <c r="F483" s="798"/>
      <c r="G483" s="798"/>
    </row>
    <row r="484" spans="1:7" ht="38.25">
      <c r="A484" s="161"/>
      <c r="B484" s="838"/>
      <c r="C484" s="1125" t="s">
        <v>1315</v>
      </c>
      <c r="D484" s="794" t="s">
        <v>335</v>
      </c>
      <c r="E484" s="794">
        <v>1</v>
      </c>
      <c r="F484" s="795">
        <v>100000</v>
      </c>
      <c r="G484" s="798">
        <f>F484*E484</f>
        <v>100000</v>
      </c>
    </row>
    <row r="485" spans="1:7">
      <c r="A485" s="161"/>
      <c r="B485" s="838"/>
      <c r="C485" s="823"/>
      <c r="D485" s="155"/>
      <c r="E485" s="813"/>
      <c r="F485" s="798"/>
      <c r="G485" s="798"/>
    </row>
    <row r="486" spans="1:7" ht="25.5">
      <c r="A486" s="161"/>
      <c r="B486" s="838"/>
      <c r="C486" s="823" t="s">
        <v>1409</v>
      </c>
      <c r="D486" s="155" t="s">
        <v>1319</v>
      </c>
      <c r="E486" s="813">
        <v>1</v>
      </c>
      <c r="F486" s="795">
        <v>5000</v>
      </c>
      <c r="G486" s="798">
        <f t="shared" ref="G486:G499" si="24">F486*E486</f>
        <v>5000</v>
      </c>
    </row>
    <row r="487" spans="1:7">
      <c r="A487" s="161"/>
      <c r="B487" s="838"/>
      <c r="C487" s="823"/>
      <c r="D487" s="155"/>
      <c r="E487" s="813"/>
      <c r="F487" s="798"/>
      <c r="G487" s="798"/>
    </row>
    <row r="488" spans="1:7">
      <c r="A488" s="161"/>
      <c r="B488" s="838"/>
      <c r="C488" s="823"/>
      <c r="D488" s="155"/>
      <c r="E488" s="813"/>
      <c r="F488" s="798"/>
      <c r="G488" s="798"/>
    </row>
    <row r="489" spans="1:7">
      <c r="A489" s="127"/>
      <c r="B489" s="128"/>
      <c r="C489" s="129"/>
      <c r="D489" s="130"/>
      <c r="E489" s="131"/>
      <c r="F489" s="132"/>
      <c r="G489" s="133"/>
    </row>
    <row r="490" spans="1:7">
      <c r="A490" s="134"/>
      <c r="B490" s="135"/>
      <c r="C490" s="31" t="s">
        <v>96</v>
      </c>
      <c r="D490" s="136"/>
      <c r="E490" s="137"/>
      <c r="F490" s="138"/>
      <c r="G490" s="32">
        <f>SUM(G448:G488)</f>
        <v>13243543</v>
      </c>
    </row>
    <row r="491" spans="1:7">
      <c r="A491" s="139"/>
      <c r="B491" s="139"/>
      <c r="C491" s="33" t="s">
        <v>220</v>
      </c>
      <c r="D491" s="139"/>
      <c r="E491" s="160"/>
      <c r="F491" s="830"/>
      <c r="G491" s="805">
        <f>G490</f>
        <v>13243543</v>
      </c>
    </row>
    <row r="492" spans="1:7">
      <c r="A492" s="161"/>
      <c r="B492" s="838"/>
      <c r="C492" s="823"/>
      <c r="D492" s="155"/>
      <c r="E492" s="813"/>
      <c r="F492" s="798"/>
      <c r="G492" s="798"/>
    </row>
    <row r="493" spans="1:7">
      <c r="A493" s="161"/>
      <c r="B493" s="838"/>
      <c r="C493" s="823" t="s">
        <v>1356</v>
      </c>
      <c r="D493" s="155"/>
      <c r="E493" s="813"/>
      <c r="F493" s="798"/>
      <c r="G493" s="798"/>
    </row>
    <row r="494" spans="1:7">
      <c r="A494" s="161"/>
      <c r="B494" s="838"/>
      <c r="C494" s="823"/>
      <c r="D494" s="155"/>
      <c r="E494" s="813"/>
      <c r="F494" s="798"/>
      <c r="G494" s="798"/>
    </row>
    <row r="495" spans="1:7" ht="25.5">
      <c r="A495" s="161"/>
      <c r="B495" s="838"/>
      <c r="C495" s="823" t="s">
        <v>1410</v>
      </c>
      <c r="D495" s="155" t="s">
        <v>1319</v>
      </c>
      <c r="E495" s="813">
        <v>1</v>
      </c>
      <c r="F495" s="798">
        <v>8000</v>
      </c>
      <c r="G495" s="798">
        <f t="shared" si="24"/>
        <v>8000</v>
      </c>
    </row>
    <row r="496" spans="1:7">
      <c r="A496" s="161"/>
      <c r="B496" s="838"/>
      <c r="C496" s="823"/>
      <c r="D496" s="155"/>
      <c r="E496" s="813"/>
      <c r="F496" s="798"/>
      <c r="G496" s="798"/>
    </row>
    <row r="497" spans="1:7">
      <c r="A497" s="161"/>
      <c r="B497" s="838"/>
      <c r="C497" s="823" t="s">
        <v>1383</v>
      </c>
      <c r="D497" s="155"/>
      <c r="E497" s="813"/>
      <c r="F497" s="798"/>
      <c r="G497" s="798"/>
    </row>
    <row r="498" spans="1:7">
      <c r="A498" s="161"/>
      <c r="B498" s="838"/>
      <c r="C498" s="823"/>
      <c r="D498" s="155"/>
      <c r="E498" s="813"/>
      <c r="F498" s="798"/>
      <c r="G498" s="798"/>
    </row>
    <row r="499" spans="1:7" ht="25.5">
      <c r="A499" s="161"/>
      <c r="B499" s="838"/>
      <c r="C499" s="823" t="s">
        <v>1411</v>
      </c>
      <c r="D499" s="155" t="s">
        <v>1319</v>
      </c>
      <c r="E499" s="813">
        <v>1</v>
      </c>
      <c r="F499" s="798">
        <v>8000</v>
      </c>
      <c r="G499" s="798">
        <f t="shared" si="24"/>
        <v>8000</v>
      </c>
    </row>
    <row r="500" spans="1:7">
      <c r="A500" s="161"/>
      <c r="B500" s="838"/>
      <c r="C500" s="146"/>
      <c r="D500" s="145"/>
      <c r="E500" s="145"/>
      <c r="F500" s="156"/>
      <c r="G500" s="798"/>
    </row>
    <row r="501" spans="1:7">
      <c r="A501" s="161"/>
      <c r="B501" s="838"/>
      <c r="C501" s="823" t="s">
        <v>1334</v>
      </c>
      <c r="D501" s="155"/>
      <c r="E501" s="813"/>
      <c r="F501" s="795"/>
      <c r="G501" s="798"/>
    </row>
    <row r="502" spans="1:7">
      <c r="A502" s="161"/>
      <c r="B502" s="838"/>
      <c r="C502" s="823"/>
      <c r="D502" s="155"/>
      <c r="E502" s="813"/>
      <c r="F502" s="795"/>
      <c r="G502" s="798"/>
    </row>
    <row r="503" spans="1:7">
      <c r="A503" s="161"/>
      <c r="B503" s="838"/>
      <c r="C503" s="823" t="s">
        <v>1358</v>
      </c>
      <c r="D503" s="155" t="s">
        <v>335</v>
      </c>
      <c r="E503" s="813">
        <v>1</v>
      </c>
      <c r="F503" s="795">
        <v>100000</v>
      </c>
      <c r="G503" s="798">
        <f>F503*E503</f>
        <v>100000</v>
      </c>
    </row>
    <row r="504" spans="1:7">
      <c r="A504" s="161"/>
      <c r="B504" s="838"/>
      <c r="C504" s="793"/>
      <c r="D504" s="794"/>
      <c r="E504" s="794"/>
      <c r="F504" s="795"/>
      <c r="G504" s="798"/>
    </row>
    <row r="505" spans="1:7" s="148" customFormat="1" ht="25.5">
      <c r="A505" s="162"/>
      <c r="B505" s="842" t="s">
        <v>1311</v>
      </c>
      <c r="C505" s="843" t="s">
        <v>1412</v>
      </c>
      <c r="D505" s="807"/>
      <c r="E505" s="794"/>
      <c r="F505" s="795"/>
      <c r="G505" s="798"/>
    </row>
    <row r="506" spans="1:7" s="148" customFormat="1">
      <c r="A506" s="162"/>
      <c r="B506" s="842"/>
      <c r="C506" s="806"/>
      <c r="D506" s="807"/>
      <c r="E506" s="794"/>
      <c r="F506" s="795"/>
      <c r="G506" s="798"/>
    </row>
    <row r="507" spans="1:7" s="148" customFormat="1">
      <c r="A507" s="149"/>
      <c r="B507" s="1133"/>
      <c r="C507" s="844" t="s">
        <v>1077</v>
      </c>
      <c r="D507" s="807"/>
      <c r="E507" s="794"/>
      <c r="F507" s="795"/>
      <c r="G507" s="798"/>
    </row>
    <row r="508" spans="1:7" s="148" customFormat="1">
      <c r="A508" s="149"/>
      <c r="B508" s="1133"/>
      <c r="C508" s="844"/>
      <c r="D508" s="807"/>
      <c r="E508" s="794"/>
      <c r="F508" s="795"/>
      <c r="G508" s="798"/>
    </row>
    <row r="509" spans="1:7" s="148" customFormat="1" ht="38.25">
      <c r="A509" s="149"/>
      <c r="B509" s="1133"/>
      <c r="C509" s="823" t="s">
        <v>1315</v>
      </c>
      <c r="D509" s="794" t="s">
        <v>335</v>
      </c>
      <c r="E509" s="794">
        <v>1</v>
      </c>
      <c r="F509" s="795">
        <v>100000</v>
      </c>
      <c r="G509" s="798">
        <f>F509*E509</f>
        <v>100000</v>
      </c>
    </row>
    <row r="510" spans="1:7" s="148" customFormat="1">
      <c r="A510" s="149"/>
      <c r="B510" s="1134"/>
      <c r="C510" s="844"/>
      <c r="D510" s="807"/>
      <c r="E510" s="794"/>
      <c r="F510" s="795"/>
      <c r="G510" s="798"/>
    </row>
    <row r="511" spans="1:7" s="148" customFormat="1" ht="25.5">
      <c r="A511" s="149"/>
      <c r="B511" s="1121" t="s">
        <v>815</v>
      </c>
      <c r="C511" s="844" t="s">
        <v>1413</v>
      </c>
      <c r="D511" s="807"/>
      <c r="E511" s="794"/>
      <c r="F511" s="795"/>
      <c r="G511" s="798"/>
    </row>
    <row r="512" spans="1:7" s="148" customFormat="1">
      <c r="A512" s="149"/>
      <c r="B512" s="1134"/>
      <c r="C512" s="806"/>
      <c r="D512" s="807"/>
      <c r="E512" s="794"/>
      <c r="F512" s="795"/>
      <c r="G512" s="798"/>
    </row>
    <row r="513" spans="1:7" s="148" customFormat="1">
      <c r="A513" s="149"/>
      <c r="B513" s="1134"/>
      <c r="C513" s="844" t="s">
        <v>1414</v>
      </c>
      <c r="D513" s="807" t="s">
        <v>818</v>
      </c>
      <c r="E513" s="794">
        <v>75</v>
      </c>
      <c r="F513" s="795">
        <f>'Master Rates'!G44</f>
        <v>150</v>
      </c>
      <c r="G513" s="798">
        <f>F513*E513</f>
        <v>11250</v>
      </c>
    </row>
    <row r="514" spans="1:7" s="148" customFormat="1">
      <c r="A514" s="149"/>
      <c r="B514" s="1120"/>
      <c r="C514" s="793"/>
      <c r="D514" s="794"/>
      <c r="E514" s="794"/>
      <c r="F514" s="795"/>
      <c r="G514" s="798"/>
    </row>
    <row r="515" spans="1:7" s="148" customFormat="1" ht="25.5">
      <c r="A515" s="149"/>
      <c r="B515" s="1121" t="s">
        <v>815</v>
      </c>
      <c r="C515" s="844" t="s">
        <v>1415</v>
      </c>
      <c r="D515" s="807"/>
      <c r="E515" s="794"/>
      <c r="F515" s="795"/>
      <c r="G515" s="798"/>
    </row>
    <row r="516" spans="1:7" s="148" customFormat="1">
      <c r="A516" s="149"/>
      <c r="B516" s="1134"/>
      <c r="C516" s="806"/>
      <c r="D516" s="807"/>
      <c r="E516" s="794"/>
      <c r="F516" s="795"/>
      <c r="G516" s="798"/>
    </row>
    <row r="517" spans="1:7" s="148" customFormat="1">
      <c r="A517" s="149"/>
      <c r="B517" s="1134"/>
      <c r="C517" s="844" t="s">
        <v>1416</v>
      </c>
      <c r="D517" s="807" t="s">
        <v>818</v>
      </c>
      <c r="E517" s="794">
        <v>310</v>
      </c>
      <c r="F517" s="795">
        <f>'Master Rates'!G45</f>
        <v>180</v>
      </c>
      <c r="G517" s="798">
        <f t="shared" ref="G517:G521" si="25">F517*E517</f>
        <v>55800</v>
      </c>
    </row>
    <row r="518" spans="1:7" s="148" customFormat="1">
      <c r="A518" s="149"/>
      <c r="B518" s="1120"/>
      <c r="C518" s="793"/>
      <c r="D518" s="794"/>
      <c r="E518" s="794"/>
      <c r="F518" s="795"/>
      <c r="G518" s="798"/>
    </row>
    <row r="519" spans="1:7" s="148" customFormat="1" ht="25.5">
      <c r="A519" s="149"/>
      <c r="B519" s="1120" t="s">
        <v>815</v>
      </c>
      <c r="C519" s="844" t="s">
        <v>1415</v>
      </c>
      <c r="D519" s="794"/>
      <c r="E519" s="794"/>
      <c r="F519" s="795"/>
      <c r="G519" s="798"/>
    </row>
    <row r="520" spans="1:7" s="148" customFormat="1">
      <c r="A520" s="149"/>
      <c r="B520" s="1120"/>
      <c r="C520" s="793"/>
      <c r="D520" s="794"/>
      <c r="E520" s="794"/>
      <c r="F520" s="795"/>
      <c r="G520" s="798"/>
    </row>
    <row r="521" spans="1:7" s="148" customFormat="1">
      <c r="A521" s="149"/>
      <c r="B521" s="1120"/>
      <c r="C521" s="844" t="s">
        <v>1417</v>
      </c>
      <c r="D521" s="794" t="s">
        <v>818</v>
      </c>
      <c r="E521" s="794">
        <v>340</v>
      </c>
      <c r="F521" s="795">
        <f>'Master Rates'!G46</f>
        <v>210</v>
      </c>
      <c r="G521" s="798">
        <f t="shared" si="25"/>
        <v>71400</v>
      </c>
    </row>
    <row r="522" spans="1:7">
      <c r="A522" s="28"/>
      <c r="B522" s="1120"/>
      <c r="C522" s="844"/>
      <c r="D522" s="794"/>
      <c r="E522" s="794"/>
      <c r="F522" s="795"/>
      <c r="G522" s="798"/>
    </row>
    <row r="523" spans="1:7">
      <c r="A523" s="28"/>
      <c r="B523" s="1120"/>
      <c r="C523" s="844"/>
      <c r="D523" s="794"/>
      <c r="E523" s="794"/>
      <c r="F523" s="795"/>
      <c r="G523" s="798"/>
    </row>
    <row r="524" spans="1:7">
      <c r="A524" s="28"/>
      <c r="B524" s="1120"/>
      <c r="C524" s="844"/>
      <c r="D524" s="794"/>
      <c r="E524" s="794"/>
      <c r="F524" s="795"/>
      <c r="G524" s="798"/>
    </row>
    <row r="525" spans="1:7">
      <c r="A525" s="28"/>
      <c r="B525" s="1120"/>
      <c r="C525" s="844"/>
      <c r="D525" s="794"/>
      <c r="E525" s="794"/>
      <c r="F525" s="795"/>
      <c r="G525" s="798"/>
    </row>
    <row r="526" spans="1:7">
      <c r="A526" s="28"/>
      <c r="B526" s="1120"/>
      <c r="C526" s="844"/>
      <c r="D526" s="794"/>
      <c r="E526" s="794"/>
      <c r="F526" s="795"/>
      <c r="G526" s="798"/>
    </row>
    <row r="527" spans="1:7">
      <c r="A527" s="28"/>
      <c r="B527" s="1120"/>
      <c r="C527" s="844"/>
      <c r="D527" s="794"/>
      <c r="E527" s="794"/>
      <c r="F527" s="795"/>
      <c r="G527" s="798"/>
    </row>
    <row r="528" spans="1:7">
      <c r="A528" s="28"/>
      <c r="B528" s="1120"/>
      <c r="C528" s="844"/>
      <c r="D528" s="794"/>
      <c r="E528" s="794"/>
      <c r="F528" s="795"/>
      <c r="G528" s="798"/>
    </row>
    <row r="529" spans="1:7">
      <c r="A529" s="28"/>
      <c r="B529" s="1120"/>
      <c r="C529" s="844"/>
      <c r="D529" s="794"/>
      <c r="E529" s="794"/>
      <c r="F529" s="795"/>
      <c r="G529" s="798"/>
    </row>
    <row r="530" spans="1:7">
      <c r="A530" s="28"/>
      <c r="B530" s="1120"/>
      <c r="C530" s="844"/>
      <c r="D530" s="794"/>
      <c r="E530" s="794"/>
      <c r="F530" s="795"/>
      <c r="G530" s="798"/>
    </row>
    <row r="531" spans="1:7">
      <c r="A531" s="28"/>
      <c r="B531" s="1120"/>
      <c r="C531" s="844"/>
      <c r="D531" s="794"/>
      <c r="E531" s="794"/>
      <c r="F531" s="795"/>
      <c r="G531" s="798"/>
    </row>
    <row r="532" spans="1:7">
      <c r="A532" s="28"/>
      <c r="B532" s="1120"/>
      <c r="C532" s="844"/>
      <c r="D532" s="794"/>
      <c r="E532" s="794"/>
      <c r="F532" s="795"/>
      <c r="G532" s="798"/>
    </row>
    <row r="533" spans="1:7">
      <c r="A533" s="28"/>
      <c r="B533" s="1120"/>
      <c r="C533" s="844"/>
      <c r="D533" s="794"/>
      <c r="E533" s="794"/>
      <c r="F533" s="795"/>
      <c r="G533" s="798"/>
    </row>
    <row r="534" spans="1:7">
      <c r="A534" s="28"/>
      <c r="B534" s="1120"/>
      <c r="C534" s="844"/>
      <c r="D534" s="794"/>
      <c r="E534" s="794"/>
      <c r="F534" s="795"/>
      <c r="G534" s="798"/>
    </row>
    <row r="535" spans="1:7">
      <c r="A535" s="28"/>
      <c r="B535" s="1120"/>
      <c r="C535" s="793"/>
      <c r="D535" s="794"/>
      <c r="E535" s="794"/>
      <c r="F535" s="795"/>
      <c r="G535" s="798"/>
    </row>
    <row r="536" spans="1:7">
      <c r="A536" s="28"/>
      <c r="B536" s="1120"/>
      <c r="C536" s="797"/>
      <c r="D536" s="794"/>
      <c r="E536" s="794"/>
      <c r="F536" s="795"/>
      <c r="G536" s="798"/>
    </row>
    <row r="537" spans="1:7">
      <c r="A537" s="140"/>
      <c r="B537" s="147"/>
      <c r="C537" s="1"/>
      <c r="D537" s="141"/>
      <c r="E537" s="141"/>
      <c r="F537" s="15"/>
      <c r="G537" s="142"/>
    </row>
    <row r="538" spans="1:7">
      <c r="A538" s="1568" t="s">
        <v>229</v>
      </c>
      <c r="B538" s="1569"/>
      <c r="C538" s="1569"/>
      <c r="D538" s="8"/>
      <c r="E538" s="8"/>
      <c r="F538" s="9"/>
      <c r="G538" s="10">
        <f>SUM(G491:G536)</f>
        <v>13597993</v>
      </c>
    </row>
  </sheetData>
  <mergeCells count="5">
    <mergeCell ref="C1:G1"/>
    <mergeCell ref="C2:G2"/>
    <mergeCell ref="E4:G4"/>
    <mergeCell ref="C5:G5"/>
    <mergeCell ref="A538:C538"/>
  </mergeCells>
  <pageMargins left="0.70866141732283472" right="0.70866141732283472" top="0.74803149606299213" bottom="0.74803149606299213" header="0.31496062992125984" footer="0.31496062992125984"/>
  <pageSetup paperSize="9" scale="80" orientation="portrait" r:id="rId1"/>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37BF8-7F97-4C1A-81CF-16C820583AC4}">
  <dimension ref="A1:O560"/>
  <sheetViews>
    <sheetView view="pageBreakPreview" topLeftCell="A274" zoomScale="85" zoomScaleNormal="69" zoomScaleSheetLayoutView="85" zoomScalePageLayoutView="85" workbookViewId="0">
      <selection activeCell="C57" sqref="C57"/>
    </sheetView>
  </sheetViews>
  <sheetFormatPr defaultColWidth="8.85546875" defaultRowHeight="12.75"/>
  <cols>
    <col min="1" max="1" width="9.5703125" style="350" customWidth="1"/>
    <col min="2" max="2" width="15.28515625" style="290" customWidth="1"/>
    <col min="3" max="3" width="47.7109375" style="290" customWidth="1"/>
    <col min="4" max="4" width="8.7109375" style="290" customWidth="1"/>
    <col min="5" max="5" width="9.7109375" style="290" customWidth="1"/>
    <col min="6" max="6" width="15.42578125" style="244" customWidth="1"/>
    <col min="7" max="7" width="21.42578125" style="351" customWidth="1"/>
    <col min="8" max="9" width="8.85546875" style="255" customWidth="1"/>
    <col min="10" max="10" width="8.85546875" style="290" customWidth="1"/>
    <col min="11" max="16384" width="8.85546875" style="290"/>
  </cols>
  <sheetData>
    <row r="1" spans="1:10" s="294" customFormat="1" ht="15" customHeight="1">
      <c r="A1" s="1538" t="s">
        <v>1418</v>
      </c>
      <c r="B1" s="1538"/>
      <c r="C1" s="1538"/>
      <c r="D1" s="1538"/>
      <c r="E1" s="1538"/>
      <c r="F1" s="1538"/>
      <c r="G1" s="1538"/>
      <c r="I1" s="256"/>
    </row>
    <row r="2" spans="1:10">
      <c r="A2" s="508"/>
      <c r="F2" s="329"/>
      <c r="G2" s="554"/>
    </row>
    <row r="3" spans="1:10" s="245" customFormat="1" ht="12.75" customHeight="1">
      <c r="A3" s="1578" t="s">
        <v>322</v>
      </c>
      <c r="B3" s="1578" t="s">
        <v>323</v>
      </c>
      <c r="C3" s="1580" t="s">
        <v>33</v>
      </c>
      <c r="D3" s="1582" t="s">
        <v>324</v>
      </c>
      <c r="E3" s="1584" t="s">
        <v>325</v>
      </c>
      <c r="F3" s="1574" t="s">
        <v>326</v>
      </c>
      <c r="G3" s="1576" t="s">
        <v>327</v>
      </c>
      <c r="H3" s="674"/>
      <c r="I3" s="674"/>
      <c r="J3" s="674"/>
    </row>
    <row r="4" spans="1:10" s="245" customFormat="1" ht="12.75" customHeight="1">
      <c r="A4" s="1579"/>
      <c r="B4" s="1579"/>
      <c r="C4" s="1581"/>
      <c r="D4" s="1583"/>
      <c r="E4" s="1585"/>
      <c r="F4" s="1575"/>
      <c r="G4" s="1577"/>
      <c r="H4" s="674"/>
      <c r="I4" s="674"/>
      <c r="J4" s="674"/>
    </row>
    <row r="5" spans="1:10">
      <c r="A5" s="748"/>
      <c r="B5" s="1099"/>
      <c r="C5" s="238" t="s">
        <v>244</v>
      </c>
      <c r="D5" s="749"/>
      <c r="E5" s="749"/>
      <c r="F5" s="1227"/>
      <c r="G5" s="1228"/>
      <c r="H5" s="290"/>
      <c r="I5" s="290"/>
      <c r="J5" s="255"/>
    </row>
    <row r="6" spans="1:10" s="294" customFormat="1">
      <c r="A6" s="316"/>
      <c r="B6" s="317"/>
      <c r="C6" s="319"/>
      <c r="D6" s="317"/>
      <c r="E6" s="317"/>
      <c r="F6" s="1262"/>
      <c r="G6" s="1263"/>
      <c r="H6" s="256"/>
      <c r="I6" s="256"/>
    </row>
    <row r="7" spans="1:10" s="294" customFormat="1">
      <c r="A7" s="316">
        <v>5.0999999999999996</v>
      </c>
      <c r="B7" s="317"/>
      <c r="C7" s="318" t="s">
        <v>1364</v>
      </c>
      <c r="D7" s="317"/>
      <c r="E7" s="317"/>
      <c r="F7" s="1262"/>
      <c r="G7" s="1263"/>
      <c r="H7" s="256"/>
      <c r="I7" s="256"/>
    </row>
    <row r="8" spans="1:10" s="294" customFormat="1">
      <c r="A8" s="316"/>
      <c r="B8" s="317"/>
      <c r="C8" s="319"/>
      <c r="D8" s="317"/>
      <c r="E8" s="317"/>
      <c r="F8" s="1262"/>
      <c r="G8" s="1263"/>
      <c r="H8" s="256"/>
      <c r="I8" s="256"/>
    </row>
    <row r="9" spans="1:10" s="312" customFormat="1">
      <c r="A9" s="331" t="s">
        <v>1419</v>
      </c>
      <c r="B9" s="320" t="s">
        <v>1057</v>
      </c>
      <c r="C9" s="321" t="s">
        <v>820</v>
      </c>
      <c r="D9" s="316"/>
      <c r="E9" s="322"/>
      <c r="F9" s="1262"/>
      <c r="G9" s="1163"/>
      <c r="H9" s="313"/>
      <c r="I9" s="313"/>
    </row>
    <row r="10" spans="1:10">
      <c r="A10" s="323"/>
      <c r="B10" s="324"/>
      <c r="C10" s="325"/>
      <c r="D10" s="326"/>
      <c r="E10" s="327"/>
      <c r="F10" s="1190"/>
      <c r="G10" s="1264"/>
    </row>
    <row r="11" spans="1:10">
      <c r="A11" s="323"/>
      <c r="B11" s="324" t="s">
        <v>1420</v>
      </c>
      <c r="C11" s="318" t="s">
        <v>1421</v>
      </c>
      <c r="D11" s="845"/>
      <c r="E11" s="327"/>
      <c r="F11" s="1190"/>
      <c r="G11" s="1264"/>
    </row>
    <row r="12" spans="1:10">
      <c r="A12" s="323"/>
      <c r="B12" s="324"/>
      <c r="C12" s="325"/>
      <c r="D12" s="845"/>
      <c r="E12" s="327"/>
      <c r="F12" s="1190"/>
      <c r="G12" s="1264"/>
    </row>
    <row r="13" spans="1:10" s="306" customFormat="1" ht="25.5">
      <c r="A13" s="657"/>
      <c r="B13" s="323" t="s">
        <v>1059</v>
      </c>
      <c r="C13" s="304" t="s">
        <v>1422</v>
      </c>
      <c r="D13" s="750"/>
      <c r="E13" s="846"/>
      <c r="F13" s="1231"/>
      <c r="G13" s="1232"/>
      <c r="H13" s="247"/>
      <c r="I13" s="247"/>
    </row>
    <row r="14" spans="1:10">
      <c r="A14" s="748"/>
      <c r="B14" s="1031"/>
      <c r="C14" s="1030"/>
      <c r="D14" s="749"/>
      <c r="E14" s="754"/>
      <c r="F14" s="1231"/>
      <c r="G14" s="1194"/>
    </row>
    <row r="15" spans="1:10">
      <c r="A15" s="748" t="s">
        <v>1423</v>
      </c>
      <c r="B15" s="1031"/>
      <c r="C15" s="1030" t="s">
        <v>1062</v>
      </c>
      <c r="D15" s="749" t="s">
        <v>574</v>
      </c>
      <c r="E15" s="754">
        <f>_xlfn.CEILING.MATH((6.5*3.6*2)+(2*1.4*1.8*12),5)</f>
        <v>110</v>
      </c>
      <c r="F15" s="1200"/>
      <c r="G15" s="1201"/>
      <c r="I15" s="273"/>
    </row>
    <row r="16" spans="1:10">
      <c r="A16" s="748"/>
      <c r="B16" s="1031"/>
      <c r="C16" s="1030"/>
      <c r="D16" s="749"/>
      <c r="E16" s="754"/>
      <c r="F16" s="1231"/>
      <c r="G16" s="1194"/>
    </row>
    <row r="17" spans="1:9">
      <c r="A17" s="748" t="s">
        <v>1424</v>
      </c>
      <c r="B17" s="1031"/>
      <c r="C17" s="1030" t="s">
        <v>1064</v>
      </c>
      <c r="D17" s="749" t="s">
        <v>574</v>
      </c>
      <c r="E17" s="754">
        <f>_xlfn.CEILING.MATH((6.5*1.7*3.6)+(1.4*1.8*1.8*12),5)</f>
        <v>95</v>
      </c>
      <c r="F17" s="1200"/>
      <c r="G17" s="1201"/>
    </row>
    <row r="18" spans="1:9">
      <c r="A18" s="748"/>
      <c r="B18" s="1031"/>
      <c r="C18" s="1030"/>
      <c r="D18" s="749"/>
      <c r="E18" s="754"/>
      <c r="F18" s="1231"/>
      <c r="G18" s="1194"/>
    </row>
    <row r="19" spans="1:9">
      <c r="A19" s="748"/>
      <c r="B19" s="331" t="s">
        <v>1065</v>
      </c>
      <c r="C19" s="277" t="s">
        <v>1425</v>
      </c>
      <c r="D19" s="749"/>
      <c r="E19" s="754"/>
      <c r="F19" s="1231"/>
      <c r="G19" s="1194"/>
    </row>
    <row r="20" spans="1:9">
      <c r="A20" s="748"/>
      <c r="B20" s="1031"/>
      <c r="C20" s="1030"/>
      <c r="D20" s="749"/>
      <c r="E20" s="754"/>
      <c r="F20" s="1231"/>
      <c r="G20" s="1194"/>
    </row>
    <row r="21" spans="1:9">
      <c r="A21" s="748" t="s">
        <v>1426</v>
      </c>
      <c r="B21" s="1031" t="s">
        <v>1068</v>
      </c>
      <c r="C21" s="1030" t="s">
        <v>1069</v>
      </c>
      <c r="D21" s="749" t="s">
        <v>574</v>
      </c>
      <c r="E21" s="754">
        <f>140*0.7</f>
        <v>98</v>
      </c>
      <c r="F21" s="1200"/>
      <c r="G21" s="1201"/>
      <c r="H21" s="273"/>
    </row>
    <row r="22" spans="1:9">
      <c r="A22" s="748"/>
      <c r="B22" s="1031"/>
      <c r="C22" s="1030"/>
      <c r="D22" s="749"/>
      <c r="E22" s="754"/>
      <c r="F22" s="1231"/>
      <c r="G22" s="1194"/>
    </row>
    <row r="23" spans="1:9">
      <c r="A23" s="748" t="s">
        <v>1427</v>
      </c>
      <c r="B23" s="1031" t="s">
        <v>1071</v>
      </c>
      <c r="C23" s="847" t="s">
        <v>1297</v>
      </c>
      <c r="D23" s="749" t="s">
        <v>574</v>
      </c>
      <c r="E23" s="754">
        <f>140*0.3</f>
        <v>42</v>
      </c>
      <c r="F23" s="1200"/>
      <c r="G23" s="1201"/>
      <c r="H23" s="273"/>
    </row>
    <row r="24" spans="1:9">
      <c r="A24" s="748"/>
      <c r="B24" s="1031"/>
      <c r="C24" s="1135"/>
      <c r="D24" s="535"/>
      <c r="E24" s="536"/>
      <c r="F24" s="1231"/>
      <c r="G24" s="1194"/>
      <c r="H24" s="273"/>
    </row>
    <row r="25" spans="1:9" ht="25.5">
      <c r="A25" s="748" t="s">
        <v>1428</v>
      </c>
      <c r="B25" s="1031"/>
      <c r="C25" s="667" t="s">
        <v>1429</v>
      </c>
      <c r="D25" s="659" t="s">
        <v>574</v>
      </c>
      <c r="E25" s="754">
        <v>50</v>
      </c>
      <c r="F25" s="1200"/>
      <c r="G25" s="1201"/>
      <c r="H25" s="273"/>
    </row>
    <row r="26" spans="1:9">
      <c r="A26" s="748"/>
      <c r="B26" s="1031"/>
      <c r="C26" s="654"/>
      <c r="D26" s="665"/>
      <c r="E26" s="754"/>
      <c r="F26" s="1265"/>
      <c r="G26" s="1194"/>
      <c r="H26" s="273"/>
    </row>
    <row r="27" spans="1:9">
      <c r="A27" s="748" t="s">
        <v>1430</v>
      </c>
      <c r="B27" s="1031" t="s">
        <v>844</v>
      </c>
      <c r="C27" s="654" t="s">
        <v>845</v>
      </c>
      <c r="D27" s="659" t="s">
        <v>846</v>
      </c>
      <c r="E27" s="754">
        <v>50</v>
      </c>
      <c r="F27" s="1200"/>
      <c r="G27" s="1201"/>
      <c r="H27" s="273"/>
    </row>
    <row r="28" spans="1:9">
      <c r="A28" s="328"/>
      <c r="B28" s="999"/>
      <c r="C28" s="1135"/>
      <c r="D28" s="535"/>
      <c r="E28" s="536"/>
      <c r="F28" s="1172"/>
      <c r="G28" s="1264"/>
      <c r="H28" s="290"/>
    </row>
    <row r="29" spans="1:9" s="312" customFormat="1">
      <c r="A29" s="331" t="s">
        <v>1431</v>
      </c>
      <c r="B29" s="330" t="s">
        <v>953</v>
      </c>
      <c r="C29" s="321" t="s">
        <v>1092</v>
      </c>
      <c r="D29" s="316"/>
      <c r="E29" s="322"/>
      <c r="F29" s="1266"/>
      <c r="G29" s="1266"/>
      <c r="H29" s="313"/>
      <c r="I29" s="313"/>
    </row>
    <row r="30" spans="1:9">
      <c r="A30" s="328"/>
      <c r="B30" s="1136"/>
      <c r="C30" s="1135"/>
      <c r="D30" s="535"/>
      <c r="E30" s="536"/>
      <c r="F30" s="1165"/>
      <c r="G30" s="1264"/>
    </row>
    <row r="31" spans="1:9">
      <c r="A31" s="328"/>
      <c r="B31" s="1031">
        <v>8.1999999999999993</v>
      </c>
      <c r="C31" s="1137" t="s">
        <v>955</v>
      </c>
      <c r="D31" s="535"/>
      <c r="E31" s="536"/>
      <c r="F31" s="1165"/>
      <c r="G31" s="1264"/>
    </row>
    <row r="32" spans="1:9">
      <c r="A32" s="328"/>
      <c r="B32" s="1031"/>
      <c r="C32" s="848"/>
      <c r="D32" s="535"/>
      <c r="E32" s="536"/>
      <c r="F32" s="1165"/>
      <c r="G32" s="1264"/>
    </row>
    <row r="33" spans="1:10">
      <c r="A33" s="328"/>
      <c r="B33" s="1031" t="s">
        <v>994</v>
      </c>
      <c r="C33" s="849" t="s">
        <v>1093</v>
      </c>
      <c r="D33" s="535"/>
      <c r="E33" s="536"/>
      <c r="F33" s="1168"/>
      <c r="G33" s="1264"/>
    </row>
    <row r="34" spans="1:10">
      <c r="A34" s="328"/>
      <c r="B34" s="999"/>
      <c r="C34" s="534"/>
      <c r="D34" s="535"/>
      <c r="E34" s="536"/>
      <c r="F34" s="1168"/>
      <c r="G34" s="1264"/>
    </row>
    <row r="35" spans="1:10">
      <c r="A35" s="328"/>
      <c r="B35" s="999"/>
      <c r="C35" s="850" t="s">
        <v>1094</v>
      </c>
      <c r="D35" s="535"/>
      <c r="E35" s="536"/>
      <c r="F35" s="1164"/>
      <c r="G35" s="1267"/>
    </row>
    <row r="36" spans="1:10">
      <c r="A36" s="328"/>
      <c r="B36" s="999"/>
      <c r="C36" s="850"/>
      <c r="D36" s="535"/>
      <c r="E36" s="536"/>
      <c r="F36" s="1164"/>
      <c r="G36" s="1267"/>
    </row>
    <row r="37" spans="1:10">
      <c r="A37" s="328" t="s">
        <v>1432</v>
      </c>
      <c r="B37" s="999"/>
      <c r="C37" s="534" t="s">
        <v>1433</v>
      </c>
      <c r="D37" s="535" t="s">
        <v>825</v>
      </c>
      <c r="E37" s="536">
        <f>_xlfn.CEILING.MATH(3*((1.3*2)+(5.9*2)+(1.35*2)+(4.85*2)+(1.4*4)+(6.5*2)+(3.6*2)),5)</f>
        <v>160</v>
      </c>
      <c r="F37" s="1190"/>
      <c r="G37" s="1194"/>
    </row>
    <row r="38" spans="1:10">
      <c r="A38" s="328"/>
      <c r="B38" s="999"/>
      <c r="C38" s="534"/>
      <c r="D38" s="535"/>
      <c r="E38" s="536"/>
      <c r="F38" s="1164"/>
      <c r="G38" s="1267"/>
    </row>
    <row r="39" spans="1:10">
      <c r="A39" s="328" t="s">
        <v>1434</v>
      </c>
      <c r="B39" s="999"/>
      <c r="C39" s="534" t="s">
        <v>1435</v>
      </c>
      <c r="D39" s="535" t="s">
        <v>825</v>
      </c>
      <c r="E39" s="536">
        <f>_xlfn.CEILING.MATH(3.6*6.5,5)</f>
        <v>25</v>
      </c>
      <c r="F39" s="1190"/>
      <c r="G39" s="1194"/>
    </row>
    <row r="40" spans="1:10">
      <c r="A40" s="328"/>
      <c r="B40" s="999"/>
      <c r="C40" s="534"/>
      <c r="D40" s="535"/>
      <c r="E40" s="536"/>
      <c r="F40" s="1164"/>
      <c r="G40" s="1267"/>
    </row>
    <row r="41" spans="1:10">
      <c r="A41" s="328" t="s">
        <v>1436</v>
      </c>
      <c r="B41" s="999"/>
      <c r="C41" s="534" t="s">
        <v>1437</v>
      </c>
      <c r="D41" s="535" t="s">
        <v>825</v>
      </c>
      <c r="E41" s="327">
        <v>1.5</v>
      </c>
      <c r="F41" s="1190"/>
      <c r="G41" s="1194"/>
    </row>
    <row r="42" spans="1:10">
      <c r="A42" s="328"/>
      <c r="B42" s="999"/>
      <c r="C42" s="1135"/>
      <c r="D42" s="535"/>
      <c r="E42" s="851"/>
      <c r="F42" s="1190"/>
      <c r="G42" s="1268"/>
    </row>
    <row r="43" spans="1:10">
      <c r="A43" s="753"/>
      <c r="B43" s="998" t="s">
        <v>1128</v>
      </c>
      <c r="C43" s="533" t="s">
        <v>1129</v>
      </c>
      <c r="D43" s="658"/>
      <c r="E43" s="754"/>
      <c r="F43" s="1227"/>
      <c r="G43" s="1194"/>
      <c r="H43" s="290"/>
      <c r="I43" s="290"/>
      <c r="J43" s="255"/>
    </row>
    <row r="44" spans="1:10">
      <c r="A44" s="753"/>
      <c r="B44" s="998"/>
      <c r="C44" s="760"/>
      <c r="D44" s="658"/>
      <c r="E44" s="754"/>
      <c r="F44" s="1227"/>
      <c r="G44" s="1194"/>
      <c r="H44" s="290"/>
      <c r="I44" s="290"/>
      <c r="J44" s="255"/>
    </row>
    <row r="45" spans="1:10">
      <c r="A45" s="328" t="s">
        <v>1438</v>
      </c>
      <c r="B45" s="998"/>
      <c r="C45" s="760" t="s">
        <v>1439</v>
      </c>
      <c r="D45" s="658" t="s">
        <v>818</v>
      </c>
      <c r="E45" s="754">
        <f>_xlfn.CEILING.MATH((5.5*2)+(1.5*2),5)</f>
        <v>15</v>
      </c>
      <c r="F45" s="1227"/>
      <c r="G45" s="1194"/>
      <c r="H45" s="290"/>
      <c r="I45" s="290"/>
      <c r="J45" s="255"/>
    </row>
    <row r="46" spans="1:10">
      <c r="A46" s="753"/>
      <c r="B46" s="998"/>
      <c r="C46" s="760"/>
      <c r="D46" s="658"/>
      <c r="E46" s="754"/>
      <c r="F46" s="1227"/>
      <c r="G46" s="1194"/>
      <c r="H46" s="290"/>
      <c r="I46" s="290"/>
      <c r="J46" s="255"/>
    </row>
    <row r="47" spans="1:10">
      <c r="A47" s="328" t="s">
        <v>1440</v>
      </c>
      <c r="B47" s="998"/>
      <c r="C47" s="760" t="s">
        <v>1441</v>
      </c>
      <c r="D47" s="658" t="s">
        <v>818</v>
      </c>
      <c r="E47" s="754">
        <f>_xlfn.CEILING.MATH((3.6*2)+(6.5)+2+1.5,5)</f>
        <v>20</v>
      </c>
      <c r="F47" s="1227"/>
      <c r="G47" s="1194"/>
      <c r="H47" s="290"/>
      <c r="I47" s="290"/>
      <c r="J47" s="255"/>
    </row>
    <row r="48" spans="1:10">
      <c r="A48" s="753"/>
      <c r="B48" s="998"/>
      <c r="C48" s="760"/>
      <c r="D48" s="658"/>
      <c r="E48" s="754"/>
      <c r="F48" s="1227"/>
      <c r="G48" s="1194"/>
      <c r="H48" s="290"/>
      <c r="I48" s="290"/>
      <c r="J48" s="255"/>
    </row>
    <row r="49" spans="1:8">
      <c r="A49" s="328"/>
      <c r="B49" s="999" t="s">
        <v>1442</v>
      </c>
      <c r="C49" s="850" t="s">
        <v>958</v>
      </c>
      <c r="D49" s="535"/>
      <c r="E49" s="536"/>
      <c r="F49" s="1165"/>
      <c r="G49" s="1264"/>
    </row>
    <row r="50" spans="1:8">
      <c r="A50" s="328"/>
      <c r="B50" s="999"/>
      <c r="C50" s="534"/>
      <c r="D50" s="535"/>
      <c r="E50" s="536"/>
      <c r="F50" s="1165"/>
      <c r="G50" s="1264"/>
    </row>
    <row r="51" spans="1:8">
      <c r="A51" s="328" t="s">
        <v>1443</v>
      </c>
      <c r="B51" s="999" t="s">
        <v>331</v>
      </c>
      <c r="C51" s="1135" t="s">
        <v>960</v>
      </c>
      <c r="D51" s="535" t="s">
        <v>961</v>
      </c>
      <c r="E51" s="536">
        <f>_xlfn.CEILING.MATH(((SUM(E67:E72)*100)/1000),5)</f>
        <v>5</v>
      </c>
      <c r="F51" s="1200"/>
      <c r="G51" s="1201"/>
    </row>
    <row r="52" spans="1:8">
      <c r="A52" s="328"/>
      <c r="B52" s="999"/>
      <c r="C52" s="1135"/>
      <c r="D52" s="535"/>
      <c r="E52" s="536"/>
      <c r="F52" s="1165"/>
      <c r="G52" s="1264"/>
      <c r="H52" s="273"/>
    </row>
    <row r="53" spans="1:8">
      <c r="A53" s="328" t="s">
        <v>1444</v>
      </c>
      <c r="B53" s="999" t="s">
        <v>331</v>
      </c>
      <c r="C53" s="1135" t="s">
        <v>963</v>
      </c>
      <c r="D53" s="535" t="s">
        <v>961</v>
      </c>
      <c r="E53" s="536">
        <f>_xlfn.CEILING.MATH(E51*0.35)</f>
        <v>2</v>
      </c>
      <c r="F53" s="1200"/>
      <c r="G53" s="1201"/>
    </row>
    <row r="54" spans="1:8">
      <c r="A54" s="328"/>
      <c r="B54" s="999"/>
      <c r="C54" s="1135"/>
      <c r="D54" s="535"/>
      <c r="E54" s="536"/>
      <c r="F54" s="1165"/>
      <c r="G54" s="1264"/>
    </row>
    <row r="55" spans="1:8">
      <c r="A55" s="328" t="s">
        <v>1445</v>
      </c>
      <c r="B55" s="999">
        <v>8.4</v>
      </c>
      <c r="C55" s="850" t="s">
        <v>1139</v>
      </c>
      <c r="D55" s="535"/>
      <c r="E55" s="326"/>
      <c r="F55" s="1190"/>
      <c r="G55" s="1264"/>
    </row>
    <row r="56" spans="1:8">
      <c r="A56" s="328"/>
      <c r="B56" s="999"/>
      <c r="C56" s="1135"/>
      <c r="D56" s="535"/>
      <c r="E56" s="326"/>
      <c r="F56" s="1190"/>
      <c r="G56" s="1264"/>
    </row>
    <row r="57" spans="1:8">
      <c r="A57" s="328" t="s">
        <v>1446</v>
      </c>
      <c r="B57" s="999"/>
      <c r="C57" s="534" t="s">
        <v>1447</v>
      </c>
      <c r="D57" s="535" t="s">
        <v>825</v>
      </c>
      <c r="E57" s="606">
        <v>16</v>
      </c>
      <c r="F57" s="1190"/>
      <c r="G57" s="1194"/>
    </row>
    <row r="58" spans="1:8">
      <c r="A58" s="328"/>
      <c r="B58" s="999"/>
      <c r="C58" s="534"/>
      <c r="D58" s="535"/>
      <c r="E58" s="606"/>
      <c r="F58" s="1190"/>
      <c r="G58" s="1264"/>
    </row>
    <row r="59" spans="1:8">
      <c r="A59" s="328"/>
      <c r="B59" s="999" t="s">
        <v>969</v>
      </c>
      <c r="C59" s="850" t="s">
        <v>1139</v>
      </c>
      <c r="D59" s="535"/>
      <c r="E59" s="606"/>
      <c r="F59" s="1190"/>
      <c r="G59" s="1264"/>
    </row>
    <row r="60" spans="1:8">
      <c r="A60" s="328"/>
      <c r="B60" s="999"/>
      <c r="C60" s="850"/>
      <c r="D60" s="535"/>
      <c r="E60" s="606"/>
      <c r="F60" s="1190"/>
      <c r="G60" s="1264"/>
    </row>
    <row r="61" spans="1:8">
      <c r="A61" s="328" t="s">
        <v>1448</v>
      </c>
      <c r="B61" s="999"/>
      <c r="C61" s="534" t="s">
        <v>1449</v>
      </c>
      <c r="D61" s="535" t="s">
        <v>574</v>
      </c>
      <c r="E61" s="536">
        <v>3</v>
      </c>
      <c r="F61" s="1165"/>
      <c r="G61" s="1194"/>
    </row>
    <row r="62" spans="1:8">
      <c r="A62" s="328"/>
      <c r="B62" s="999"/>
      <c r="C62" s="534"/>
      <c r="D62" s="535"/>
      <c r="E62" s="606"/>
      <c r="F62" s="1190"/>
      <c r="G62" s="1264"/>
    </row>
    <row r="63" spans="1:8">
      <c r="A63" s="328" t="s">
        <v>1450</v>
      </c>
      <c r="B63" s="999" t="s">
        <v>441</v>
      </c>
      <c r="C63" s="852" t="s">
        <v>1451</v>
      </c>
      <c r="D63" s="535" t="s">
        <v>825</v>
      </c>
      <c r="E63" s="606">
        <f>_xlfn.CEILING.MATH((6.5*3.6),5)</f>
        <v>25</v>
      </c>
      <c r="F63" s="1165"/>
      <c r="G63" s="1194"/>
    </row>
    <row r="64" spans="1:8">
      <c r="A64" s="328"/>
      <c r="B64" s="999"/>
      <c r="C64" s="534"/>
      <c r="D64" s="535"/>
      <c r="E64" s="606"/>
      <c r="F64" s="1165"/>
      <c r="G64" s="1264"/>
    </row>
    <row r="65" spans="1:7">
      <c r="A65" s="331"/>
      <c r="B65" s="853" t="s">
        <v>969</v>
      </c>
      <c r="C65" s="850" t="s">
        <v>1156</v>
      </c>
      <c r="D65" s="535"/>
      <c r="E65" s="536"/>
      <c r="F65" s="1165"/>
      <c r="G65" s="1264"/>
    </row>
    <row r="66" spans="1:7">
      <c r="A66" s="331"/>
      <c r="B66" s="564"/>
      <c r="C66" s="534"/>
      <c r="D66" s="535"/>
      <c r="E66" s="536"/>
      <c r="F66" s="1165"/>
      <c r="G66" s="1264"/>
    </row>
    <row r="67" spans="1:7">
      <c r="A67" s="331" t="s">
        <v>1452</v>
      </c>
      <c r="B67" s="605"/>
      <c r="C67" s="534" t="s">
        <v>1160</v>
      </c>
      <c r="D67" s="535" t="s">
        <v>574</v>
      </c>
      <c r="E67" s="536">
        <v>8</v>
      </c>
      <c r="F67" s="1165"/>
      <c r="G67" s="1194"/>
    </row>
    <row r="68" spans="1:7">
      <c r="A68" s="331"/>
      <c r="B68" s="605"/>
      <c r="C68" s="581"/>
      <c r="D68" s="535"/>
      <c r="E68" s="536"/>
      <c r="F68" s="1165"/>
      <c r="G68" s="1264"/>
    </row>
    <row r="69" spans="1:7">
      <c r="A69" s="331" t="s">
        <v>1453</v>
      </c>
      <c r="B69" s="605"/>
      <c r="C69" s="534" t="s">
        <v>1454</v>
      </c>
      <c r="D69" s="535" t="s">
        <v>574</v>
      </c>
      <c r="E69" s="327">
        <v>33</v>
      </c>
      <c r="F69" s="1165"/>
      <c r="G69" s="1194"/>
    </row>
    <row r="70" spans="1:7">
      <c r="A70" s="331"/>
      <c r="B70" s="605"/>
      <c r="C70" s="534"/>
      <c r="D70" s="535"/>
      <c r="E70" s="536"/>
      <c r="F70" s="1165"/>
      <c r="G70" s="1194"/>
    </row>
    <row r="71" spans="1:7">
      <c r="A71" s="331" t="s">
        <v>1455</v>
      </c>
      <c r="B71" s="605"/>
      <c r="C71" s="534" t="s">
        <v>1456</v>
      </c>
      <c r="D71" s="535" t="s">
        <v>574</v>
      </c>
      <c r="E71" s="536">
        <v>1.5</v>
      </c>
      <c r="F71" s="1165"/>
      <c r="G71" s="1194"/>
    </row>
    <row r="72" spans="1:7">
      <c r="A72" s="331"/>
      <c r="B72" s="605"/>
      <c r="C72" s="534"/>
      <c r="D72" s="535"/>
      <c r="E72" s="536"/>
      <c r="F72" s="1165"/>
      <c r="G72" s="1264"/>
    </row>
    <row r="73" spans="1:7">
      <c r="A73" s="328"/>
      <c r="B73" s="999" t="s">
        <v>480</v>
      </c>
      <c r="C73" s="850" t="s">
        <v>973</v>
      </c>
      <c r="D73" s="535"/>
      <c r="E73" s="536"/>
      <c r="F73" s="1165"/>
      <c r="G73" s="1264"/>
    </row>
    <row r="74" spans="1:7">
      <c r="A74" s="328"/>
      <c r="B74" s="999"/>
      <c r="C74" s="534"/>
      <c r="D74" s="535"/>
      <c r="E74" s="536"/>
      <c r="F74" s="1165"/>
      <c r="G74" s="1264"/>
    </row>
    <row r="75" spans="1:7">
      <c r="A75" s="328"/>
      <c r="B75" s="999" t="s">
        <v>1170</v>
      </c>
      <c r="C75" s="850" t="s">
        <v>1171</v>
      </c>
      <c r="D75" s="535"/>
      <c r="E75" s="536"/>
      <c r="F75" s="1165"/>
      <c r="G75" s="1264"/>
    </row>
    <row r="76" spans="1:7">
      <c r="A76" s="328"/>
      <c r="B76" s="999"/>
      <c r="C76" s="534"/>
      <c r="D76" s="535"/>
      <c r="E76" s="536"/>
      <c r="F76" s="1165"/>
      <c r="G76" s="1264"/>
    </row>
    <row r="77" spans="1:7">
      <c r="A77" s="331" t="s">
        <v>1457</v>
      </c>
      <c r="B77" s="999"/>
      <c r="C77" s="534" t="s">
        <v>1458</v>
      </c>
      <c r="D77" s="535" t="s">
        <v>825</v>
      </c>
      <c r="E77" s="536">
        <f>_xlfn.CEILING.MATH((2*3.45)-((1.4*1)+(1.55*1.4)),5)</f>
        <v>5</v>
      </c>
      <c r="F77" s="1200"/>
      <c r="G77" s="1201"/>
    </row>
    <row r="78" spans="1:7">
      <c r="A78" s="328"/>
      <c r="B78" s="999"/>
      <c r="C78" s="534"/>
      <c r="D78" s="535"/>
      <c r="E78" s="536"/>
      <c r="F78" s="1165"/>
      <c r="G78" s="1264"/>
    </row>
    <row r="79" spans="1:7">
      <c r="A79" s="328"/>
      <c r="B79" s="999"/>
      <c r="C79" s="534"/>
      <c r="D79" s="535"/>
      <c r="E79" s="536"/>
      <c r="F79" s="1165"/>
      <c r="G79" s="1264"/>
    </row>
    <row r="80" spans="1:7">
      <c r="A80" s="328"/>
      <c r="B80" s="999" t="s">
        <v>1176</v>
      </c>
      <c r="C80" s="850" t="s">
        <v>1177</v>
      </c>
      <c r="D80" s="535"/>
      <c r="E80" s="536"/>
      <c r="F80" s="1165"/>
      <c r="G80" s="1264"/>
    </row>
    <row r="81" spans="1:9">
      <c r="A81" s="1138"/>
      <c r="B81" s="999"/>
      <c r="C81" s="534"/>
      <c r="D81" s="535"/>
      <c r="E81" s="536"/>
      <c r="F81" s="1165"/>
      <c r="G81" s="1264"/>
    </row>
    <row r="82" spans="1:9">
      <c r="A82" s="331" t="s">
        <v>1459</v>
      </c>
      <c r="B82" s="999"/>
      <c r="C82" s="534" t="s">
        <v>1460</v>
      </c>
      <c r="D82" s="535" t="s">
        <v>825</v>
      </c>
      <c r="E82" s="536">
        <f>_xlfn.CEILING.MATH(16,5)</f>
        <v>20</v>
      </c>
      <c r="F82" s="1200"/>
      <c r="G82" s="1201"/>
    </row>
    <row r="83" spans="1:9">
      <c r="A83" s="1570" t="s">
        <v>96</v>
      </c>
      <c r="B83" s="1571"/>
      <c r="C83" s="1571"/>
      <c r="D83" s="1571"/>
      <c r="E83" s="1571"/>
      <c r="F83" s="1514"/>
      <c r="G83" s="1514"/>
    </row>
    <row r="84" spans="1:9">
      <c r="A84" s="1572"/>
      <c r="B84" s="1573"/>
      <c r="C84" s="1573"/>
      <c r="D84" s="1573"/>
      <c r="E84" s="1573"/>
      <c r="F84" s="1514"/>
      <c r="G84" s="1514"/>
    </row>
    <row r="85" spans="1:9">
      <c r="A85" s="328"/>
      <c r="B85" s="999"/>
      <c r="C85" s="332" t="s">
        <v>220</v>
      </c>
      <c r="D85" s="537"/>
      <c r="E85" s="429"/>
      <c r="F85" s="1164"/>
      <c r="G85" s="1269"/>
    </row>
    <row r="86" spans="1:9">
      <c r="A86" s="331"/>
      <c r="B86" s="605"/>
      <c r="C86" s="534"/>
      <c r="D86" s="535"/>
      <c r="E86" s="536"/>
      <c r="F86" s="1165"/>
      <c r="G86" s="1264"/>
    </row>
    <row r="87" spans="1:9">
      <c r="A87" s="328"/>
      <c r="B87" s="999"/>
      <c r="C87" s="850" t="s">
        <v>1217</v>
      </c>
      <c r="D87" s="535"/>
      <c r="E87" s="536"/>
      <c r="F87" s="1165"/>
      <c r="G87" s="1264"/>
    </row>
    <row r="88" spans="1:9">
      <c r="A88" s="328"/>
      <c r="B88" s="999"/>
      <c r="C88" s="534"/>
      <c r="D88" s="535"/>
      <c r="E88" s="536"/>
      <c r="F88" s="1165"/>
      <c r="G88" s="1264"/>
    </row>
    <row r="89" spans="1:9">
      <c r="A89" s="328" t="s">
        <v>1461</v>
      </c>
      <c r="B89" s="999"/>
      <c r="C89" s="850" t="s">
        <v>1462</v>
      </c>
      <c r="D89" s="535"/>
      <c r="E89" s="536"/>
      <c r="F89" s="1165"/>
      <c r="G89" s="1264"/>
    </row>
    <row r="90" spans="1:9">
      <c r="A90" s="328"/>
      <c r="B90" s="999"/>
      <c r="C90" s="534"/>
      <c r="D90" s="535"/>
      <c r="E90" s="536"/>
      <c r="F90" s="1166"/>
      <c r="G90" s="1270"/>
    </row>
    <row r="91" spans="1:9" ht="38.25">
      <c r="A91" s="328" t="s">
        <v>1463</v>
      </c>
      <c r="B91" s="999"/>
      <c r="C91" s="534" t="s">
        <v>1464</v>
      </c>
      <c r="D91" s="535" t="s">
        <v>70</v>
      </c>
      <c r="E91" s="536">
        <v>1</v>
      </c>
      <c r="F91" s="1200"/>
      <c r="G91" s="1201"/>
    </row>
    <row r="92" spans="1:9">
      <c r="A92" s="328"/>
      <c r="B92" s="999"/>
      <c r="C92" s="534"/>
      <c r="D92" s="535"/>
      <c r="E92" s="536"/>
      <c r="F92" s="1166"/>
      <c r="G92" s="1270"/>
    </row>
    <row r="93" spans="1:9" ht="25.5">
      <c r="A93" s="328" t="s">
        <v>1465</v>
      </c>
      <c r="B93" s="999"/>
      <c r="C93" s="534" t="s">
        <v>1466</v>
      </c>
      <c r="D93" s="535" t="s">
        <v>70</v>
      </c>
      <c r="E93" s="536">
        <v>1</v>
      </c>
      <c r="F93" s="1200"/>
      <c r="G93" s="1201"/>
    </row>
    <row r="94" spans="1:9">
      <c r="A94" s="328"/>
      <c r="B94" s="999"/>
      <c r="C94" s="534"/>
      <c r="D94" s="535"/>
      <c r="E94" s="536"/>
      <c r="F94" s="1165"/>
      <c r="G94" s="1264"/>
    </row>
    <row r="95" spans="1:9" s="306" customFormat="1">
      <c r="A95" s="331" t="s">
        <v>1467</v>
      </c>
      <c r="B95" s="330" t="s">
        <v>1235</v>
      </c>
      <c r="C95" s="321" t="s">
        <v>1236</v>
      </c>
      <c r="D95" s="316"/>
      <c r="E95" s="322"/>
      <c r="F95" s="1266"/>
      <c r="G95" s="1266"/>
      <c r="H95" s="247"/>
      <c r="I95" s="247"/>
    </row>
    <row r="96" spans="1:9">
      <c r="A96" s="328"/>
      <c r="B96" s="999"/>
      <c r="C96" s="854"/>
      <c r="D96" s="535"/>
      <c r="E96" s="536"/>
      <c r="F96" s="1165"/>
      <c r="G96" s="1264"/>
    </row>
    <row r="97" spans="1:10">
      <c r="A97" s="328" t="s">
        <v>1468</v>
      </c>
      <c r="B97" s="999"/>
      <c r="C97" s="534" t="s">
        <v>1469</v>
      </c>
      <c r="D97" s="535" t="s">
        <v>70</v>
      </c>
      <c r="E97" s="536">
        <v>1</v>
      </c>
      <c r="F97" s="1200"/>
      <c r="G97" s="1201"/>
    </row>
    <row r="98" spans="1:10">
      <c r="A98" s="328"/>
      <c r="B98" s="999"/>
      <c r="C98" s="534"/>
      <c r="D98" s="535"/>
      <c r="E98" s="413"/>
      <c r="F98" s="1165"/>
      <c r="G98" s="1264"/>
    </row>
    <row r="99" spans="1:10" s="246" customFormat="1">
      <c r="A99" s="753" t="s">
        <v>1470</v>
      </c>
      <c r="B99" s="999" t="s">
        <v>1471</v>
      </c>
      <c r="C99" s="760" t="s">
        <v>1472</v>
      </c>
      <c r="D99" s="658" t="s">
        <v>825</v>
      </c>
      <c r="E99" s="536">
        <f>_xlfn.CEILING.MATH((1.4*1.05)+(5.9*1.4),5)</f>
        <v>10</v>
      </c>
      <c r="F99" s="1200"/>
      <c r="G99" s="1201"/>
      <c r="H99" s="679"/>
      <c r="I99" s="679"/>
      <c r="J99" s="679"/>
    </row>
    <row r="100" spans="1:10" s="246" customFormat="1">
      <c r="A100" s="328"/>
      <c r="B100" s="999"/>
      <c r="C100" s="760"/>
      <c r="D100" s="658"/>
      <c r="E100" s="536"/>
      <c r="F100" s="1271"/>
      <c r="G100" s="1194"/>
      <c r="H100" s="679"/>
      <c r="I100" s="679"/>
      <c r="J100" s="679"/>
    </row>
    <row r="101" spans="1:10" s="246" customFormat="1" ht="25.5">
      <c r="A101" s="753" t="s">
        <v>1473</v>
      </c>
      <c r="B101" s="999"/>
      <c r="C101" s="760" t="s">
        <v>1474</v>
      </c>
      <c r="D101" s="658" t="s">
        <v>1319</v>
      </c>
      <c r="E101" s="536">
        <v>2</v>
      </c>
      <c r="F101" s="1200"/>
      <c r="G101" s="1201"/>
      <c r="H101" s="679"/>
      <c r="I101" s="679"/>
      <c r="J101" s="679"/>
    </row>
    <row r="102" spans="1:10" s="246" customFormat="1">
      <c r="A102" s="753"/>
      <c r="B102" s="999"/>
      <c r="C102" s="760"/>
      <c r="D102" s="658"/>
      <c r="E102" s="536"/>
      <c r="F102" s="1271"/>
      <c r="G102" s="1194"/>
      <c r="H102" s="679"/>
      <c r="I102" s="679"/>
      <c r="J102" s="679"/>
    </row>
    <row r="103" spans="1:10">
      <c r="A103" s="753"/>
      <c r="B103" s="998"/>
      <c r="C103" s="533" t="s">
        <v>1249</v>
      </c>
      <c r="D103" s="658"/>
      <c r="E103" s="754"/>
      <c r="F103" s="1245"/>
      <c r="G103" s="1194"/>
      <c r="H103" s="290"/>
      <c r="I103" s="290"/>
      <c r="J103" s="255"/>
    </row>
    <row r="104" spans="1:10">
      <c r="A104" s="753"/>
      <c r="B104" s="998"/>
      <c r="C104" s="760"/>
      <c r="D104" s="658"/>
      <c r="E104" s="754"/>
      <c r="F104" s="1245"/>
      <c r="G104" s="1194"/>
      <c r="H104" s="290"/>
      <c r="I104" s="290"/>
      <c r="J104" s="255"/>
    </row>
    <row r="105" spans="1:10" ht="25.5">
      <c r="A105" s="753" t="s">
        <v>1475</v>
      </c>
      <c r="B105" s="998"/>
      <c r="C105" s="534" t="s">
        <v>1476</v>
      </c>
      <c r="D105" s="658" t="s">
        <v>70</v>
      </c>
      <c r="E105" s="754">
        <v>2</v>
      </c>
      <c r="F105" s="1200"/>
      <c r="G105" s="1201"/>
      <c r="H105" s="290"/>
      <c r="I105" s="290"/>
      <c r="J105" s="255"/>
    </row>
    <row r="106" spans="1:10">
      <c r="A106" s="328"/>
      <c r="B106" s="999"/>
      <c r="C106" s="534"/>
      <c r="D106" s="535"/>
      <c r="E106" s="536"/>
      <c r="F106" s="1165"/>
      <c r="G106" s="1264"/>
    </row>
    <row r="107" spans="1:10">
      <c r="A107" s="328" t="s">
        <v>1477</v>
      </c>
      <c r="B107" s="999" t="s">
        <v>1082</v>
      </c>
      <c r="C107" s="850" t="s">
        <v>1083</v>
      </c>
      <c r="D107" s="535"/>
      <c r="E107" s="536"/>
      <c r="F107" s="1165"/>
      <c r="G107" s="1264"/>
    </row>
    <row r="108" spans="1:10">
      <c r="A108" s="328"/>
      <c r="B108" s="855"/>
      <c r="C108" s="534"/>
      <c r="D108" s="535"/>
      <c r="E108" s="536"/>
      <c r="F108" s="1165"/>
      <c r="G108" s="1264"/>
    </row>
    <row r="109" spans="1:10" ht="25.5">
      <c r="A109" s="331"/>
      <c r="B109" s="856" t="s">
        <v>1084</v>
      </c>
      <c r="C109" s="850" t="s">
        <v>1478</v>
      </c>
      <c r="D109" s="535"/>
      <c r="E109" s="536"/>
      <c r="F109" s="1165"/>
      <c r="G109" s="1264"/>
    </row>
    <row r="110" spans="1:10">
      <c r="A110" s="331"/>
      <c r="B110" s="853"/>
      <c r="C110" s="534"/>
      <c r="D110" s="535"/>
      <c r="E110" s="857"/>
      <c r="F110" s="1165"/>
      <c r="G110" s="1264"/>
    </row>
    <row r="111" spans="1:10">
      <c r="A111" s="328" t="s">
        <v>1479</v>
      </c>
      <c r="B111" s="853"/>
      <c r="C111" s="1135" t="s">
        <v>1480</v>
      </c>
      <c r="D111" s="535" t="s">
        <v>70</v>
      </c>
      <c r="E111" s="851">
        <v>3</v>
      </c>
      <c r="F111" s="1200"/>
      <c r="G111" s="1201"/>
    </row>
    <row r="112" spans="1:10">
      <c r="A112" s="331"/>
      <c r="B112" s="853"/>
      <c r="C112" s="1135"/>
      <c r="D112" s="535"/>
      <c r="E112" s="851"/>
      <c r="F112" s="1190"/>
      <c r="G112" s="1264"/>
    </row>
    <row r="113" spans="1:10">
      <c r="A113" s="328" t="s">
        <v>1481</v>
      </c>
      <c r="B113" s="853"/>
      <c r="C113" s="1135" t="s">
        <v>1482</v>
      </c>
      <c r="D113" s="535" t="s">
        <v>70</v>
      </c>
      <c r="E113" s="851">
        <v>4</v>
      </c>
      <c r="F113" s="1200"/>
      <c r="G113" s="1201"/>
    </row>
    <row r="114" spans="1:10">
      <c r="A114" s="331"/>
      <c r="B114" s="853"/>
      <c r="C114" s="1135"/>
      <c r="D114" s="535"/>
      <c r="E114" s="851"/>
      <c r="F114" s="1190"/>
      <c r="G114" s="1264"/>
    </row>
    <row r="115" spans="1:10">
      <c r="A115" s="328" t="s">
        <v>1483</v>
      </c>
      <c r="B115" s="853"/>
      <c r="C115" s="1135" t="s">
        <v>1484</v>
      </c>
      <c r="D115" s="535" t="s">
        <v>70</v>
      </c>
      <c r="E115" s="851">
        <v>2</v>
      </c>
      <c r="F115" s="1200"/>
      <c r="G115" s="1201"/>
    </row>
    <row r="116" spans="1:10">
      <c r="A116" s="331"/>
      <c r="B116" s="853"/>
      <c r="C116" s="1135"/>
      <c r="D116" s="535"/>
      <c r="E116" s="851"/>
      <c r="F116" s="1190"/>
      <c r="G116" s="1264"/>
    </row>
    <row r="117" spans="1:10">
      <c r="A117" s="328" t="s">
        <v>1485</v>
      </c>
      <c r="B117" s="853"/>
      <c r="C117" s="1135" t="s">
        <v>1486</v>
      </c>
      <c r="D117" s="535" t="s">
        <v>70</v>
      </c>
      <c r="E117" s="851">
        <v>1</v>
      </c>
      <c r="F117" s="1200"/>
      <c r="G117" s="1201"/>
    </row>
    <row r="118" spans="1:10">
      <c r="A118" s="659"/>
      <c r="B118" s="331"/>
      <c r="C118" s="654"/>
      <c r="D118" s="658"/>
      <c r="E118" s="756"/>
      <c r="F118" s="1227"/>
      <c r="G118" s="1194"/>
      <c r="H118" s="290"/>
      <c r="I118" s="290"/>
      <c r="J118" s="273"/>
    </row>
    <row r="119" spans="1:10" s="294" customFormat="1">
      <c r="A119" s="659" t="s">
        <v>1487</v>
      </c>
      <c r="B119" s="316" t="s">
        <v>1076</v>
      </c>
      <c r="C119" s="552" t="s">
        <v>1077</v>
      </c>
      <c r="D119" s="757"/>
      <c r="E119" s="307"/>
      <c r="F119" s="1235"/>
      <c r="G119" s="1236"/>
      <c r="J119" s="409"/>
    </row>
    <row r="120" spans="1:10">
      <c r="A120" s="659"/>
      <c r="B120" s="331"/>
      <c r="C120" s="654"/>
      <c r="D120" s="658"/>
      <c r="E120" s="756"/>
      <c r="F120" s="1227"/>
      <c r="G120" s="1194"/>
      <c r="H120" s="290"/>
      <c r="I120" s="290"/>
      <c r="J120" s="273"/>
    </row>
    <row r="121" spans="1:10">
      <c r="A121" s="262"/>
      <c r="B121" s="497" t="s">
        <v>1078</v>
      </c>
      <c r="C121" s="552" t="s">
        <v>1079</v>
      </c>
      <c r="D121" s="658"/>
      <c r="E121" s="756"/>
      <c r="F121" s="1227"/>
      <c r="G121" s="1194"/>
      <c r="H121" s="290"/>
      <c r="I121" s="290"/>
      <c r="J121" s="273"/>
    </row>
    <row r="122" spans="1:10">
      <c r="A122" s="331"/>
      <c r="B122" s="853"/>
      <c r="C122" s="1135"/>
      <c r="D122" s="535"/>
      <c r="E122" s="858"/>
      <c r="F122" s="1172"/>
      <c r="G122" s="1264"/>
    </row>
    <row r="123" spans="1:10" ht="25.5">
      <c r="A123" s="331" t="s">
        <v>1488</v>
      </c>
      <c r="B123" s="853" t="s">
        <v>1114</v>
      </c>
      <c r="C123" s="1135" t="s">
        <v>1489</v>
      </c>
      <c r="D123" s="535" t="s">
        <v>335</v>
      </c>
      <c r="E123" s="858">
        <v>1</v>
      </c>
      <c r="F123" s="1188"/>
      <c r="G123" s="1270"/>
    </row>
    <row r="124" spans="1:10">
      <c r="A124" s="331"/>
      <c r="B124" s="853"/>
      <c r="C124" s="1135"/>
      <c r="D124" s="535"/>
      <c r="E124" s="857"/>
      <c r="F124" s="1165"/>
      <c r="G124" s="1264"/>
    </row>
    <row r="125" spans="1:10">
      <c r="A125" s="316">
        <v>5.2</v>
      </c>
      <c r="B125" s="853"/>
      <c r="C125" s="1139" t="s">
        <v>1490</v>
      </c>
      <c r="D125" s="564"/>
      <c r="E125" s="857"/>
      <c r="F125" s="1165"/>
      <c r="G125" s="1264"/>
    </row>
    <row r="126" spans="1:10">
      <c r="A126" s="328"/>
      <c r="B126" s="999"/>
      <c r="C126" s="534"/>
      <c r="D126" s="535"/>
      <c r="E126" s="536"/>
      <c r="F126" s="1165"/>
      <c r="G126" s="1264"/>
    </row>
    <row r="127" spans="1:10">
      <c r="A127" s="323" t="s">
        <v>1491</v>
      </c>
      <c r="B127" s="859" t="s">
        <v>1057</v>
      </c>
      <c r="C127" s="333" t="s">
        <v>820</v>
      </c>
      <c r="D127" s="334"/>
      <c r="E127" s="335"/>
      <c r="F127" s="1266"/>
      <c r="G127" s="1272"/>
    </row>
    <row r="128" spans="1:10">
      <c r="A128" s="323"/>
      <c r="B128" s="860"/>
      <c r="C128" s="848"/>
      <c r="D128" s="1140"/>
      <c r="E128" s="536"/>
      <c r="F128" s="1165"/>
      <c r="G128" s="1264"/>
    </row>
    <row r="129" spans="1:10">
      <c r="A129" s="323"/>
      <c r="B129" s="860" t="s">
        <v>413</v>
      </c>
      <c r="C129" s="318" t="s">
        <v>1421</v>
      </c>
      <c r="D129" s="845"/>
      <c r="E129" s="536"/>
      <c r="F129" s="1165"/>
      <c r="G129" s="1264"/>
    </row>
    <row r="130" spans="1:10">
      <c r="A130" s="336"/>
      <c r="B130" s="1031"/>
      <c r="C130" s="1141"/>
      <c r="D130" s="845"/>
      <c r="E130" s="536"/>
      <c r="F130" s="1165"/>
      <c r="G130" s="1264"/>
    </row>
    <row r="131" spans="1:10" ht="25.5">
      <c r="A131" s="336"/>
      <c r="B131" s="1031" t="s">
        <v>1492</v>
      </c>
      <c r="C131" s="333" t="s">
        <v>1422</v>
      </c>
      <c r="D131" s="845"/>
      <c r="E131" s="536"/>
      <c r="F131" s="1165"/>
      <c r="G131" s="1264"/>
    </row>
    <row r="132" spans="1:10">
      <c r="A132" s="659"/>
      <c r="B132" s="331"/>
      <c r="C132" s="654"/>
      <c r="D132" s="658"/>
      <c r="E132" s="756"/>
      <c r="F132" s="1227"/>
      <c r="G132" s="1194"/>
      <c r="H132" s="290"/>
      <c r="I132" s="290"/>
      <c r="J132" s="273"/>
    </row>
    <row r="133" spans="1:10">
      <c r="A133" s="336" t="s">
        <v>1493</v>
      </c>
      <c r="B133" s="1031"/>
      <c r="C133" s="1030" t="s">
        <v>1062</v>
      </c>
      <c r="D133" s="606" t="s">
        <v>574</v>
      </c>
      <c r="E133" s="536">
        <f>_xlfn.CEILING.MATH((3.7*3.9*2))</f>
        <v>29</v>
      </c>
      <c r="F133" s="1200"/>
      <c r="G133" s="1201"/>
      <c r="I133" s="273"/>
    </row>
    <row r="134" spans="1:10">
      <c r="A134" s="336"/>
      <c r="B134" s="1031"/>
      <c r="C134" s="1030"/>
      <c r="D134" s="606"/>
      <c r="E134" s="536"/>
      <c r="F134" s="1165"/>
      <c r="G134" s="1264"/>
    </row>
    <row r="135" spans="1:10">
      <c r="A135" s="336" t="s">
        <v>1494</v>
      </c>
      <c r="B135" s="1031"/>
      <c r="C135" s="1030" t="s">
        <v>1064</v>
      </c>
      <c r="D135" s="606" t="s">
        <v>574</v>
      </c>
      <c r="E135" s="536">
        <f>_xlfn.CEILING.MATH((3.7*3.9*1.25))</f>
        <v>19</v>
      </c>
      <c r="F135" s="1200"/>
      <c r="G135" s="1201"/>
    </row>
    <row r="136" spans="1:10">
      <c r="A136" s="336"/>
      <c r="B136" s="1031"/>
      <c r="C136" s="1141"/>
      <c r="D136" s="606"/>
      <c r="E136" s="536"/>
      <c r="F136" s="1165"/>
      <c r="G136" s="1264"/>
    </row>
    <row r="137" spans="1:10">
      <c r="A137" s="336" t="s">
        <v>1495</v>
      </c>
      <c r="B137" s="1031"/>
      <c r="C137" s="1141" t="s">
        <v>1496</v>
      </c>
      <c r="D137" s="606" t="s">
        <v>574</v>
      </c>
      <c r="E137" s="536">
        <f>_xlfn.CEILING.MATH((3.7*3.9*3.5))</f>
        <v>51</v>
      </c>
      <c r="F137" s="1200"/>
      <c r="G137" s="1201"/>
    </row>
    <row r="138" spans="1:10">
      <c r="A138" s="336"/>
      <c r="B138" s="1031"/>
      <c r="C138" s="1141"/>
      <c r="D138" s="606"/>
      <c r="E138" s="536"/>
      <c r="F138" s="1165"/>
      <c r="G138" s="1264"/>
    </row>
    <row r="139" spans="1:10">
      <c r="A139" s="336" t="s">
        <v>1497</v>
      </c>
      <c r="B139" s="1031"/>
      <c r="C139" s="848" t="s">
        <v>1498</v>
      </c>
      <c r="D139" s="606" t="s">
        <v>574</v>
      </c>
      <c r="E139" s="536">
        <f>_xlfn.CEILING.MATH(E137*0.4,1)</f>
        <v>21</v>
      </c>
      <c r="F139" s="1200"/>
      <c r="G139" s="1201"/>
    </row>
    <row r="140" spans="1:10">
      <c r="A140" s="328"/>
      <c r="B140" s="999"/>
      <c r="C140" s="1142"/>
      <c r="D140" s="537"/>
      <c r="E140" s="608"/>
      <c r="F140" s="1172"/>
      <c r="G140" s="1269"/>
    </row>
    <row r="141" spans="1:10" ht="25.5">
      <c r="A141" s="748" t="s">
        <v>1499</v>
      </c>
      <c r="B141" s="1031"/>
      <c r="C141" s="1073" t="s">
        <v>1500</v>
      </c>
      <c r="D141" s="665" t="s">
        <v>574</v>
      </c>
      <c r="E141" s="754">
        <v>35</v>
      </c>
      <c r="F141" s="1200"/>
      <c r="G141" s="1201"/>
      <c r="H141" s="273"/>
    </row>
    <row r="142" spans="1:10">
      <c r="A142" s="328"/>
      <c r="B142" s="860"/>
      <c r="C142" s="654"/>
      <c r="D142" s="665"/>
      <c r="E142" s="754"/>
      <c r="F142" s="1265"/>
      <c r="G142" s="1194"/>
      <c r="H142" s="273"/>
    </row>
    <row r="143" spans="1:10">
      <c r="A143" s="748" t="s">
        <v>1501</v>
      </c>
      <c r="B143" s="860" t="s">
        <v>844</v>
      </c>
      <c r="C143" s="654" t="s">
        <v>845</v>
      </c>
      <c r="D143" s="659" t="s">
        <v>846</v>
      </c>
      <c r="E143" s="754">
        <v>50</v>
      </c>
      <c r="F143" s="1200"/>
      <c r="G143" s="1201"/>
      <c r="H143" s="273"/>
    </row>
    <row r="144" spans="1:10">
      <c r="A144" s="659"/>
      <c r="B144" s="331"/>
      <c r="C144" s="654"/>
      <c r="D144" s="658"/>
      <c r="E144" s="756"/>
      <c r="F144" s="1227"/>
      <c r="G144" s="1194"/>
      <c r="H144" s="290"/>
      <c r="I144" s="290"/>
      <c r="J144" s="273"/>
    </row>
    <row r="145" spans="1:7">
      <c r="A145" s="328" t="s">
        <v>1502</v>
      </c>
      <c r="B145" s="861" t="s">
        <v>953</v>
      </c>
      <c r="C145" s="1143" t="s">
        <v>1092</v>
      </c>
      <c r="D145" s="535"/>
      <c r="E145" s="536"/>
      <c r="F145" s="1165"/>
      <c r="G145" s="1264"/>
    </row>
    <row r="146" spans="1:7">
      <c r="A146" s="328"/>
      <c r="B146" s="999"/>
      <c r="C146" s="1135"/>
      <c r="D146" s="535"/>
      <c r="E146" s="536"/>
      <c r="F146" s="1165"/>
      <c r="G146" s="1264"/>
    </row>
    <row r="147" spans="1:7">
      <c r="A147" s="328"/>
      <c r="B147" s="1031">
        <v>8.1999999999999993</v>
      </c>
      <c r="C147" s="1137" t="s">
        <v>955</v>
      </c>
      <c r="D147" s="535"/>
      <c r="E147" s="536"/>
      <c r="F147" s="1165"/>
      <c r="G147" s="1264"/>
    </row>
    <row r="148" spans="1:7">
      <c r="A148" s="328"/>
      <c r="B148" s="1031"/>
      <c r="C148" s="848"/>
      <c r="D148" s="535"/>
      <c r="E148" s="536"/>
      <c r="F148" s="1165"/>
      <c r="G148" s="1264"/>
    </row>
    <row r="149" spans="1:7">
      <c r="A149" s="328"/>
      <c r="B149" s="1031" t="s">
        <v>994</v>
      </c>
      <c r="C149" s="849" t="s">
        <v>1093</v>
      </c>
      <c r="D149" s="535"/>
      <c r="E149" s="536"/>
      <c r="F149" s="1165"/>
      <c r="G149" s="1264"/>
    </row>
    <row r="150" spans="1:7">
      <c r="A150" s="328"/>
      <c r="B150" s="999"/>
      <c r="C150" s="534"/>
      <c r="D150" s="535"/>
      <c r="E150" s="536"/>
      <c r="F150" s="1165"/>
      <c r="G150" s="1264"/>
    </row>
    <row r="151" spans="1:7">
      <c r="A151" s="328"/>
      <c r="B151" s="999"/>
      <c r="C151" s="850" t="s">
        <v>1094</v>
      </c>
      <c r="D151" s="535"/>
      <c r="E151" s="536"/>
      <c r="F151" s="1165"/>
      <c r="G151" s="1264"/>
    </row>
    <row r="152" spans="1:7">
      <c r="A152" s="328"/>
      <c r="B152" s="999"/>
      <c r="C152" s="534"/>
      <c r="D152" s="535"/>
      <c r="E152" s="536"/>
      <c r="F152" s="1165"/>
      <c r="G152" s="1264"/>
    </row>
    <row r="153" spans="1:7">
      <c r="A153" s="328" t="s">
        <v>1503</v>
      </c>
      <c r="B153" s="999"/>
      <c r="C153" s="534" t="s">
        <v>1504</v>
      </c>
      <c r="D153" s="535" t="s">
        <v>825</v>
      </c>
      <c r="E153" s="536">
        <v>86</v>
      </c>
      <c r="F153" s="1165"/>
      <c r="G153" s="1194"/>
    </row>
    <row r="154" spans="1:7">
      <c r="A154" s="328"/>
      <c r="B154" s="999"/>
      <c r="C154" s="534"/>
      <c r="D154" s="535"/>
      <c r="E154" s="536"/>
      <c r="F154" s="1165"/>
      <c r="G154" s="1194"/>
    </row>
    <row r="155" spans="1:7">
      <c r="A155" s="328"/>
      <c r="B155" s="999"/>
      <c r="C155" s="534"/>
      <c r="D155" s="535"/>
      <c r="E155" s="536"/>
      <c r="F155" s="1165"/>
      <c r="G155" s="1194"/>
    </row>
    <row r="156" spans="1:7">
      <c r="A156" s="328"/>
      <c r="B156" s="999"/>
      <c r="C156" s="534"/>
      <c r="D156" s="535"/>
      <c r="E156" s="536"/>
      <c r="F156" s="1165"/>
      <c r="G156" s="1194"/>
    </row>
    <row r="157" spans="1:7">
      <c r="A157" s="328"/>
      <c r="B157" s="999"/>
      <c r="C157" s="534"/>
      <c r="D157" s="535"/>
      <c r="E157" s="536"/>
      <c r="F157" s="1165"/>
      <c r="G157" s="1194"/>
    </row>
    <row r="158" spans="1:7">
      <c r="A158" s="1570" t="s">
        <v>96</v>
      </c>
      <c r="B158" s="1571"/>
      <c r="C158" s="1571"/>
      <c r="D158" s="1571"/>
      <c r="E158" s="1571"/>
      <c r="F158" s="1514"/>
      <c r="G158" s="1514"/>
    </row>
    <row r="159" spans="1:7">
      <c r="A159" s="1572"/>
      <c r="B159" s="1573"/>
      <c r="C159" s="1573"/>
      <c r="D159" s="1573"/>
      <c r="E159" s="1573"/>
      <c r="F159" s="1514"/>
      <c r="G159" s="1514"/>
    </row>
    <row r="160" spans="1:7">
      <c r="A160" s="328"/>
      <c r="B160" s="999"/>
      <c r="C160" s="352" t="s">
        <v>220</v>
      </c>
      <c r="D160" s="537"/>
      <c r="E160" s="429"/>
      <c r="F160" s="1164"/>
      <c r="G160" s="1269"/>
    </row>
    <row r="161" spans="1:10">
      <c r="A161" s="336"/>
      <c r="B161" s="1031"/>
      <c r="C161" s="1141"/>
      <c r="D161" s="606"/>
      <c r="E161" s="536"/>
      <c r="F161" s="1165"/>
      <c r="G161" s="1264"/>
    </row>
    <row r="162" spans="1:10">
      <c r="A162" s="328" t="s">
        <v>1505</v>
      </c>
      <c r="B162" s="999"/>
      <c r="C162" s="1135" t="s">
        <v>1437</v>
      </c>
      <c r="D162" s="535" t="s">
        <v>825</v>
      </c>
      <c r="E162" s="536">
        <v>1</v>
      </c>
      <c r="F162" s="1165"/>
      <c r="G162" s="1194"/>
    </row>
    <row r="163" spans="1:10">
      <c r="A163" s="328"/>
      <c r="B163" s="999"/>
      <c r="C163" s="1135"/>
      <c r="D163" s="535"/>
      <c r="E163" s="536"/>
      <c r="F163" s="1165"/>
      <c r="G163" s="1264"/>
    </row>
    <row r="164" spans="1:10">
      <c r="A164" s="328"/>
      <c r="B164" s="999"/>
      <c r="C164" s="850" t="s">
        <v>1506</v>
      </c>
      <c r="D164" s="535"/>
      <c r="E164" s="536"/>
      <c r="F164" s="1165"/>
      <c r="G164" s="1264"/>
    </row>
    <row r="165" spans="1:10">
      <c r="A165" s="328"/>
      <c r="B165" s="999"/>
      <c r="C165" s="1135"/>
      <c r="D165" s="535"/>
      <c r="E165" s="536"/>
      <c r="F165" s="1165"/>
      <c r="G165" s="1264"/>
    </row>
    <row r="166" spans="1:10">
      <c r="A166" s="328"/>
      <c r="B166" s="999" t="s">
        <v>1507</v>
      </c>
      <c r="C166" s="850" t="s">
        <v>1124</v>
      </c>
      <c r="D166" s="535"/>
      <c r="E166" s="536"/>
      <c r="F166" s="1165"/>
      <c r="G166" s="1264"/>
    </row>
    <row r="167" spans="1:10">
      <c r="A167" s="328"/>
      <c r="B167" s="999"/>
      <c r="C167" s="1135"/>
      <c r="D167" s="535"/>
      <c r="E167" s="862"/>
      <c r="F167" s="1165"/>
      <c r="G167" s="1264"/>
    </row>
    <row r="168" spans="1:10">
      <c r="A168" s="328"/>
      <c r="B168" s="999" t="s">
        <v>1508</v>
      </c>
      <c r="C168" s="1139" t="s">
        <v>1509</v>
      </c>
      <c r="D168" s="535"/>
      <c r="E168" s="536"/>
      <c r="F168" s="1168"/>
      <c r="G168" s="1264"/>
    </row>
    <row r="169" spans="1:10">
      <c r="A169" s="328"/>
      <c r="B169" s="999"/>
      <c r="C169" s="1135"/>
      <c r="D169" s="535"/>
      <c r="E169" s="536"/>
      <c r="F169" s="1168"/>
      <c r="G169" s="1264"/>
    </row>
    <row r="170" spans="1:10">
      <c r="A170" s="328" t="s">
        <v>1510</v>
      </c>
      <c r="B170" s="999"/>
      <c r="C170" s="1135" t="s">
        <v>1511</v>
      </c>
      <c r="D170" s="535" t="s">
        <v>70</v>
      </c>
      <c r="E170" s="536">
        <v>2</v>
      </c>
      <c r="F170" s="1168"/>
      <c r="G170" s="1194"/>
    </row>
    <row r="171" spans="1:10">
      <c r="A171" s="328"/>
      <c r="B171" s="999"/>
      <c r="C171" s="1135"/>
      <c r="D171" s="535"/>
      <c r="E171" s="536"/>
      <c r="F171" s="1168"/>
      <c r="G171" s="1264"/>
    </row>
    <row r="172" spans="1:10">
      <c r="A172" s="753"/>
      <c r="B172" s="998" t="s">
        <v>1128</v>
      </c>
      <c r="C172" s="533" t="s">
        <v>1129</v>
      </c>
      <c r="D172" s="658"/>
      <c r="E172" s="754"/>
      <c r="F172" s="1227"/>
      <c r="G172" s="1194"/>
      <c r="H172" s="290"/>
      <c r="I172" s="290"/>
      <c r="J172" s="255"/>
    </row>
    <row r="173" spans="1:10">
      <c r="A173" s="328"/>
      <c r="B173" s="999"/>
      <c r="C173" s="1135"/>
      <c r="D173" s="535"/>
      <c r="E173" s="536"/>
      <c r="F173" s="1168"/>
      <c r="G173" s="1264"/>
    </row>
    <row r="174" spans="1:10">
      <c r="A174" s="328" t="s">
        <v>1512</v>
      </c>
      <c r="B174" s="999"/>
      <c r="C174" s="1135" t="s">
        <v>1513</v>
      </c>
      <c r="D174" s="535" t="s">
        <v>818</v>
      </c>
      <c r="E174" s="536">
        <f>_xlfn.CEILING.MATH((3.9+3.7)*2*2,5)</f>
        <v>35</v>
      </c>
      <c r="F174" s="1168"/>
      <c r="G174" s="1194"/>
    </row>
    <row r="175" spans="1:10">
      <c r="A175" s="328"/>
      <c r="B175" s="999"/>
      <c r="C175" s="1135"/>
      <c r="D175" s="535"/>
      <c r="E175" s="536"/>
      <c r="F175" s="1168"/>
      <c r="G175" s="1264"/>
    </row>
    <row r="176" spans="1:10">
      <c r="A176" s="328"/>
      <c r="B176" s="999">
        <v>8.3000000000000007</v>
      </c>
      <c r="C176" s="850" t="s">
        <v>958</v>
      </c>
      <c r="D176" s="535"/>
      <c r="E176" s="327"/>
      <c r="F176" s="1164"/>
      <c r="G176" s="1264"/>
    </row>
    <row r="177" spans="1:11">
      <c r="A177" s="328"/>
      <c r="B177" s="999"/>
      <c r="C177" s="534"/>
      <c r="D177" s="535"/>
      <c r="E177" s="327"/>
      <c r="F177" s="1164"/>
      <c r="G177" s="1264"/>
    </row>
    <row r="178" spans="1:11">
      <c r="A178" s="328" t="s">
        <v>1514</v>
      </c>
      <c r="B178" s="1079" t="s">
        <v>331</v>
      </c>
      <c r="C178" s="534" t="s">
        <v>960</v>
      </c>
      <c r="D178" s="535" t="s">
        <v>961</v>
      </c>
      <c r="E178" s="857">
        <f>_xlfn.CEILING.MATH(((SUM(E198:E202)*100)/1000),2)</f>
        <v>2</v>
      </c>
      <c r="F178" s="1200"/>
      <c r="G178" s="1201"/>
    </row>
    <row r="179" spans="1:11">
      <c r="A179" s="328"/>
      <c r="B179" s="1079"/>
      <c r="C179" s="534"/>
      <c r="D179" s="535"/>
      <c r="E179" s="652"/>
      <c r="F179" s="1164"/>
      <c r="G179" s="1264"/>
    </row>
    <row r="180" spans="1:11">
      <c r="A180" s="328" t="s">
        <v>1515</v>
      </c>
      <c r="B180" s="1079" t="s">
        <v>331</v>
      </c>
      <c r="C180" s="534" t="s">
        <v>1516</v>
      </c>
      <c r="D180" s="535" t="s">
        <v>961</v>
      </c>
      <c r="E180" s="863">
        <f>E178*0.35</f>
        <v>0.7</v>
      </c>
      <c r="F180" s="1200"/>
      <c r="G180" s="1201"/>
    </row>
    <row r="181" spans="1:11">
      <c r="A181" s="331"/>
      <c r="B181" s="564"/>
      <c r="C181" s="534"/>
      <c r="D181" s="535"/>
      <c r="E181" s="326"/>
      <c r="F181" s="1164"/>
      <c r="G181" s="1264"/>
    </row>
    <row r="182" spans="1:11" s="246" customFormat="1">
      <c r="A182" s="660"/>
      <c r="B182" s="504" t="s">
        <v>363</v>
      </c>
      <c r="C182" s="301" t="s">
        <v>964</v>
      </c>
      <c r="D182" s="687"/>
      <c r="E182" s="716"/>
      <c r="F182" s="1215"/>
      <c r="G182" s="1215"/>
      <c r="H182" s="679"/>
      <c r="I182" s="679"/>
      <c r="J182" s="679"/>
      <c r="K182" s="255"/>
    </row>
    <row r="183" spans="1:11" s="246" customFormat="1">
      <c r="A183" s="660"/>
      <c r="B183" s="570"/>
      <c r="C183" s="864"/>
      <c r="D183" s="687"/>
      <c r="E183" s="716"/>
      <c r="F183" s="1215"/>
      <c r="G183" s="1215"/>
      <c r="H183" s="679"/>
      <c r="I183" s="679"/>
      <c r="J183" s="679"/>
      <c r="K183" s="255"/>
    </row>
    <row r="184" spans="1:11" s="246" customFormat="1" ht="15">
      <c r="A184" s="660" t="s">
        <v>1517</v>
      </c>
      <c r="B184" s="570"/>
      <c r="C184" s="865" t="s">
        <v>1518</v>
      </c>
      <c r="D184" s="708" t="s">
        <v>967</v>
      </c>
      <c r="E184" s="716">
        <f>_xlfn.CEILING.MATH(0.17*3.9*3.7*1.45,5)</f>
        <v>5</v>
      </c>
      <c r="F184" s="1200"/>
      <c r="G184" s="1201"/>
      <c r="H184" s="679"/>
      <c r="I184" s="679"/>
      <c r="J184" s="679"/>
      <c r="K184" s="255"/>
    </row>
    <row r="185" spans="1:11" s="246" customFormat="1">
      <c r="A185" s="660"/>
      <c r="B185" s="570"/>
      <c r="C185" s="865"/>
      <c r="D185" s="742"/>
      <c r="E185" s="866"/>
      <c r="F185" s="1273"/>
      <c r="G185" s="1215"/>
      <c r="H185" s="679"/>
      <c r="I185" s="679"/>
      <c r="J185" s="679"/>
      <c r="K185" s="255"/>
    </row>
    <row r="186" spans="1:11">
      <c r="A186" s="331"/>
      <c r="B186" s="564">
        <v>8.4</v>
      </c>
      <c r="C186" s="867" t="s">
        <v>968</v>
      </c>
      <c r="D186" s="535"/>
      <c r="E186" s="536"/>
      <c r="F186" s="1168"/>
      <c r="G186" s="1264"/>
    </row>
    <row r="187" spans="1:11">
      <c r="A187" s="331"/>
      <c r="B187" s="564"/>
      <c r="C187" s="755"/>
      <c r="D187" s="535"/>
      <c r="E187" s="536"/>
      <c r="F187" s="1168"/>
      <c r="G187" s="1264"/>
    </row>
    <row r="188" spans="1:11">
      <c r="A188" s="1138"/>
      <c r="B188" s="1079" t="s">
        <v>969</v>
      </c>
      <c r="C188" s="850" t="s">
        <v>1139</v>
      </c>
      <c r="D188" s="535"/>
      <c r="E188" s="536"/>
      <c r="F188" s="1168"/>
      <c r="G188" s="1264"/>
    </row>
    <row r="189" spans="1:11">
      <c r="A189" s="1138"/>
      <c r="B189" s="1079"/>
      <c r="C189" s="755"/>
      <c r="D189" s="535"/>
      <c r="E189" s="536"/>
      <c r="F189" s="1168"/>
      <c r="G189" s="1264"/>
    </row>
    <row r="190" spans="1:11">
      <c r="A190" s="328" t="s">
        <v>1519</v>
      </c>
      <c r="B190" s="999"/>
      <c r="C190" s="534" t="s">
        <v>1447</v>
      </c>
      <c r="D190" s="535" t="s">
        <v>825</v>
      </c>
      <c r="E190" s="536">
        <v>8</v>
      </c>
      <c r="F190" s="1165"/>
      <c r="G190" s="1194"/>
    </row>
    <row r="191" spans="1:11">
      <c r="A191" s="328"/>
      <c r="B191" s="999"/>
      <c r="C191" s="534"/>
      <c r="D191" s="535"/>
      <c r="E191" s="536"/>
      <c r="F191" s="1165"/>
      <c r="G191" s="1264"/>
    </row>
    <row r="192" spans="1:11">
      <c r="A192" s="328"/>
      <c r="B192" s="999" t="s">
        <v>969</v>
      </c>
      <c r="C192" s="850" t="s">
        <v>1139</v>
      </c>
      <c r="D192" s="535"/>
      <c r="E192" s="536"/>
      <c r="F192" s="1165"/>
      <c r="G192" s="1264"/>
    </row>
    <row r="193" spans="1:7">
      <c r="A193" s="328"/>
      <c r="B193" s="999"/>
      <c r="C193" s="534"/>
      <c r="D193" s="535"/>
      <c r="E193" s="536"/>
      <c r="F193" s="1165"/>
      <c r="G193" s="1264"/>
    </row>
    <row r="194" spans="1:7">
      <c r="A194" s="328" t="s">
        <v>1520</v>
      </c>
      <c r="B194" s="999" t="s">
        <v>441</v>
      </c>
      <c r="C194" s="852" t="s">
        <v>1451</v>
      </c>
      <c r="D194" s="535" t="s">
        <v>825</v>
      </c>
      <c r="E194" s="536">
        <v>15</v>
      </c>
      <c r="F194" s="1165"/>
      <c r="G194" s="1194"/>
    </row>
    <row r="195" spans="1:7">
      <c r="A195" s="328"/>
      <c r="B195" s="999"/>
      <c r="C195" s="534"/>
      <c r="D195" s="535"/>
      <c r="E195" s="536"/>
      <c r="F195" s="1165"/>
      <c r="G195" s="1264"/>
    </row>
    <row r="196" spans="1:7">
      <c r="A196" s="1138"/>
      <c r="B196" s="999" t="s">
        <v>969</v>
      </c>
      <c r="C196" s="850" t="s">
        <v>1156</v>
      </c>
      <c r="D196" s="535"/>
      <c r="E196" s="536"/>
      <c r="F196" s="1165"/>
      <c r="G196" s="1264"/>
    </row>
    <row r="197" spans="1:7">
      <c r="A197" s="328"/>
      <c r="B197" s="999"/>
      <c r="C197" s="534"/>
      <c r="D197" s="535"/>
      <c r="E197" s="536"/>
      <c r="F197" s="1168"/>
      <c r="G197" s="1264"/>
    </row>
    <row r="198" spans="1:7">
      <c r="A198" s="328" t="s">
        <v>1521</v>
      </c>
      <c r="B198" s="999"/>
      <c r="C198" s="534" t="s">
        <v>1160</v>
      </c>
      <c r="D198" s="535" t="s">
        <v>574</v>
      </c>
      <c r="E198" s="536">
        <v>5</v>
      </c>
      <c r="F198" s="1168"/>
      <c r="G198" s="1194"/>
    </row>
    <row r="199" spans="1:7">
      <c r="A199" s="328"/>
      <c r="B199" s="999"/>
      <c r="C199" s="581"/>
      <c r="D199" s="535"/>
      <c r="E199" s="536"/>
      <c r="F199" s="1168"/>
      <c r="G199" s="1264"/>
    </row>
    <row r="200" spans="1:7">
      <c r="A200" s="328" t="s">
        <v>1522</v>
      </c>
      <c r="B200" s="999"/>
      <c r="C200" s="534" t="s">
        <v>1454</v>
      </c>
      <c r="D200" s="535" t="s">
        <v>574</v>
      </c>
      <c r="E200" s="536">
        <v>14</v>
      </c>
      <c r="F200" s="1168"/>
      <c r="G200" s="1194"/>
    </row>
    <row r="201" spans="1:7">
      <c r="A201" s="328"/>
      <c r="B201" s="999"/>
      <c r="C201" s="534"/>
      <c r="D201" s="535"/>
      <c r="E201" s="536"/>
      <c r="F201" s="1168"/>
      <c r="G201" s="1264"/>
    </row>
    <row r="202" spans="1:7">
      <c r="A202" s="328" t="s">
        <v>1523</v>
      </c>
      <c r="B202" s="999"/>
      <c r="C202" s="534" t="s">
        <v>1456</v>
      </c>
      <c r="D202" s="535" t="s">
        <v>574</v>
      </c>
      <c r="E202" s="327">
        <v>0.05</v>
      </c>
      <c r="F202" s="1164"/>
      <c r="G202" s="1194"/>
    </row>
    <row r="203" spans="1:7">
      <c r="A203" s="328"/>
      <c r="B203" s="999"/>
      <c r="C203" s="534"/>
      <c r="D203" s="535"/>
      <c r="E203" s="327"/>
      <c r="F203" s="1164"/>
      <c r="G203" s="1264"/>
    </row>
    <row r="204" spans="1:7">
      <c r="A204" s="328" t="s">
        <v>1524</v>
      </c>
      <c r="B204" s="999"/>
      <c r="C204" s="534" t="s">
        <v>1525</v>
      </c>
      <c r="D204" s="535" t="s">
        <v>574</v>
      </c>
      <c r="E204" s="327">
        <f>_xlfn.CEILING.MATH(0.5*0.5*0.3,5)</f>
        <v>5</v>
      </c>
      <c r="F204" s="1164"/>
      <c r="G204" s="1194"/>
    </row>
    <row r="205" spans="1:7">
      <c r="A205" s="328"/>
      <c r="B205" s="999"/>
      <c r="C205" s="534"/>
      <c r="D205" s="535"/>
      <c r="E205" s="327"/>
      <c r="F205" s="1164"/>
      <c r="G205" s="1264"/>
    </row>
    <row r="206" spans="1:7">
      <c r="A206" s="328"/>
      <c r="B206" s="999" t="s">
        <v>480</v>
      </c>
      <c r="C206" s="850" t="s">
        <v>973</v>
      </c>
      <c r="D206" s="535"/>
      <c r="E206" s="536"/>
      <c r="F206" s="1165"/>
      <c r="G206" s="1264"/>
    </row>
    <row r="207" spans="1:7">
      <c r="A207" s="328"/>
      <c r="B207" s="999"/>
      <c r="C207" s="534"/>
      <c r="D207" s="535"/>
      <c r="E207" s="536"/>
      <c r="F207" s="1165"/>
      <c r="G207" s="1264"/>
    </row>
    <row r="208" spans="1:7">
      <c r="A208" s="328"/>
      <c r="B208" s="999" t="s">
        <v>1170</v>
      </c>
      <c r="C208" s="850" t="s">
        <v>1171</v>
      </c>
      <c r="D208" s="535"/>
      <c r="E208" s="536"/>
      <c r="F208" s="1165"/>
      <c r="G208" s="1264"/>
    </row>
    <row r="209" spans="1:7">
      <c r="A209" s="328"/>
      <c r="B209" s="999"/>
      <c r="C209" s="534"/>
      <c r="D209" s="535"/>
      <c r="E209" s="536"/>
      <c r="F209" s="1165"/>
      <c r="G209" s="1264"/>
    </row>
    <row r="210" spans="1:7">
      <c r="A210" s="328" t="s">
        <v>1526</v>
      </c>
      <c r="B210" s="999"/>
      <c r="C210" s="534" t="s">
        <v>1458</v>
      </c>
      <c r="D210" s="535" t="s">
        <v>825</v>
      </c>
      <c r="E210" s="536">
        <v>5</v>
      </c>
      <c r="F210" s="1200"/>
      <c r="G210" s="1201"/>
    </row>
    <row r="211" spans="1:7">
      <c r="A211" s="328"/>
      <c r="B211" s="999"/>
      <c r="C211" s="534"/>
      <c r="D211" s="535"/>
      <c r="E211" s="536"/>
      <c r="F211" s="1165"/>
      <c r="G211" s="1264"/>
    </row>
    <row r="212" spans="1:7">
      <c r="A212" s="1138"/>
      <c r="B212" s="999" t="s">
        <v>1176</v>
      </c>
      <c r="C212" s="850" t="s">
        <v>1177</v>
      </c>
      <c r="D212" s="535"/>
      <c r="E212" s="536"/>
      <c r="F212" s="1165"/>
      <c r="G212" s="1264"/>
    </row>
    <row r="213" spans="1:7">
      <c r="A213" s="1138"/>
      <c r="B213" s="999"/>
      <c r="C213" s="534"/>
      <c r="D213" s="535"/>
      <c r="E213" s="536"/>
      <c r="F213" s="1165"/>
      <c r="G213" s="1264"/>
    </row>
    <row r="214" spans="1:7">
      <c r="A214" s="328" t="s">
        <v>1527</v>
      </c>
      <c r="B214" s="999"/>
      <c r="C214" s="534" t="s">
        <v>1460</v>
      </c>
      <c r="D214" s="535" t="s">
        <v>825</v>
      </c>
      <c r="E214" s="536">
        <v>8</v>
      </c>
      <c r="F214" s="1200"/>
      <c r="G214" s="1201"/>
    </row>
    <row r="215" spans="1:7">
      <c r="A215" s="328"/>
      <c r="B215" s="999"/>
      <c r="C215" s="534"/>
      <c r="D215" s="535"/>
      <c r="E215" s="536"/>
      <c r="F215" s="1165"/>
      <c r="G215" s="1264"/>
    </row>
    <row r="216" spans="1:7">
      <c r="A216" s="328"/>
      <c r="B216" s="999"/>
      <c r="C216" s="850" t="s">
        <v>1217</v>
      </c>
      <c r="D216" s="537"/>
      <c r="E216" s="608"/>
      <c r="F216" s="1172"/>
      <c r="G216" s="1269"/>
    </row>
    <row r="217" spans="1:7">
      <c r="A217" s="328"/>
      <c r="B217" s="999"/>
      <c r="C217" s="850"/>
      <c r="D217" s="537"/>
      <c r="E217" s="608"/>
      <c r="F217" s="1172"/>
      <c r="G217" s="1269"/>
    </row>
    <row r="218" spans="1:7">
      <c r="A218" s="328" t="s">
        <v>1528</v>
      </c>
      <c r="B218" s="999"/>
      <c r="C218" s="850" t="s">
        <v>1462</v>
      </c>
      <c r="D218" s="535"/>
      <c r="E218" s="536"/>
      <c r="F218" s="1165"/>
      <c r="G218" s="1264"/>
    </row>
    <row r="219" spans="1:7">
      <c r="A219" s="328"/>
      <c r="B219" s="999"/>
      <c r="C219" s="534"/>
      <c r="D219" s="535"/>
      <c r="E219" s="536"/>
      <c r="F219" s="1166"/>
      <c r="G219" s="1270"/>
    </row>
    <row r="220" spans="1:7" ht="25.5">
      <c r="A220" s="331" t="s">
        <v>1529</v>
      </c>
      <c r="B220" s="853"/>
      <c r="C220" s="534" t="s">
        <v>1530</v>
      </c>
      <c r="D220" s="535" t="s">
        <v>70</v>
      </c>
      <c r="E220" s="536">
        <v>1</v>
      </c>
      <c r="F220" s="1200"/>
      <c r="G220" s="1201"/>
    </row>
    <row r="221" spans="1:7">
      <c r="A221" s="328"/>
      <c r="B221" s="999"/>
      <c r="C221" s="534"/>
      <c r="D221" s="535"/>
      <c r="E221" s="536"/>
      <c r="F221" s="1166"/>
      <c r="G221" s="1270"/>
    </row>
    <row r="222" spans="1:7">
      <c r="A222" s="331" t="s">
        <v>1531</v>
      </c>
      <c r="B222" s="338" t="s">
        <v>1235</v>
      </c>
      <c r="C222" s="321" t="s">
        <v>1236</v>
      </c>
      <c r="D222" s="339"/>
      <c r="E222" s="335"/>
      <c r="F222" s="1266"/>
      <c r="G222" s="1274"/>
    </row>
    <row r="223" spans="1:7">
      <c r="A223" s="328"/>
      <c r="B223" s="999"/>
      <c r="C223" s="854"/>
      <c r="D223" s="535"/>
      <c r="E223" s="536"/>
      <c r="F223" s="1165"/>
      <c r="G223" s="1264"/>
    </row>
    <row r="224" spans="1:7">
      <c r="A224" s="328" t="s">
        <v>1532</v>
      </c>
      <c r="B224" s="999"/>
      <c r="C224" s="534" t="s">
        <v>1533</v>
      </c>
      <c r="D224" s="535" t="s">
        <v>70</v>
      </c>
      <c r="E224" s="536">
        <v>1</v>
      </c>
      <c r="F224" s="1200"/>
      <c r="G224" s="1201"/>
    </row>
    <row r="225" spans="1:7">
      <c r="A225" s="328"/>
      <c r="B225" s="999"/>
      <c r="C225" s="534"/>
      <c r="D225" s="535"/>
      <c r="E225" s="536"/>
      <c r="F225" s="1165"/>
      <c r="G225" s="1264"/>
    </row>
    <row r="226" spans="1:7">
      <c r="A226" s="328" t="s">
        <v>1534</v>
      </c>
      <c r="B226" s="1144" t="s">
        <v>1082</v>
      </c>
      <c r="C226" s="850" t="s">
        <v>1083</v>
      </c>
      <c r="D226" s="535"/>
      <c r="E226" s="536"/>
      <c r="F226" s="1165"/>
      <c r="G226" s="1264"/>
    </row>
    <row r="227" spans="1:7">
      <c r="A227" s="328"/>
      <c r="B227" s="855"/>
      <c r="C227" s="534"/>
      <c r="D227" s="535"/>
      <c r="E227" s="536"/>
      <c r="F227" s="1165"/>
      <c r="G227" s="1264"/>
    </row>
    <row r="228" spans="1:7" ht="25.5">
      <c r="A228" s="328"/>
      <c r="B228" s="855" t="s">
        <v>1084</v>
      </c>
      <c r="C228" s="850" t="s">
        <v>1478</v>
      </c>
      <c r="D228" s="535"/>
      <c r="E228" s="536"/>
      <c r="F228" s="1164"/>
      <c r="G228" s="1264"/>
    </row>
    <row r="229" spans="1:7">
      <c r="A229" s="328"/>
      <c r="B229" s="999"/>
      <c r="C229" s="534"/>
      <c r="D229" s="535"/>
      <c r="E229" s="536"/>
      <c r="F229" s="1164"/>
      <c r="G229" s="1264"/>
    </row>
    <row r="230" spans="1:7">
      <c r="A230" s="328" t="s">
        <v>1535</v>
      </c>
      <c r="B230" s="999"/>
      <c r="C230" s="534" t="s">
        <v>1089</v>
      </c>
      <c r="D230" s="535" t="s">
        <v>70</v>
      </c>
      <c r="E230" s="327">
        <v>2</v>
      </c>
      <c r="F230" s="1200"/>
      <c r="G230" s="1201"/>
    </row>
    <row r="231" spans="1:7">
      <c r="A231" s="328"/>
      <c r="B231" s="999"/>
      <c r="C231" s="534"/>
      <c r="D231" s="535"/>
      <c r="E231" s="536"/>
      <c r="F231" s="1168"/>
      <c r="G231" s="1264"/>
    </row>
    <row r="232" spans="1:7">
      <c r="A232" s="328"/>
      <c r="B232" s="999"/>
      <c r="C232" s="534"/>
      <c r="D232" s="535"/>
      <c r="E232" s="536"/>
      <c r="F232" s="1168"/>
      <c r="G232" s="1264"/>
    </row>
    <row r="233" spans="1:7">
      <c r="A233" s="328"/>
      <c r="B233" s="999"/>
      <c r="C233" s="534"/>
      <c r="D233" s="535"/>
      <c r="E233" s="536"/>
      <c r="F233" s="1168"/>
      <c r="G233" s="1264"/>
    </row>
    <row r="234" spans="1:7">
      <c r="A234" s="328"/>
      <c r="B234" s="999"/>
      <c r="C234" s="534"/>
      <c r="D234" s="535"/>
      <c r="E234" s="536"/>
      <c r="F234" s="1168"/>
      <c r="G234" s="1264"/>
    </row>
    <row r="235" spans="1:7">
      <c r="A235" s="328"/>
      <c r="B235" s="999"/>
      <c r="C235" s="534"/>
      <c r="D235" s="535"/>
      <c r="E235" s="536"/>
      <c r="F235" s="1168"/>
      <c r="G235" s="1264"/>
    </row>
    <row r="236" spans="1:7">
      <c r="A236" s="328"/>
      <c r="B236" s="999"/>
      <c r="C236" s="534"/>
      <c r="D236" s="535"/>
      <c r="E236" s="536"/>
      <c r="F236" s="1168"/>
      <c r="G236" s="1264"/>
    </row>
    <row r="237" spans="1:7">
      <c r="A237" s="328"/>
      <c r="B237" s="999"/>
      <c r="C237" s="534"/>
      <c r="D237" s="535"/>
      <c r="E237" s="536"/>
      <c r="F237" s="1168"/>
      <c r="G237" s="1264"/>
    </row>
    <row r="238" spans="1:7">
      <c r="A238" s="328"/>
      <c r="B238" s="999"/>
      <c r="C238" s="534"/>
      <c r="D238" s="535"/>
      <c r="E238" s="536"/>
      <c r="F238" s="1168"/>
      <c r="G238" s="1264"/>
    </row>
    <row r="239" spans="1:7">
      <c r="A239" s="328"/>
      <c r="B239" s="999"/>
      <c r="C239" s="534"/>
      <c r="D239" s="535"/>
      <c r="E239" s="536"/>
      <c r="F239" s="1168"/>
      <c r="G239" s="1264"/>
    </row>
    <row r="240" spans="1:7">
      <c r="A240" s="1570" t="s">
        <v>96</v>
      </c>
      <c r="B240" s="1571"/>
      <c r="C240" s="1571"/>
      <c r="D240" s="1571"/>
      <c r="E240" s="1571"/>
      <c r="F240" s="1514"/>
      <c r="G240" s="1514"/>
    </row>
    <row r="241" spans="1:10">
      <c r="A241" s="1572"/>
      <c r="B241" s="1573"/>
      <c r="C241" s="1573"/>
      <c r="D241" s="1573"/>
      <c r="E241" s="1573"/>
      <c r="F241" s="1514"/>
      <c r="G241" s="1514"/>
    </row>
    <row r="242" spans="1:10">
      <c r="A242" s="328"/>
      <c r="B242" s="999"/>
      <c r="C242" s="332" t="s">
        <v>220</v>
      </c>
      <c r="D242" s="537"/>
      <c r="E242" s="429"/>
      <c r="F242" s="1164"/>
      <c r="G242" s="1269"/>
    </row>
    <row r="243" spans="1:10">
      <c r="A243" s="328"/>
      <c r="B243" s="999"/>
      <c r="C243" s="534"/>
      <c r="D243" s="535"/>
      <c r="E243" s="536"/>
      <c r="F243" s="1172"/>
      <c r="G243" s="1264"/>
    </row>
    <row r="244" spans="1:10" s="294" customFormat="1">
      <c r="A244" s="659" t="s">
        <v>1536</v>
      </c>
      <c r="B244" s="316" t="s">
        <v>1076</v>
      </c>
      <c r="C244" s="552" t="s">
        <v>1077</v>
      </c>
      <c r="D244" s="757"/>
      <c r="E244" s="307"/>
      <c r="F244" s="1235"/>
      <c r="G244" s="1236"/>
      <c r="J244" s="409"/>
    </row>
    <row r="245" spans="1:10">
      <c r="A245" s="659"/>
      <c r="B245" s="331"/>
      <c r="C245" s="654"/>
      <c r="D245" s="658"/>
      <c r="E245" s="756"/>
      <c r="F245" s="1227"/>
      <c r="G245" s="1194"/>
      <c r="H245" s="290"/>
      <c r="I245" s="290"/>
      <c r="J245" s="273"/>
    </row>
    <row r="246" spans="1:10">
      <c r="A246" s="262"/>
      <c r="B246" s="497" t="s">
        <v>1078</v>
      </c>
      <c r="C246" s="552" t="s">
        <v>1079</v>
      </c>
      <c r="D246" s="658"/>
      <c r="E246" s="756"/>
      <c r="F246" s="1227"/>
      <c r="G246" s="1194"/>
      <c r="H246" s="290"/>
      <c r="I246" s="290"/>
      <c r="J246" s="273"/>
    </row>
    <row r="247" spans="1:10">
      <c r="A247" s="328"/>
      <c r="B247" s="999"/>
      <c r="C247" s="607"/>
      <c r="D247" s="537"/>
      <c r="E247" s="608"/>
      <c r="F247" s="1168"/>
      <c r="G247" s="1269"/>
    </row>
    <row r="248" spans="1:10" ht="27.6" customHeight="1">
      <c r="A248" s="328" t="s">
        <v>1537</v>
      </c>
      <c r="B248" s="999"/>
      <c r="C248" s="868" t="s">
        <v>1538</v>
      </c>
      <c r="D248" s="537" t="s">
        <v>335</v>
      </c>
      <c r="E248" s="869">
        <v>1</v>
      </c>
      <c r="F248" s="1259"/>
      <c r="G248" s="1269"/>
      <c r="H248" s="290"/>
    </row>
    <row r="249" spans="1:10">
      <c r="A249" s="328"/>
      <c r="B249" s="999"/>
      <c r="C249" s="1135"/>
      <c r="D249" s="535"/>
      <c r="E249" s="536"/>
      <c r="F249" s="1168"/>
      <c r="G249" s="1264"/>
    </row>
    <row r="250" spans="1:10">
      <c r="A250" s="316">
        <v>5.3</v>
      </c>
      <c r="B250" s="853"/>
      <c r="C250" s="850" t="s">
        <v>1539</v>
      </c>
      <c r="D250" s="1079"/>
      <c r="E250" s="340"/>
      <c r="F250" s="1164"/>
      <c r="G250" s="1264"/>
    </row>
    <row r="251" spans="1:10">
      <c r="A251" s="331"/>
      <c r="B251" s="853"/>
      <c r="C251" s="755"/>
      <c r="D251" s="564"/>
      <c r="E251" s="340"/>
      <c r="F251" s="1164"/>
      <c r="G251" s="1264"/>
    </row>
    <row r="252" spans="1:10">
      <c r="A252" s="323" t="s">
        <v>1540</v>
      </c>
      <c r="B252" s="320" t="s">
        <v>1057</v>
      </c>
      <c r="C252" s="333" t="s">
        <v>820</v>
      </c>
      <c r="D252" s="870"/>
      <c r="E252" s="335"/>
      <c r="F252" s="1266"/>
      <c r="G252" s="1272"/>
    </row>
    <row r="253" spans="1:10">
      <c r="A253" s="323"/>
      <c r="B253" s="860"/>
      <c r="C253" s="871"/>
      <c r="D253" s="845"/>
      <c r="E253" s="327"/>
      <c r="F253" s="1164"/>
      <c r="G253" s="1264"/>
    </row>
    <row r="254" spans="1:10">
      <c r="A254" s="323"/>
      <c r="B254" s="324" t="s">
        <v>413</v>
      </c>
      <c r="C254" s="318" t="s">
        <v>1421</v>
      </c>
      <c r="D254" s="845"/>
      <c r="E254" s="327"/>
      <c r="F254" s="1164"/>
      <c r="G254" s="1264"/>
    </row>
    <row r="255" spans="1:10">
      <c r="A255" s="323"/>
      <c r="B255" s="860"/>
      <c r="C255" s="871"/>
      <c r="D255" s="845"/>
      <c r="E255" s="327"/>
      <c r="F255" s="1164"/>
      <c r="G255" s="1264"/>
    </row>
    <row r="256" spans="1:10" ht="25.5">
      <c r="A256" s="336"/>
      <c r="B256" s="1031" t="s">
        <v>1492</v>
      </c>
      <c r="C256" s="333" t="s">
        <v>1422</v>
      </c>
      <c r="D256" s="845"/>
      <c r="E256" s="536"/>
      <c r="F256" s="1165"/>
      <c r="G256" s="1264"/>
    </row>
    <row r="257" spans="1:15">
      <c r="A257" s="336"/>
      <c r="B257" s="1031"/>
      <c r="C257" s="1141"/>
      <c r="D257" s="606"/>
      <c r="E257" s="536"/>
      <c r="F257" s="1165"/>
      <c r="G257" s="1264"/>
    </row>
    <row r="258" spans="1:15">
      <c r="A258" s="336" t="s">
        <v>1541</v>
      </c>
      <c r="B258" s="1031"/>
      <c r="C258" s="1141" t="s">
        <v>1542</v>
      </c>
      <c r="D258" s="606" t="s">
        <v>574</v>
      </c>
      <c r="E258" s="536">
        <v>25</v>
      </c>
      <c r="F258" s="1200"/>
      <c r="G258" s="1201"/>
    </row>
    <row r="259" spans="1:15">
      <c r="A259" s="336"/>
      <c r="B259" s="1031"/>
      <c r="C259" s="1141"/>
      <c r="D259" s="606"/>
      <c r="E259" s="536"/>
      <c r="F259" s="1165"/>
      <c r="G259" s="1264"/>
    </row>
    <row r="260" spans="1:15">
      <c r="A260" s="336" t="s">
        <v>1543</v>
      </c>
      <c r="B260" s="1031"/>
      <c r="C260" s="1141" t="s">
        <v>1496</v>
      </c>
      <c r="D260" s="606" t="s">
        <v>574</v>
      </c>
      <c r="E260" s="536">
        <v>12</v>
      </c>
      <c r="F260" s="1200"/>
      <c r="G260" s="1201"/>
    </row>
    <row r="261" spans="1:15">
      <c r="A261" s="336"/>
      <c r="B261" s="1031"/>
      <c r="C261" s="1141"/>
      <c r="D261" s="606"/>
      <c r="E261" s="536"/>
      <c r="F261" s="1165"/>
      <c r="G261" s="1264"/>
    </row>
    <row r="262" spans="1:15">
      <c r="A262" s="336" t="s">
        <v>1544</v>
      </c>
      <c r="B262" s="1031"/>
      <c r="C262" s="848" t="s">
        <v>1498</v>
      </c>
      <c r="D262" s="606" t="s">
        <v>574</v>
      </c>
      <c r="E262" s="536">
        <v>9</v>
      </c>
      <c r="F262" s="1200"/>
      <c r="G262" s="1201"/>
    </row>
    <row r="263" spans="1:15">
      <c r="A263" s="336"/>
      <c r="B263" s="999"/>
      <c r="C263" s="1135"/>
      <c r="D263" s="535"/>
      <c r="E263" s="536"/>
      <c r="F263" s="1165"/>
      <c r="G263" s="1264"/>
    </row>
    <row r="264" spans="1:15" s="246" customFormat="1" ht="25.5">
      <c r="A264" s="336" t="s">
        <v>1545</v>
      </c>
      <c r="B264" s="530"/>
      <c r="C264" s="414" t="s">
        <v>1546</v>
      </c>
      <c r="D264" s="659" t="s">
        <v>574</v>
      </c>
      <c r="E264" s="703">
        <f>_xlfn.CEILING.MATH(3.3*3.5*3,1)</f>
        <v>35</v>
      </c>
      <c r="F264" s="1200"/>
      <c r="G264" s="1201"/>
      <c r="H264" s="679"/>
      <c r="I264" s="679"/>
      <c r="J264" s="679"/>
      <c r="K264" s="679"/>
      <c r="L264" s="679"/>
      <c r="M264" s="255"/>
      <c r="N264" s="684"/>
      <c r="O264" s="684"/>
    </row>
    <row r="265" spans="1:15">
      <c r="A265" s="336"/>
      <c r="B265" s="324"/>
      <c r="C265" s="325"/>
      <c r="D265" s="326"/>
      <c r="E265" s="536"/>
      <c r="F265" s="1165"/>
      <c r="G265" s="1264"/>
      <c r="H265" s="353"/>
    </row>
    <row r="266" spans="1:15">
      <c r="A266" s="336" t="s">
        <v>1547</v>
      </c>
      <c r="B266" s="324" t="s">
        <v>844</v>
      </c>
      <c r="C266" s="325" t="s">
        <v>845</v>
      </c>
      <c r="D266" s="659" t="s">
        <v>846</v>
      </c>
      <c r="E266" s="754">
        <v>100</v>
      </c>
      <c r="F266" s="1200"/>
      <c r="G266" s="1201"/>
      <c r="H266" s="353"/>
    </row>
    <row r="267" spans="1:15">
      <c r="A267" s="323"/>
      <c r="B267" s="324"/>
      <c r="C267" s="325"/>
      <c r="D267" s="326"/>
      <c r="E267" s="536"/>
      <c r="F267" s="1165"/>
      <c r="G267" s="1264"/>
      <c r="H267" s="353"/>
    </row>
    <row r="268" spans="1:15">
      <c r="A268" s="331" t="s">
        <v>1548</v>
      </c>
      <c r="B268" s="338" t="s">
        <v>953</v>
      </c>
      <c r="C268" s="321" t="s">
        <v>1092</v>
      </c>
      <c r="D268" s="341"/>
      <c r="E268" s="327"/>
      <c r="F268" s="1164"/>
      <c r="G268" s="1264"/>
    </row>
    <row r="269" spans="1:15">
      <c r="A269" s="328"/>
      <c r="B269" s="999"/>
      <c r="C269" s="1135"/>
      <c r="D269" s="535"/>
      <c r="E269" s="536"/>
      <c r="F269" s="1165"/>
      <c r="G269" s="1264"/>
    </row>
    <row r="270" spans="1:15">
      <c r="A270" s="328"/>
      <c r="B270" s="1031">
        <v>8.1999999999999993</v>
      </c>
      <c r="C270" s="1137" t="s">
        <v>955</v>
      </c>
      <c r="D270" s="535"/>
      <c r="E270" s="536"/>
      <c r="F270" s="1165"/>
      <c r="G270" s="1264"/>
    </row>
    <row r="271" spans="1:15">
      <c r="A271" s="328"/>
      <c r="B271" s="1031"/>
      <c r="C271" s="848"/>
      <c r="D271" s="535"/>
      <c r="E271" s="536"/>
      <c r="F271" s="1165"/>
      <c r="G271" s="1264"/>
    </row>
    <row r="272" spans="1:15">
      <c r="A272" s="328"/>
      <c r="B272" s="1031" t="s">
        <v>994</v>
      </c>
      <c r="C272" s="849" t="s">
        <v>1093</v>
      </c>
      <c r="D272" s="535"/>
      <c r="E272" s="536"/>
      <c r="F272" s="1165"/>
      <c r="G272" s="1264"/>
    </row>
    <row r="273" spans="1:10">
      <c r="A273" s="328"/>
      <c r="B273" s="999"/>
      <c r="C273" s="534"/>
      <c r="D273" s="535"/>
      <c r="E273" s="536"/>
      <c r="F273" s="1165"/>
      <c r="G273" s="1264"/>
    </row>
    <row r="274" spans="1:10">
      <c r="A274" s="328"/>
      <c r="B274" s="999"/>
      <c r="C274" s="850" t="s">
        <v>1094</v>
      </c>
      <c r="D274" s="535"/>
      <c r="E274" s="536"/>
      <c r="F274" s="1165"/>
      <c r="G274" s="1264"/>
    </row>
    <row r="275" spans="1:10">
      <c r="A275" s="328"/>
      <c r="B275" s="999"/>
      <c r="C275" s="534"/>
      <c r="D275" s="535"/>
      <c r="E275" s="536"/>
      <c r="F275" s="1165"/>
      <c r="G275" s="1264"/>
    </row>
    <row r="276" spans="1:10">
      <c r="A276" s="328" t="s">
        <v>1549</v>
      </c>
      <c r="B276" s="999"/>
      <c r="C276" s="534" t="s">
        <v>1550</v>
      </c>
      <c r="D276" s="535" t="s">
        <v>825</v>
      </c>
      <c r="E276" s="536">
        <v>95</v>
      </c>
      <c r="F276" s="1165"/>
      <c r="G276" s="1194"/>
    </row>
    <row r="277" spans="1:10">
      <c r="A277" s="328"/>
      <c r="B277" s="999"/>
      <c r="C277" s="534"/>
      <c r="D277" s="535"/>
      <c r="E277" s="536"/>
      <c r="F277" s="1165"/>
      <c r="G277" s="1264"/>
    </row>
    <row r="278" spans="1:10">
      <c r="A278" s="328" t="s">
        <v>1551</v>
      </c>
      <c r="B278" s="999"/>
      <c r="C278" s="534" t="s">
        <v>1437</v>
      </c>
      <c r="D278" s="535" t="s">
        <v>825</v>
      </c>
      <c r="E278" s="536">
        <v>1</v>
      </c>
      <c r="F278" s="1165"/>
      <c r="G278" s="1194"/>
    </row>
    <row r="279" spans="1:10">
      <c r="A279" s="328"/>
      <c r="B279" s="999"/>
      <c r="C279" s="534"/>
      <c r="D279" s="535"/>
      <c r="E279" s="536"/>
      <c r="F279" s="1165"/>
      <c r="G279" s="1264"/>
    </row>
    <row r="280" spans="1:10">
      <c r="A280" s="753"/>
      <c r="B280" s="998" t="s">
        <v>1128</v>
      </c>
      <c r="C280" s="533" t="s">
        <v>1129</v>
      </c>
      <c r="D280" s="658"/>
      <c r="E280" s="754"/>
      <c r="F280" s="1227"/>
      <c r="G280" s="1194"/>
      <c r="H280" s="290"/>
      <c r="I280" s="290"/>
      <c r="J280" s="255"/>
    </row>
    <row r="281" spans="1:10">
      <c r="A281" s="328"/>
      <c r="B281" s="999"/>
      <c r="C281" s="1135"/>
      <c r="D281" s="535"/>
      <c r="E281" s="536"/>
      <c r="F281" s="1168"/>
      <c r="G281" s="1264"/>
    </row>
    <row r="282" spans="1:10">
      <c r="A282" s="328" t="s">
        <v>1552</v>
      </c>
      <c r="B282" s="999"/>
      <c r="C282" s="1135" t="s">
        <v>1513</v>
      </c>
      <c r="D282" s="535" t="s">
        <v>818</v>
      </c>
      <c r="E282" s="536">
        <f>_xlfn.CEILING.MATH((3.9+3.7)*2*2,5)</f>
        <v>35</v>
      </c>
      <c r="F282" s="1168"/>
      <c r="G282" s="1194"/>
    </row>
    <row r="283" spans="1:10">
      <c r="A283" s="328"/>
      <c r="B283" s="999"/>
      <c r="C283" s="1135"/>
      <c r="D283" s="535"/>
      <c r="E283" s="536"/>
      <c r="F283" s="1168"/>
      <c r="G283" s="1264"/>
    </row>
    <row r="284" spans="1:10">
      <c r="A284" s="328"/>
      <c r="B284" s="999">
        <v>8.3000000000000007</v>
      </c>
      <c r="C284" s="850" t="s">
        <v>958</v>
      </c>
      <c r="D284" s="535"/>
      <c r="E284" s="652"/>
      <c r="F284" s="1164"/>
      <c r="G284" s="1264"/>
    </row>
    <row r="285" spans="1:10">
      <c r="A285" s="328"/>
      <c r="B285" s="999"/>
      <c r="C285" s="1139"/>
      <c r="D285" s="535"/>
      <c r="E285" s="652"/>
      <c r="F285" s="1172"/>
      <c r="G285" s="1264"/>
    </row>
    <row r="286" spans="1:10">
      <c r="A286" s="328" t="s">
        <v>1553</v>
      </c>
      <c r="B286" s="999" t="s">
        <v>331</v>
      </c>
      <c r="C286" s="534" t="s">
        <v>960</v>
      </c>
      <c r="D286" s="535" t="s">
        <v>961</v>
      </c>
      <c r="E286" s="652">
        <v>2.2050000000000001</v>
      </c>
      <c r="F286" s="1200"/>
      <c r="G286" s="1201"/>
    </row>
    <row r="287" spans="1:10">
      <c r="A287" s="328"/>
      <c r="B287" s="999"/>
      <c r="C287" s="1139"/>
      <c r="D287" s="535"/>
      <c r="E287" s="652"/>
      <c r="F287" s="1172"/>
      <c r="G287" s="1264"/>
    </row>
    <row r="288" spans="1:10">
      <c r="A288" s="328" t="s">
        <v>1554</v>
      </c>
      <c r="B288" s="999" t="s">
        <v>331</v>
      </c>
      <c r="C288" s="1135" t="s">
        <v>963</v>
      </c>
      <c r="D288" s="535" t="s">
        <v>961</v>
      </c>
      <c r="E288" s="652">
        <f>0.4*E286</f>
        <v>0.88200000000000012</v>
      </c>
      <c r="F288" s="1200"/>
      <c r="G288" s="1201"/>
    </row>
    <row r="289" spans="1:11">
      <c r="A289" s="328"/>
      <c r="B289" s="999"/>
      <c r="C289" s="1135"/>
      <c r="D289" s="535"/>
      <c r="E289" s="652"/>
      <c r="F289" s="1172"/>
      <c r="G289" s="1264"/>
    </row>
    <row r="290" spans="1:11" s="246" customFormat="1">
      <c r="A290" s="660"/>
      <c r="B290" s="504" t="s">
        <v>363</v>
      </c>
      <c r="C290" s="301" t="s">
        <v>964</v>
      </c>
      <c r="D290" s="687"/>
      <c r="E290" s="716"/>
      <c r="F290" s="1215"/>
      <c r="G290" s="1215"/>
      <c r="H290" s="679"/>
      <c r="I290" s="679"/>
      <c r="J290" s="679"/>
      <c r="K290" s="255"/>
    </row>
    <row r="291" spans="1:11" s="246" customFormat="1">
      <c r="A291" s="660"/>
      <c r="B291" s="570"/>
      <c r="C291" s="864"/>
      <c r="D291" s="687"/>
      <c r="E291" s="716"/>
      <c r="F291" s="1215"/>
      <c r="G291" s="1215"/>
      <c r="H291" s="679"/>
      <c r="I291" s="679"/>
      <c r="J291" s="679"/>
      <c r="K291" s="255"/>
    </row>
    <row r="292" spans="1:11" s="246" customFormat="1" ht="15">
      <c r="A292" s="660" t="s">
        <v>1555</v>
      </c>
      <c r="B292" s="570"/>
      <c r="C292" s="865" t="s">
        <v>1518</v>
      </c>
      <c r="D292" s="708" t="s">
        <v>967</v>
      </c>
      <c r="E292" s="716">
        <f>_xlfn.CEILING.MATH(0.17*3.9*3.7*1.45,5)</f>
        <v>5</v>
      </c>
      <c r="F292" s="1200"/>
      <c r="G292" s="1201"/>
      <c r="H292" s="679"/>
      <c r="I292" s="679"/>
      <c r="J292" s="679"/>
      <c r="K292" s="255"/>
    </row>
    <row r="293" spans="1:11">
      <c r="A293" s="328"/>
      <c r="B293" s="999"/>
      <c r="C293" s="1135"/>
      <c r="D293" s="535"/>
      <c r="E293" s="652"/>
      <c r="F293" s="1172"/>
      <c r="G293" s="1264"/>
    </row>
    <row r="294" spans="1:11">
      <c r="A294" s="328"/>
      <c r="B294" s="999">
        <v>8.4</v>
      </c>
      <c r="C294" s="1139" t="s">
        <v>968</v>
      </c>
      <c r="D294" s="535"/>
      <c r="E294" s="536"/>
      <c r="F294" s="1168"/>
      <c r="G294" s="1264"/>
    </row>
    <row r="295" spans="1:11">
      <c r="A295" s="1138"/>
      <c r="B295" s="999"/>
      <c r="C295" s="1135"/>
      <c r="D295" s="535"/>
      <c r="E295" s="536"/>
      <c r="F295" s="1168"/>
      <c r="G295" s="1264"/>
    </row>
    <row r="296" spans="1:11">
      <c r="A296" s="1138"/>
      <c r="B296" s="999" t="s">
        <v>969</v>
      </c>
      <c r="C296" s="850" t="s">
        <v>1556</v>
      </c>
      <c r="D296" s="535"/>
      <c r="E296" s="536"/>
      <c r="F296" s="1168"/>
      <c r="G296" s="1264"/>
    </row>
    <row r="297" spans="1:11">
      <c r="A297" s="1138"/>
      <c r="B297" s="999"/>
      <c r="C297" s="534"/>
      <c r="D297" s="535"/>
      <c r="E297" s="536"/>
      <c r="F297" s="1172"/>
      <c r="G297" s="1264"/>
    </row>
    <row r="298" spans="1:11">
      <c r="A298" s="328" t="s">
        <v>1557</v>
      </c>
      <c r="B298" s="999"/>
      <c r="C298" s="534" t="s">
        <v>1447</v>
      </c>
      <c r="D298" s="535" t="s">
        <v>825</v>
      </c>
      <c r="E298" s="536">
        <v>8</v>
      </c>
      <c r="F298" s="1165"/>
      <c r="G298" s="1194"/>
    </row>
    <row r="299" spans="1:11">
      <c r="A299" s="328"/>
      <c r="B299" s="999"/>
      <c r="C299" s="534"/>
      <c r="D299" s="535"/>
      <c r="E299" s="536"/>
      <c r="F299" s="1165"/>
      <c r="G299" s="1264"/>
    </row>
    <row r="300" spans="1:11">
      <c r="A300" s="328"/>
      <c r="B300" s="999" t="s">
        <v>969</v>
      </c>
      <c r="C300" s="850" t="s">
        <v>1139</v>
      </c>
      <c r="D300" s="535"/>
      <c r="E300" s="536"/>
      <c r="F300" s="1165"/>
      <c r="G300" s="1264"/>
    </row>
    <row r="301" spans="1:11">
      <c r="A301" s="328"/>
      <c r="B301" s="999"/>
      <c r="C301" s="534"/>
      <c r="D301" s="535"/>
      <c r="E301" s="536"/>
      <c r="F301" s="1165"/>
      <c r="G301" s="1264"/>
    </row>
    <row r="302" spans="1:11">
      <c r="A302" s="328" t="s">
        <v>1558</v>
      </c>
      <c r="B302" s="999" t="s">
        <v>441</v>
      </c>
      <c r="C302" s="852" t="s">
        <v>1451</v>
      </c>
      <c r="D302" s="535" t="s">
        <v>825</v>
      </c>
      <c r="E302" s="536">
        <v>15</v>
      </c>
      <c r="F302" s="1165"/>
      <c r="G302" s="1194"/>
    </row>
    <row r="303" spans="1:11">
      <c r="A303" s="328"/>
      <c r="B303" s="999"/>
      <c r="C303" s="534"/>
      <c r="D303" s="535"/>
      <c r="E303" s="536"/>
      <c r="F303" s="1165"/>
      <c r="G303" s="1264"/>
    </row>
    <row r="304" spans="1:11">
      <c r="A304" s="1138"/>
      <c r="B304" s="999" t="s">
        <v>969</v>
      </c>
      <c r="C304" s="850" t="s">
        <v>1156</v>
      </c>
      <c r="D304" s="535"/>
      <c r="E304" s="536"/>
      <c r="F304" s="1165"/>
      <c r="G304" s="1264"/>
    </row>
    <row r="305" spans="1:7">
      <c r="A305" s="328"/>
      <c r="B305" s="999"/>
      <c r="C305" s="534"/>
      <c r="D305" s="535"/>
      <c r="E305" s="536"/>
      <c r="F305" s="1168"/>
      <c r="G305" s="1264"/>
    </row>
    <row r="306" spans="1:7">
      <c r="A306" s="328" t="s">
        <v>1559</v>
      </c>
      <c r="B306" s="999"/>
      <c r="C306" s="534" t="s">
        <v>1160</v>
      </c>
      <c r="D306" s="535" t="s">
        <v>574</v>
      </c>
      <c r="E306" s="536">
        <v>5</v>
      </c>
      <c r="F306" s="1168"/>
      <c r="G306" s="1194"/>
    </row>
    <row r="307" spans="1:7">
      <c r="A307" s="328"/>
      <c r="B307" s="999"/>
      <c r="C307" s="581"/>
      <c r="D307" s="535"/>
      <c r="E307" s="536"/>
      <c r="F307" s="1168"/>
      <c r="G307" s="1264"/>
    </row>
    <row r="308" spans="1:7">
      <c r="A308" s="328" t="s">
        <v>1560</v>
      </c>
      <c r="B308" s="999"/>
      <c r="C308" s="534" t="s">
        <v>1454</v>
      </c>
      <c r="D308" s="535" t="s">
        <v>574</v>
      </c>
      <c r="E308" s="536">
        <v>15</v>
      </c>
      <c r="F308" s="1168"/>
      <c r="G308" s="1194"/>
    </row>
    <row r="309" spans="1:7">
      <c r="A309" s="328"/>
      <c r="B309" s="999"/>
      <c r="C309" s="755"/>
      <c r="D309" s="535"/>
      <c r="E309" s="536"/>
      <c r="F309" s="1168"/>
      <c r="G309" s="1264"/>
    </row>
    <row r="310" spans="1:7">
      <c r="A310" s="328" t="s">
        <v>1561</v>
      </c>
      <c r="B310" s="999"/>
      <c r="C310" s="755" t="s">
        <v>1456</v>
      </c>
      <c r="D310" s="535" t="s">
        <v>574</v>
      </c>
      <c r="E310" s="327">
        <v>0.05</v>
      </c>
      <c r="F310" s="1164"/>
      <c r="G310" s="1194"/>
    </row>
    <row r="311" spans="1:7">
      <c r="A311" s="328"/>
      <c r="B311" s="999"/>
      <c r="C311" s="1135"/>
      <c r="D311" s="535"/>
      <c r="E311" s="327"/>
      <c r="F311" s="1164"/>
      <c r="G311" s="1264"/>
    </row>
    <row r="312" spans="1:7">
      <c r="A312" s="328" t="s">
        <v>1562</v>
      </c>
      <c r="B312" s="999"/>
      <c r="C312" s="755" t="s">
        <v>1525</v>
      </c>
      <c r="D312" s="535" t="s">
        <v>574</v>
      </c>
      <c r="E312" s="327">
        <f>_xlfn.CEILING.MATH(0.5*0.5*0.3,5)</f>
        <v>5</v>
      </c>
      <c r="F312" s="1164"/>
      <c r="G312" s="1194"/>
    </row>
    <row r="313" spans="1:7">
      <c r="A313" s="328"/>
      <c r="B313" s="999"/>
      <c r="C313" s="755"/>
      <c r="D313" s="535"/>
      <c r="E313" s="327"/>
      <c r="F313" s="1164"/>
      <c r="G313" s="1264"/>
    </row>
    <row r="314" spans="1:7">
      <c r="A314" s="328"/>
      <c r="B314" s="1079" t="s">
        <v>480</v>
      </c>
      <c r="C314" s="867" t="s">
        <v>973</v>
      </c>
      <c r="D314" s="535"/>
      <c r="E314" s="327"/>
      <c r="F314" s="1164"/>
      <c r="G314" s="1264"/>
    </row>
    <row r="315" spans="1:7">
      <c r="A315" s="328"/>
      <c r="B315" s="1079"/>
      <c r="C315" s="755"/>
      <c r="D315" s="535"/>
      <c r="E315" s="327"/>
      <c r="F315" s="1164"/>
      <c r="G315" s="1264"/>
    </row>
    <row r="316" spans="1:7">
      <c r="A316" s="328"/>
      <c r="B316" s="1079" t="s">
        <v>1170</v>
      </c>
      <c r="C316" s="867" t="s">
        <v>1171</v>
      </c>
      <c r="D316" s="535"/>
      <c r="E316" s="536"/>
      <c r="F316" s="1165"/>
      <c r="G316" s="1264"/>
    </row>
    <row r="317" spans="1:7">
      <c r="A317" s="328"/>
      <c r="B317" s="1079"/>
      <c r="C317" s="867"/>
      <c r="D317" s="535"/>
      <c r="E317" s="536"/>
      <c r="F317" s="1165"/>
      <c r="G317" s="1264"/>
    </row>
    <row r="318" spans="1:7">
      <c r="A318" s="328"/>
      <c r="B318" s="1079"/>
      <c r="C318" s="867"/>
      <c r="D318" s="535"/>
      <c r="E318" s="536"/>
      <c r="F318" s="1165"/>
      <c r="G318" s="1264"/>
    </row>
    <row r="319" spans="1:7">
      <c r="A319" s="328"/>
      <c r="B319" s="1080"/>
      <c r="C319" s="1081"/>
      <c r="D319" s="535"/>
      <c r="E319" s="536"/>
      <c r="F319" s="1165"/>
      <c r="G319" s="1264"/>
    </row>
    <row r="320" spans="1:7">
      <c r="A320" s="1570" t="s">
        <v>96</v>
      </c>
      <c r="B320" s="1571"/>
      <c r="C320" s="1571"/>
      <c r="D320" s="1571"/>
      <c r="E320" s="1571"/>
      <c r="F320" s="1514"/>
      <c r="G320" s="1514"/>
    </row>
    <row r="321" spans="1:8">
      <c r="A321" s="1572"/>
      <c r="B321" s="1573"/>
      <c r="C321" s="1573"/>
      <c r="D321" s="1573"/>
      <c r="E321" s="1573"/>
      <c r="F321" s="1514"/>
      <c r="G321" s="1514"/>
    </row>
    <row r="322" spans="1:8">
      <c r="A322" s="328"/>
      <c r="B322" s="999"/>
      <c r="C322" s="332" t="s">
        <v>220</v>
      </c>
      <c r="D322" s="537"/>
      <c r="E322" s="429"/>
      <c r="F322" s="1164"/>
      <c r="G322" s="1275"/>
    </row>
    <row r="323" spans="1:8">
      <c r="A323" s="328"/>
      <c r="B323" s="999"/>
      <c r="C323" s="534"/>
      <c r="D323" s="535"/>
      <c r="E323" s="536"/>
      <c r="F323" s="1165"/>
      <c r="G323" s="1264"/>
    </row>
    <row r="324" spans="1:8">
      <c r="A324" s="328"/>
      <c r="B324" s="999"/>
      <c r="C324" s="534"/>
      <c r="D324" s="535"/>
      <c r="E324" s="536"/>
      <c r="F324" s="1165"/>
      <c r="G324" s="1264"/>
    </row>
    <row r="325" spans="1:8">
      <c r="A325" s="328" t="s">
        <v>1563</v>
      </c>
      <c r="B325" s="999"/>
      <c r="C325" s="534" t="s">
        <v>1458</v>
      </c>
      <c r="D325" s="535" t="s">
        <v>825</v>
      </c>
      <c r="E325" s="536">
        <v>5</v>
      </c>
      <c r="F325" s="1200"/>
      <c r="G325" s="1201"/>
    </row>
    <row r="326" spans="1:8">
      <c r="A326" s="1138"/>
      <c r="B326" s="999"/>
      <c r="C326" s="1135"/>
      <c r="D326" s="535"/>
      <c r="E326" s="536"/>
      <c r="F326" s="1165"/>
      <c r="G326" s="1264"/>
    </row>
    <row r="327" spans="1:8">
      <c r="A327" s="1138"/>
      <c r="B327" s="999" t="s">
        <v>1176</v>
      </c>
      <c r="C327" s="850" t="s">
        <v>1177</v>
      </c>
      <c r="D327" s="535"/>
      <c r="E327" s="536"/>
      <c r="F327" s="1165"/>
      <c r="G327" s="1264"/>
    </row>
    <row r="328" spans="1:8">
      <c r="A328" s="1138"/>
      <c r="B328" s="999"/>
      <c r="C328" s="534"/>
      <c r="D328" s="535"/>
      <c r="E328" s="536"/>
      <c r="F328" s="1165"/>
      <c r="G328" s="1264"/>
    </row>
    <row r="329" spans="1:8">
      <c r="A329" s="328" t="s">
        <v>1564</v>
      </c>
      <c r="B329" s="999"/>
      <c r="C329" s="534" t="s">
        <v>1460</v>
      </c>
      <c r="D329" s="535" t="s">
        <v>825</v>
      </c>
      <c r="E329" s="536">
        <v>8</v>
      </c>
      <c r="F329" s="1200"/>
      <c r="G329" s="1201"/>
    </row>
    <row r="330" spans="1:8">
      <c r="A330" s="328"/>
      <c r="B330" s="999"/>
      <c r="C330" s="534"/>
      <c r="D330" s="535"/>
      <c r="E330" s="536"/>
      <c r="F330" s="1165"/>
      <c r="G330" s="1264"/>
    </row>
    <row r="331" spans="1:8">
      <c r="A331" s="328"/>
      <c r="B331" s="999"/>
      <c r="C331" s="850" t="s">
        <v>1217</v>
      </c>
      <c r="D331" s="535"/>
      <c r="E331" s="536"/>
      <c r="F331" s="1165"/>
      <c r="G331" s="1264"/>
    </row>
    <row r="332" spans="1:8">
      <c r="A332" s="328"/>
      <c r="B332" s="999"/>
      <c r="C332" s="850"/>
      <c r="D332" s="535"/>
      <c r="E332" s="536"/>
      <c r="F332" s="1165"/>
      <c r="G332" s="1264"/>
    </row>
    <row r="333" spans="1:8">
      <c r="A333" s="328" t="s">
        <v>1565</v>
      </c>
      <c r="B333" s="999"/>
      <c r="C333" s="850" t="s">
        <v>1462</v>
      </c>
      <c r="D333" s="535"/>
      <c r="E333" s="536"/>
      <c r="F333" s="1165"/>
      <c r="G333" s="1264"/>
    </row>
    <row r="334" spans="1:8">
      <c r="A334" s="328"/>
      <c r="B334" s="999"/>
      <c r="C334" s="534"/>
      <c r="D334" s="535"/>
      <c r="E334" s="536"/>
      <c r="F334" s="1166"/>
      <c r="G334" s="1270"/>
    </row>
    <row r="335" spans="1:8" ht="25.5">
      <c r="A335" s="328" t="s">
        <v>1566</v>
      </c>
      <c r="B335" s="999"/>
      <c r="C335" s="534" t="s">
        <v>1530</v>
      </c>
      <c r="D335" s="535" t="s">
        <v>70</v>
      </c>
      <c r="E335" s="536">
        <v>1</v>
      </c>
      <c r="F335" s="1200"/>
      <c r="G335" s="1201"/>
    </row>
    <row r="336" spans="1:8">
      <c r="A336" s="328"/>
      <c r="B336" s="999"/>
      <c r="C336" s="534"/>
      <c r="D336" s="535"/>
      <c r="E336" s="536"/>
      <c r="F336" s="1165"/>
      <c r="G336" s="1264"/>
      <c r="H336" s="353"/>
    </row>
    <row r="337" spans="1:10">
      <c r="A337" s="331" t="s">
        <v>1567</v>
      </c>
      <c r="B337" s="338" t="s">
        <v>1235</v>
      </c>
      <c r="C337" s="321" t="s">
        <v>1236</v>
      </c>
      <c r="D337" s="535"/>
      <c r="E337" s="536"/>
      <c r="F337" s="1165"/>
      <c r="G337" s="1264"/>
    </row>
    <row r="338" spans="1:10">
      <c r="A338" s="328"/>
      <c r="B338" s="999"/>
      <c r="C338" s="854"/>
      <c r="D338" s="535"/>
      <c r="E338" s="536"/>
      <c r="F338" s="1165"/>
      <c r="G338" s="1264"/>
    </row>
    <row r="339" spans="1:10">
      <c r="A339" s="328" t="s">
        <v>1568</v>
      </c>
      <c r="B339" s="999"/>
      <c r="C339" s="534" t="s">
        <v>1533</v>
      </c>
      <c r="D339" s="535" t="s">
        <v>70</v>
      </c>
      <c r="E339" s="536">
        <v>1</v>
      </c>
      <c r="F339" s="1200"/>
      <c r="G339" s="1201"/>
    </row>
    <row r="340" spans="1:10">
      <c r="A340" s="328"/>
      <c r="B340" s="999"/>
      <c r="C340" s="534"/>
      <c r="D340" s="535"/>
      <c r="E340" s="536"/>
      <c r="F340" s="1165"/>
      <c r="G340" s="1264"/>
    </row>
    <row r="341" spans="1:10">
      <c r="A341" s="328" t="s">
        <v>1569</v>
      </c>
      <c r="B341" s="999" t="s">
        <v>1082</v>
      </c>
      <c r="C341" s="850" t="s">
        <v>1083</v>
      </c>
      <c r="D341" s="535"/>
      <c r="E341" s="536"/>
      <c r="F341" s="1165"/>
      <c r="G341" s="1264"/>
    </row>
    <row r="342" spans="1:10">
      <c r="A342" s="328"/>
      <c r="B342" s="855"/>
      <c r="C342" s="534"/>
      <c r="D342" s="535"/>
      <c r="E342" s="536"/>
      <c r="F342" s="1165"/>
      <c r="G342" s="1264"/>
    </row>
    <row r="343" spans="1:10" ht="25.5">
      <c r="A343" s="328"/>
      <c r="B343" s="855" t="s">
        <v>1084</v>
      </c>
      <c r="C343" s="850" t="s">
        <v>1478</v>
      </c>
      <c r="D343" s="535"/>
      <c r="E343" s="536"/>
      <c r="F343" s="1165"/>
      <c r="G343" s="1264"/>
    </row>
    <row r="344" spans="1:10">
      <c r="A344" s="328"/>
      <c r="B344" s="999"/>
      <c r="C344" s="534"/>
      <c r="D344" s="535"/>
      <c r="E344" s="536"/>
      <c r="F344" s="1165"/>
      <c r="G344" s="1264"/>
    </row>
    <row r="345" spans="1:10">
      <c r="A345" s="328" t="s">
        <v>1570</v>
      </c>
      <c r="B345" s="999"/>
      <c r="C345" s="534" t="s">
        <v>1091</v>
      </c>
      <c r="D345" s="535" t="s">
        <v>70</v>
      </c>
      <c r="E345" s="536">
        <v>2</v>
      </c>
      <c r="F345" s="1200"/>
      <c r="G345" s="1201"/>
    </row>
    <row r="346" spans="1:10">
      <c r="A346" s="659"/>
      <c r="B346" s="331"/>
      <c r="C346" s="654"/>
      <c r="D346" s="658"/>
      <c r="E346" s="756"/>
      <c r="F346" s="1227"/>
      <c r="G346" s="1194"/>
      <c r="H346" s="290"/>
      <c r="I346" s="290"/>
      <c r="J346" s="273"/>
    </row>
    <row r="347" spans="1:10" s="294" customFormat="1">
      <c r="A347" s="659" t="s">
        <v>1571</v>
      </c>
      <c r="B347" s="316" t="s">
        <v>1076</v>
      </c>
      <c r="C347" s="552" t="s">
        <v>1077</v>
      </c>
      <c r="D347" s="757"/>
      <c r="E347" s="307"/>
      <c r="F347" s="1235"/>
      <c r="G347" s="1236"/>
      <c r="J347" s="409"/>
    </row>
    <row r="348" spans="1:10">
      <c r="A348" s="659"/>
      <c r="B348" s="331"/>
      <c r="C348" s="654"/>
      <c r="D348" s="658"/>
      <c r="E348" s="756"/>
      <c r="F348" s="1227"/>
      <c r="G348" s="1194"/>
      <c r="H348" s="290"/>
      <c r="I348" s="290"/>
      <c r="J348" s="273"/>
    </row>
    <row r="349" spans="1:10">
      <c r="A349" s="1016"/>
      <c r="B349" s="1136" t="s">
        <v>1078</v>
      </c>
      <c r="C349" s="872" t="s">
        <v>1079</v>
      </c>
      <c r="D349" s="537"/>
      <c r="E349" s="608"/>
      <c r="F349" s="1168"/>
      <c r="G349" s="1269"/>
    </row>
    <row r="350" spans="1:10">
      <c r="A350" s="328"/>
      <c r="B350" s="999"/>
      <c r="C350" s="607"/>
      <c r="D350" s="537"/>
      <c r="E350" s="608"/>
      <c r="F350" s="1168"/>
      <c r="G350" s="1269"/>
    </row>
    <row r="351" spans="1:10" ht="25.5">
      <c r="A351" s="328" t="s">
        <v>1572</v>
      </c>
      <c r="B351" s="999"/>
      <c r="C351" s="868" t="s">
        <v>1538</v>
      </c>
      <c r="D351" s="537" t="s">
        <v>335</v>
      </c>
      <c r="E351" s="869">
        <v>1</v>
      </c>
      <c r="F351" s="1259"/>
      <c r="G351" s="1269"/>
    </row>
    <row r="352" spans="1:10">
      <c r="A352" s="328"/>
      <c r="B352" s="999"/>
      <c r="C352" s="534"/>
      <c r="D352" s="535"/>
      <c r="E352" s="536"/>
      <c r="F352" s="1165"/>
      <c r="G352" s="1264"/>
    </row>
    <row r="353" spans="1:7">
      <c r="A353" s="316">
        <v>5.4</v>
      </c>
      <c r="B353" s="853"/>
      <c r="C353" s="850" t="s">
        <v>1573</v>
      </c>
      <c r="D353" s="1079"/>
      <c r="E353" s="857"/>
      <c r="F353" s="1165"/>
      <c r="G353" s="1264"/>
    </row>
    <row r="354" spans="1:7">
      <c r="A354" s="323"/>
      <c r="B354" s="873"/>
      <c r="C354" s="848"/>
      <c r="D354" s="1140"/>
      <c r="E354" s="857"/>
      <c r="F354" s="1165"/>
      <c r="G354" s="1264"/>
    </row>
    <row r="355" spans="1:7">
      <c r="A355" s="323" t="s">
        <v>1574</v>
      </c>
      <c r="B355" s="859" t="s">
        <v>1057</v>
      </c>
      <c r="C355" s="874" t="s">
        <v>820</v>
      </c>
      <c r="D355" s="535"/>
      <c r="E355" s="536"/>
      <c r="F355" s="1165"/>
      <c r="G355" s="1264"/>
    </row>
    <row r="356" spans="1:7">
      <c r="A356" s="323"/>
      <c r="B356" s="860"/>
      <c r="C356" s="848"/>
      <c r="D356" s="1140"/>
      <c r="E356" s="536"/>
      <c r="F356" s="1165"/>
      <c r="G356" s="1264"/>
    </row>
    <row r="357" spans="1:7">
      <c r="A357" s="323"/>
      <c r="B357" s="860" t="s">
        <v>413</v>
      </c>
      <c r="C357" s="318" t="s">
        <v>1421</v>
      </c>
      <c r="D357" s="845"/>
      <c r="E357" s="536"/>
      <c r="F357" s="1165"/>
      <c r="G357" s="1264"/>
    </row>
    <row r="358" spans="1:7">
      <c r="A358" s="336"/>
      <c r="B358" s="1031"/>
      <c r="C358" s="1141"/>
      <c r="D358" s="845"/>
      <c r="E358" s="536"/>
      <c r="F358" s="1165"/>
      <c r="G358" s="1264"/>
    </row>
    <row r="359" spans="1:7" ht="25.5">
      <c r="A359" s="336"/>
      <c r="B359" s="1031" t="s">
        <v>1492</v>
      </c>
      <c r="C359" s="333" t="s">
        <v>1422</v>
      </c>
      <c r="D359" s="845"/>
      <c r="E359" s="536"/>
      <c r="F359" s="1165"/>
      <c r="G359" s="1264"/>
    </row>
    <row r="360" spans="1:7">
      <c r="A360" s="336"/>
      <c r="B360" s="1031"/>
      <c r="C360" s="1141"/>
      <c r="D360" s="606"/>
      <c r="E360" s="536"/>
      <c r="F360" s="1165"/>
      <c r="G360" s="1264"/>
    </row>
    <row r="361" spans="1:7">
      <c r="A361" s="336" t="s">
        <v>1575</v>
      </c>
      <c r="B361" s="1031"/>
      <c r="C361" s="1145" t="s">
        <v>1576</v>
      </c>
      <c r="D361" s="606" t="s">
        <v>574</v>
      </c>
      <c r="E361" s="536">
        <v>86</v>
      </c>
      <c r="F361" s="1200"/>
      <c r="G361" s="1201"/>
    </row>
    <row r="362" spans="1:7">
      <c r="A362" s="336"/>
      <c r="B362" s="1031"/>
      <c r="C362" s="1145"/>
      <c r="D362" s="606"/>
      <c r="E362" s="536"/>
      <c r="F362" s="1166"/>
      <c r="G362" s="1270"/>
    </row>
    <row r="363" spans="1:7">
      <c r="A363" s="336"/>
      <c r="B363" s="1031" t="s">
        <v>837</v>
      </c>
      <c r="C363" s="1137" t="s">
        <v>1577</v>
      </c>
      <c r="D363" s="326"/>
      <c r="E363" s="536"/>
      <c r="F363" s="1166"/>
      <c r="G363" s="1270"/>
    </row>
    <row r="364" spans="1:7">
      <c r="A364" s="336"/>
      <c r="B364" s="1031"/>
      <c r="C364" s="1141"/>
      <c r="D364" s="326"/>
      <c r="E364" s="536"/>
      <c r="F364" s="1166"/>
      <c r="G364" s="1270"/>
    </row>
    <row r="365" spans="1:7">
      <c r="A365" s="336" t="s">
        <v>1578</v>
      </c>
      <c r="B365" s="1031"/>
      <c r="C365" s="1141" t="s">
        <v>1579</v>
      </c>
      <c r="D365" s="326" t="s">
        <v>574</v>
      </c>
      <c r="E365" s="536">
        <v>30</v>
      </c>
      <c r="F365" s="1200"/>
      <c r="G365" s="1201"/>
    </row>
    <row r="366" spans="1:7">
      <c r="A366" s="336"/>
      <c r="B366" s="1031"/>
      <c r="C366" s="1141"/>
      <c r="D366" s="326"/>
      <c r="E366" s="536"/>
      <c r="F366" s="1166"/>
      <c r="G366" s="1270"/>
    </row>
    <row r="367" spans="1:7">
      <c r="A367" s="336" t="s">
        <v>1580</v>
      </c>
      <c r="B367" s="1031"/>
      <c r="C367" s="1141" t="s">
        <v>1581</v>
      </c>
      <c r="D367" s="326" t="s">
        <v>574</v>
      </c>
      <c r="E367" s="536">
        <v>27</v>
      </c>
      <c r="F367" s="1200"/>
      <c r="G367" s="1201"/>
    </row>
    <row r="368" spans="1:7">
      <c r="A368" s="336"/>
      <c r="B368" s="564"/>
      <c r="C368" s="755"/>
      <c r="D368" s="341"/>
      <c r="E368" s="327"/>
      <c r="F368" s="1164"/>
      <c r="G368" s="1264"/>
    </row>
    <row r="369" spans="1:15" s="246" customFormat="1" ht="25.5">
      <c r="A369" s="336" t="s">
        <v>1582</v>
      </c>
      <c r="B369" s="530"/>
      <c r="C369" s="411" t="s">
        <v>1583</v>
      </c>
      <c r="D369" s="659" t="s">
        <v>574</v>
      </c>
      <c r="E369" s="703">
        <f>_xlfn.CEILING.MATH(3.3*3.5*3,1)</f>
        <v>35</v>
      </c>
      <c r="F369" s="1200"/>
      <c r="G369" s="1201"/>
      <c r="H369" s="679"/>
      <c r="I369" s="679"/>
      <c r="J369" s="679"/>
      <c r="K369" s="679"/>
      <c r="L369" s="679"/>
      <c r="M369" s="255"/>
      <c r="N369" s="684"/>
      <c r="O369" s="684"/>
    </row>
    <row r="370" spans="1:15">
      <c r="A370" s="328"/>
      <c r="B370" s="999"/>
      <c r="C370" s="850"/>
      <c r="D370" s="535"/>
      <c r="E370" s="536"/>
      <c r="F370" s="1165"/>
      <c r="G370" s="1264"/>
    </row>
    <row r="371" spans="1:15">
      <c r="A371" s="331" t="s">
        <v>1584</v>
      </c>
      <c r="B371" s="330" t="s">
        <v>953</v>
      </c>
      <c r="C371" s="321" t="s">
        <v>1092</v>
      </c>
      <c r="D371" s="339"/>
      <c r="E371" s="335"/>
      <c r="F371" s="1266"/>
      <c r="G371" s="1272"/>
    </row>
    <row r="372" spans="1:15">
      <c r="A372" s="328"/>
      <c r="B372" s="999"/>
      <c r="C372" s="1135"/>
      <c r="D372" s="535"/>
      <c r="E372" s="536"/>
      <c r="F372" s="1165"/>
      <c r="G372" s="1264"/>
    </row>
    <row r="373" spans="1:15">
      <c r="A373" s="328"/>
      <c r="B373" s="1031">
        <v>8.1999999999999993</v>
      </c>
      <c r="C373" s="1137" t="s">
        <v>955</v>
      </c>
      <c r="D373" s="535"/>
      <c r="E373" s="536"/>
      <c r="F373" s="1165"/>
      <c r="G373" s="1264"/>
    </row>
    <row r="374" spans="1:15">
      <c r="A374" s="328"/>
      <c r="B374" s="1031"/>
      <c r="C374" s="848"/>
      <c r="D374" s="535"/>
      <c r="E374" s="536"/>
      <c r="F374" s="1165"/>
      <c r="G374" s="1264"/>
    </row>
    <row r="375" spans="1:15">
      <c r="A375" s="328"/>
      <c r="B375" s="1031" t="s">
        <v>994</v>
      </c>
      <c r="C375" s="849" t="s">
        <v>1093</v>
      </c>
      <c r="D375" s="535"/>
      <c r="E375" s="536"/>
      <c r="F375" s="1165"/>
      <c r="G375" s="1264"/>
    </row>
    <row r="376" spans="1:15">
      <c r="A376" s="328"/>
      <c r="B376" s="999"/>
      <c r="C376" s="534"/>
      <c r="D376" s="535"/>
      <c r="E376" s="536"/>
      <c r="F376" s="1165"/>
      <c r="G376" s="1264"/>
    </row>
    <row r="377" spans="1:15">
      <c r="A377" s="328"/>
      <c r="B377" s="999"/>
      <c r="C377" s="850" t="s">
        <v>1094</v>
      </c>
      <c r="D377" s="535"/>
      <c r="E377" s="536"/>
      <c r="F377" s="1165"/>
      <c r="G377" s="1264"/>
    </row>
    <row r="378" spans="1:15">
      <c r="A378" s="328"/>
      <c r="B378" s="999"/>
      <c r="C378" s="534"/>
      <c r="D378" s="535"/>
      <c r="E378" s="536"/>
      <c r="F378" s="1165"/>
      <c r="G378" s="1264"/>
    </row>
    <row r="379" spans="1:15">
      <c r="A379" s="328" t="s">
        <v>1585</v>
      </c>
      <c r="B379" s="999"/>
      <c r="C379" s="534" t="s">
        <v>1586</v>
      </c>
      <c r="D379" s="535" t="s">
        <v>825</v>
      </c>
      <c r="E379" s="536">
        <v>360</v>
      </c>
      <c r="F379" s="1165"/>
      <c r="G379" s="1194"/>
    </row>
    <row r="380" spans="1:15">
      <c r="A380" s="328"/>
      <c r="B380" s="855"/>
      <c r="C380" s="850"/>
      <c r="D380" s="535"/>
      <c r="E380" s="536"/>
      <c r="F380" s="1165"/>
      <c r="G380" s="1264"/>
    </row>
    <row r="381" spans="1:15">
      <c r="A381" s="753"/>
      <c r="B381" s="998" t="s">
        <v>1128</v>
      </c>
      <c r="C381" s="533" t="s">
        <v>1129</v>
      </c>
      <c r="D381" s="658"/>
      <c r="E381" s="754"/>
      <c r="F381" s="1227"/>
      <c r="G381" s="1194"/>
      <c r="H381" s="290"/>
      <c r="I381" s="290"/>
      <c r="J381" s="255"/>
    </row>
    <row r="382" spans="1:15">
      <c r="A382" s="328"/>
      <c r="B382" s="999"/>
      <c r="C382" s="1135"/>
      <c r="D382" s="535"/>
      <c r="E382" s="536"/>
      <c r="F382" s="1168"/>
      <c r="G382" s="1264"/>
    </row>
    <row r="383" spans="1:15">
      <c r="A383" s="328" t="s">
        <v>1587</v>
      </c>
      <c r="B383" s="999"/>
      <c r="C383" s="1135" t="s">
        <v>1588</v>
      </c>
      <c r="D383" s="535" t="s">
        <v>818</v>
      </c>
      <c r="E383" s="536">
        <f>_xlfn.CEILING.MATH((1.4*4*12)*2,5)</f>
        <v>135</v>
      </c>
      <c r="F383" s="1168"/>
      <c r="G383" s="1194"/>
    </row>
    <row r="384" spans="1:15">
      <c r="A384" s="328"/>
      <c r="B384" s="999"/>
      <c r="C384" s="1135"/>
      <c r="D384" s="535"/>
      <c r="E384" s="536"/>
      <c r="F384" s="1168"/>
      <c r="G384" s="1264"/>
    </row>
    <row r="385" spans="1:8">
      <c r="A385" s="328"/>
      <c r="B385" s="999">
        <v>8.3000000000000007</v>
      </c>
      <c r="C385" s="850" t="s">
        <v>958</v>
      </c>
      <c r="D385" s="535"/>
      <c r="E385" s="327"/>
      <c r="F385" s="1164"/>
      <c r="G385" s="1264"/>
    </row>
    <row r="386" spans="1:8">
      <c r="A386" s="328"/>
      <c r="B386" s="999"/>
      <c r="C386" s="1083"/>
      <c r="D386" s="535"/>
      <c r="E386" s="327"/>
      <c r="F386" s="1164"/>
      <c r="G386" s="1264"/>
    </row>
    <row r="387" spans="1:8">
      <c r="A387" s="328" t="s">
        <v>1589</v>
      </c>
      <c r="B387" s="999" t="s">
        <v>331</v>
      </c>
      <c r="C387" s="534" t="s">
        <v>960</v>
      </c>
      <c r="D387" s="535" t="s">
        <v>961</v>
      </c>
      <c r="E387" s="536">
        <f>((SUM(E456:E458)*100)/1000)</f>
        <v>20</v>
      </c>
      <c r="F387" s="1200"/>
      <c r="G387" s="1201"/>
      <c r="H387" s="353"/>
    </row>
    <row r="388" spans="1:8">
      <c r="A388" s="328"/>
      <c r="B388" s="999"/>
      <c r="C388" s="1083"/>
      <c r="D388" s="535"/>
      <c r="E388" s="536"/>
      <c r="F388" s="1172"/>
      <c r="G388" s="1264"/>
    </row>
    <row r="389" spans="1:8">
      <c r="A389" s="328" t="s">
        <v>1590</v>
      </c>
      <c r="B389" s="999" t="s">
        <v>331</v>
      </c>
      <c r="C389" s="1135" t="s">
        <v>963</v>
      </c>
      <c r="D389" s="535" t="s">
        <v>961</v>
      </c>
      <c r="E389" s="536">
        <f>E387*0.3</f>
        <v>6</v>
      </c>
      <c r="F389" s="1200"/>
      <c r="G389" s="1201"/>
    </row>
    <row r="390" spans="1:8">
      <c r="A390" s="328"/>
      <c r="B390" s="999"/>
      <c r="C390" s="1083"/>
      <c r="D390" s="535"/>
      <c r="E390" s="536"/>
      <c r="F390" s="1165"/>
      <c r="G390" s="1264"/>
    </row>
    <row r="391" spans="1:8">
      <c r="A391" s="328"/>
      <c r="B391" s="1079">
        <v>8.4</v>
      </c>
      <c r="C391" s="867" t="s">
        <v>968</v>
      </c>
      <c r="D391" s="535"/>
      <c r="E391" s="536"/>
      <c r="F391" s="1168"/>
      <c r="G391" s="1264"/>
    </row>
    <row r="392" spans="1:8">
      <c r="A392" s="1138"/>
      <c r="B392" s="1079"/>
      <c r="C392" s="755"/>
      <c r="D392" s="341"/>
      <c r="E392" s="536"/>
      <c r="F392" s="1168"/>
      <c r="G392" s="1264"/>
    </row>
    <row r="393" spans="1:8">
      <c r="A393" s="331"/>
      <c r="B393" s="564" t="s">
        <v>969</v>
      </c>
      <c r="C393" s="867" t="s">
        <v>1556</v>
      </c>
      <c r="D393" s="341"/>
      <c r="E393" s="327"/>
      <c r="F393" s="1172"/>
      <c r="G393" s="1264"/>
    </row>
    <row r="394" spans="1:8">
      <c r="A394" s="331"/>
      <c r="B394" s="564"/>
      <c r="C394" s="755"/>
      <c r="D394" s="341"/>
      <c r="E394" s="327"/>
      <c r="F394" s="1172"/>
      <c r="G394" s="1264"/>
    </row>
    <row r="395" spans="1:8">
      <c r="A395" s="331" t="s">
        <v>1591</v>
      </c>
      <c r="B395" s="564"/>
      <c r="C395" s="755" t="s">
        <v>1447</v>
      </c>
      <c r="D395" s="341" t="s">
        <v>825</v>
      </c>
      <c r="E395" s="327">
        <v>24</v>
      </c>
      <c r="F395" s="1165"/>
      <c r="G395" s="1194"/>
    </row>
    <row r="396" spans="1:8">
      <c r="A396" s="331"/>
      <c r="B396" s="564"/>
      <c r="C396" s="755"/>
      <c r="D396" s="341"/>
      <c r="E396" s="327"/>
      <c r="F396" s="1165"/>
      <c r="G396" s="1194"/>
    </row>
    <row r="397" spans="1:8">
      <c r="A397" s="331"/>
      <c r="B397" s="564"/>
      <c r="C397" s="755"/>
      <c r="D397" s="341"/>
      <c r="E397" s="327"/>
      <c r="F397" s="1165"/>
      <c r="G397" s="1194"/>
    </row>
    <row r="398" spans="1:8">
      <c r="A398" s="1072"/>
      <c r="B398" s="1082"/>
      <c r="C398" s="1084"/>
      <c r="D398" s="1085"/>
      <c r="E398" s="1086"/>
      <c r="F398" s="1165"/>
      <c r="G398" s="1194"/>
    </row>
    <row r="399" spans="1:8">
      <c r="A399" s="1570" t="s">
        <v>96</v>
      </c>
      <c r="B399" s="1571"/>
      <c r="C399" s="1571"/>
      <c r="D399" s="1571"/>
      <c r="E399" s="1571"/>
      <c r="F399" s="1514"/>
      <c r="G399" s="1514"/>
    </row>
    <row r="400" spans="1:8">
      <c r="A400" s="1572"/>
      <c r="B400" s="1573"/>
      <c r="C400" s="1573"/>
      <c r="D400" s="1573"/>
      <c r="E400" s="1573"/>
      <c r="F400" s="1514"/>
      <c r="G400" s="1514"/>
    </row>
    <row r="401" spans="1:7">
      <c r="A401" s="328"/>
      <c r="B401" s="999"/>
      <c r="C401" s="332" t="s">
        <v>220</v>
      </c>
      <c r="D401" s="537"/>
      <c r="E401" s="429"/>
      <c r="F401" s="1164"/>
      <c r="G401" s="1275"/>
    </row>
    <row r="402" spans="1:7">
      <c r="A402" s="328"/>
      <c r="B402" s="999"/>
      <c r="C402" s="607"/>
      <c r="D402" s="537"/>
      <c r="E402" s="608"/>
      <c r="F402" s="1168"/>
      <c r="G402" s="1269"/>
    </row>
    <row r="403" spans="1:7">
      <c r="A403" s="328"/>
      <c r="B403" s="999" t="s">
        <v>969</v>
      </c>
      <c r="C403" s="850" t="s">
        <v>1139</v>
      </c>
      <c r="D403" s="535"/>
      <c r="E403" s="536"/>
      <c r="F403" s="1165"/>
      <c r="G403" s="1264"/>
    </row>
    <row r="404" spans="1:7">
      <c r="A404" s="328"/>
      <c r="B404" s="999"/>
      <c r="C404" s="534"/>
      <c r="D404" s="535"/>
      <c r="E404" s="536"/>
      <c r="F404" s="1165"/>
      <c r="G404" s="1264"/>
    </row>
    <row r="405" spans="1:7">
      <c r="A405" s="328" t="s">
        <v>1592</v>
      </c>
      <c r="B405" s="999" t="s">
        <v>441</v>
      </c>
      <c r="C405" s="852" t="s">
        <v>1451</v>
      </c>
      <c r="D405" s="535" t="s">
        <v>825</v>
      </c>
      <c r="E405" s="536">
        <v>40</v>
      </c>
      <c r="F405" s="1165"/>
      <c r="G405" s="1194"/>
    </row>
    <row r="406" spans="1:7">
      <c r="A406" s="1146"/>
      <c r="B406" s="1147"/>
      <c r="C406" s="1148"/>
      <c r="D406" s="875"/>
      <c r="E406" s="875"/>
      <c r="F406" s="1276"/>
      <c r="G406" s="1277"/>
    </row>
    <row r="407" spans="1:7">
      <c r="A407" s="1138"/>
      <c r="B407" s="999" t="s">
        <v>969</v>
      </c>
      <c r="C407" s="850" t="s">
        <v>1156</v>
      </c>
      <c r="D407" s="535"/>
      <c r="E407" s="536"/>
      <c r="F407" s="1165"/>
      <c r="G407" s="1264"/>
    </row>
    <row r="408" spans="1:7">
      <c r="A408" s="328"/>
      <c r="B408" s="999"/>
      <c r="C408" s="534"/>
      <c r="D408" s="535"/>
      <c r="E408" s="536"/>
      <c r="F408" s="1168"/>
      <c r="G408" s="1264"/>
    </row>
    <row r="409" spans="1:7">
      <c r="A409" s="328" t="s">
        <v>1593</v>
      </c>
      <c r="B409" s="999"/>
      <c r="C409" s="534" t="s">
        <v>1160</v>
      </c>
      <c r="D409" s="535" t="s">
        <v>574</v>
      </c>
      <c r="E409" s="536">
        <v>8</v>
      </c>
      <c r="F409" s="1168"/>
      <c r="G409" s="1194"/>
    </row>
    <row r="410" spans="1:7">
      <c r="A410" s="1138"/>
      <c r="B410" s="999"/>
      <c r="C410" s="581"/>
      <c r="D410" s="535"/>
      <c r="E410" s="536"/>
      <c r="F410" s="1168"/>
      <c r="G410" s="1264"/>
    </row>
    <row r="411" spans="1:7">
      <c r="A411" s="328" t="s">
        <v>1594</v>
      </c>
      <c r="B411" s="999"/>
      <c r="C411" s="534" t="s">
        <v>1454</v>
      </c>
      <c r="D411" s="535" t="s">
        <v>574</v>
      </c>
      <c r="E411" s="536">
        <v>32</v>
      </c>
      <c r="F411" s="1168"/>
      <c r="G411" s="1194"/>
    </row>
    <row r="412" spans="1:7">
      <c r="A412" s="328"/>
      <c r="B412" s="999"/>
      <c r="C412" s="534"/>
      <c r="D412" s="535"/>
      <c r="E412" s="536"/>
      <c r="F412" s="1168"/>
      <c r="G412" s="1264"/>
    </row>
    <row r="413" spans="1:7">
      <c r="A413" s="328"/>
      <c r="B413" s="999" t="s">
        <v>480</v>
      </c>
      <c r="C413" s="850" t="s">
        <v>973</v>
      </c>
      <c r="D413" s="535"/>
      <c r="E413" s="536"/>
      <c r="F413" s="1165"/>
      <c r="G413" s="1264"/>
    </row>
    <row r="414" spans="1:7">
      <c r="A414" s="328"/>
      <c r="B414" s="999"/>
      <c r="C414" s="534"/>
      <c r="D414" s="535"/>
      <c r="E414" s="536"/>
      <c r="F414" s="1165"/>
      <c r="G414" s="1264"/>
    </row>
    <row r="415" spans="1:7">
      <c r="A415" s="328"/>
      <c r="B415" s="999" t="s">
        <v>1170</v>
      </c>
      <c r="C415" s="850" t="s">
        <v>1171</v>
      </c>
      <c r="D415" s="535"/>
      <c r="E415" s="536"/>
      <c r="F415" s="1165"/>
      <c r="G415" s="1264"/>
    </row>
    <row r="416" spans="1:7">
      <c r="A416" s="328"/>
      <c r="B416" s="999"/>
      <c r="C416" s="534"/>
      <c r="D416" s="535"/>
      <c r="E416" s="536"/>
      <c r="F416" s="1165"/>
      <c r="G416" s="1264"/>
    </row>
    <row r="417" spans="1:9">
      <c r="A417" s="328" t="s">
        <v>1595</v>
      </c>
      <c r="B417" s="999"/>
      <c r="C417" s="534" t="s">
        <v>1458</v>
      </c>
      <c r="D417" s="535" t="s">
        <v>825</v>
      </c>
      <c r="E417" s="536">
        <f>CEILING(((1.8*1.8)-(1.4*1.4))*12,1)</f>
        <v>16</v>
      </c>
      <c r="F417" s="1200"/>
      <c r="G417" s="1201"/>
    </row>
    <row r="418" spans="1:9">
      <c r="A418" s="328"/>
      <c r="B418" s="999"/>
      <c r="C418" s="534"/>
      <c r="D418" s="535"/>
      <c r="E418" s="536"/>
      <c r="F418" s="1165"/>
      <c r="G418" s="1264"/>
    </row>
    <row r="419" spans="1:9">
      <c r="A419" s="1138"/>
      <c r="B419" s="999" t="s">
        <v>1176</v>
      </c>
      <c r="C419" s="850" t="s">
        <v>1177</v>
      </c>
      <c r="D419" s="535"/>
      <c r="E419" s="536"/>
      <c r="F419" s="1165"/>
      <c r="G419" s="1264"/>
    </row>
    <row r="420" spans="1:9">
      <c r="A420" s="1138"/>
      <c r="B420" s="999"/>
      <c r="C420" s="534"/>
      <c r="D420" s="535"/>
      <c r="E420" s="536"/>
      <c r="F420" s="1165"/>
      <c r="G420" s="1264"/>
    </row>
    <row r="421" spans="1:9">
      <c r="A421" s="328" t="s">
        <v>1596</v>
      </c>
      <c r="B421" s="999"/>
      <c r="C421" s="534" t="s">
        <v>1460</v>
      </c>
      <c r="D421" s="535" t="s">
        <v>825</v>
      </c>
      <c r="E421" s="536">
        <v>24</v>
      </c>
      <c r="F421" s="1200"/>
      <c r="G421" s="1201"/>
    </row>
    <row r="422" spans="1:9">
      <c r="A422" s="328"/>
      <c r="B422" s="999"/>
      <c r="C422" s="534"/>
      <c r="D422" s="535"/>
      <c r="E422" s="536"/>
      <c r="F422" s="1165"/>
      <c r="G422" s="1264"/>
    </row>
    <row r="423" spans="1:9">
      <c r="A423" s="328"/>
      <c r="B423" s="999"/>
      <c r="C423" s="850" t="s">
        <v>1217</v>
      </c>
      <c r="D423" s="535"/>
      <c r="E423" s="536"/>
      <c r="F423" s="1165"/>
      <c r="G423" s="1264"/>
    </row>
    <row r="424" spans="1:9">
      <c r="A424" s="328"/>
      <c r="B424" s="999"/>
      <c r="C424" s="534"/>
      <c r="D424" s="535"/>
      <c r="E424" s="536"/>
      <c r="F424" s="1165"/>
      <c r="G424" s="1264"/>
    </row>
    <row r="425" spans="1:9">
      <c r="A425" s="331" t="s">
        <v>1597</v>
      </c>
      <c r="B425" s="338" t="s">
        <v>1235</v>
      </c>
      <c r="C425" s="321" t="s">
        <v>1236</v>
      </c>
      <c r="D425" s="339"/>
      <c r="E425" s="335"/>
      <c r="F425" s="1266"/>
      <c r="G425" s="1272"/>
    </row>
    <row r="426" spans="1:9">
      <c r="A426" s="328"/>
      <c r="B426" s="999"/>
      <c r="C426" s="854"/>
      <c r="D426" s="535"/>
      <c r="E426" s="536"/>
      <c r="F426" s="1165"/>
      <c r="G426" s="1264"/>
    </row>
    <row r="427" spans="1:9" ht="25.5">
      <c r="A427" s="328" t="s">
        <v>1598</v>
      </c>
      <c r="B427" s="999"/>
      <c r="C427" s="534" t="s">
        <v>1599</v>
      </c>
      <c r="D427" s="535" t="s">
        <v>70</v>
      </c>
      <c r="E427" s="536">
        <v>12</v>
      </c>
      <c r="F427" s="1200"/>
      <c r="G427" s="1201"/>
    </row>
    <row r="428" spans="1:9">
      <c r="A428" s="753"/>
      <c r="B428" s="998"/>
      <c r="C428" s="281"/>
      <c r="D428" s="742"/>
      <c r="E428" s="785"/>
      <c r="F428" s="1238"/>
      <c r="G428" s="1255"/>
      <c r="H428" s="290"/>
      <c r="I428" s="290"/>
    </row>
    <row r="429" spans="1:9">
      <c r="A429" s="753" t="s">
        <v>1600</v>
      </c>
      <c r="B429" s="998"/>
      <c r="C429" s="533" t="s">
        <v>1246</v>
      </c>
      <c r="D429" s="658"/>
      <c r="E429" s="754"/>
      <c r="F429" s="1245"/>
      <c r="G429" s="1194"/>
      <c r="H429" s="290"/>
      <c r="I429" s="290"/>
    </row>
    <row r="430" spans="1:9">
      <c r="A430" s="753"/>
      <c r="B430" s="998"/>
      <c r="C430" s="281"/>
      <c r="D430" s="742"/>
      <c r="E430" s="785"/>
      <c r="F430" s="1238"/>
      <c r="G430" s="1255"/>
      <c r="H430" s="290"/>
      <c r="I430" s="290"/>
    </row>
    <row r="431" spans="1:9">
      <c r="A431" s="753" t="s">
        <v>1601</v>
      </c>
      <c r="B431" s="998"/>
      <c r="C431" s="760" t="s">
        <v>1602</v>
      </c>
      <c r="D431" s="535" t="s">
        <v>70</v>
      </c>
      <c r="E431" s="536">
        <v>12</v>
      </c>
      <c r="F431" s="1200"/>
      <c r="G431" s="1201"/>
      <c r="H431" s="290"/>
      <c r="I431" s="290"/>
    </row>
    <row r="432" spans="1:9">
      <c r="A432" s="328"/>
      <c r="B432" s="999"/>
      <c r="C432" s="534"/>
      <c r="D432" s="535"/>
      <c r="E432" s="536"/>
      <c r="F432" s="1165"/>
      <c r="G432" s="1264"/>
    </row>
    <row r="433" spans="1:7">
      <c r="A433" s="328" t="s">
        <v>1600</v>
      </c>
      <c r="B433" s="1144" t="s">
        <v>1082</v>
      </c>
      <c r="C433" s="850" t="s">
        <v>1083</v>
      </c>
      <c r="D433" s="535"/>
      <c r="E433" s="536"/>
      <c r="F433" s="1165"/>
      <c r="G433" s="1264"/>
    </row>
    <row r="434" spans="1:7">
      <c r="A434" s="328"/>
      <c r="B434" s="855"/>
      <c r="C434" s="534"/>
      <c r="D434" s="535"/>
      <c r="E434" s="536"/>
      <c r="F434" s="1165"/>
      <c r="G434" s="1264"/>
    </row>
    <row r="435" spans="1:7" ht="25.5">
      <c r="A435" s="328"/>
      <c r="B435" s="855" t="s">
        <v>1084</v>
      </c>
      <c r="C435" s="850" t="s">
        <v>1478</v>
      </c>
      <c r="D435" s="535"/>
      <c r="E435" s="536"/>
      <c r="F435" s="1165"/>
      <c r="G435" s="1264"/>
    </row>
    <row r="436" spans="1:7">
      <c r="A436" s="328"/>
      <c r="B436" s="999"/>
      <c r="C436" s="534"/>
      <c r="D436" s="535"/>
      <c r="E436" s="536"/>
      <c r="F436" s="1165"/>
      <c r="G436" s="1264"/>
    </row>
    <row r="437" spans="1:7">
      <c r="A437" s="328" t="s">
        <v>1601</v>
      </c>
      <c r="B437" s="999"/>
      <c r="C437" s="534" t="s">
        <v>1414</v>
      </c>
      <c r="D437" s="535" t="s">
        <v>70</v>
      </c>
      <c r="E437" s="536">
        <f>4*12</f>
        <v>48</v>
      </c>
      <c r="F437" s="1200"/>
      <c r="G437" s="1201"/>
    </row>
    <row r="438" spans="1:7">
      <c r="A438" s="328"/>
      <c r="B438" s="999"/>
      <c r="C438" s="534"/>
      <c r="D438" s="535"/>
      <c r="E438" s="536"/>
      <c r="F438" s="1168"/>
      <c r="G438" s="1264"/>
    </row>
    <row r="439" spans="1:7">
      <c r="A439" s="328" t="s">
        <v>1603</v>
      </c>
      <c r="B439" s="999"/>
      <c r="C439" s="534" t="s">
        <v>1417</v>
      </c>
      <c r="D439" s="535" t="s">
        <v>70</v>
      </c>
      <c r="E439" s="536">
        <v>24</v>
      </c>
      <c r="F439" s="1200"/>
      <c r="G439" s="1201"/>
    </row>
    <row r="440" spans="1:7">
      <c r="A440" s="331"/>
      <c r="B440" s="853"/>
      <c r="C440" s="534"/>
      <c r="D440" s="535"/>
      <c r="E440" s="536"/>
      <c r="F440" s="1200"/>
      <c r="G440" s="1201"/>
    </row>
    <row r="441" spans="1:7">
      <c r="A441" s="316">
        <v>5.5</v>
      </c>
      <c r="B441" s="853"/>
      <c r="C441" s="850" t="s">
        <v>259</v>
      </c>
      <c r="D441" s="1079"/>
      <c r="E441" s="340"/>
      <c r="F441" s="1164"/>
      <c r="G441" s="1264"/>
    </row>
    <row r="442" spans="1:7">
      <c r="A442" s="331"/>
      <c r="B442" s="853"/>
      <c r="C442" s="755"/>
      <c r="D442" s="564"/>
      <c r="E442" s="340"/>
      <c r="F442" s="1164"/>
      <c r="G442" s="1264"/>
    </row>
    <row r="443" spans="1:7">
      <c r="A443" s="323" t="s">
        <v>1604</v>
      </c>
      <c r="B443" s="320" t="s">
        <v>1057</v>
      </c>
      <c r="C443" s="333" t="s">
        <v>820</v>
      </c>
      <c r="D443" s="870"/>
      <c r="E443" s="335"/>
      <c r="F443" s="1266"/>
      <c r="G443" s="1272"/>
    </row>
    <row r="444" spans="1:7">
      <c r="A444" s="323"/>
      <c r="B444" s="860"/>
      <c r="C444" s="871"/>
      <c r="D444" s="845"/>
      <c r="E444" s="327"/>
      <c r="F444" s="1164"/>
      <c r="G444" s="1264"/>
    </row>
    <row r="445" spans="1:7">
      <c r="A445" s="323"/>
      <c r="B445" s="324" t="s">
        <v>413</v>
      </c>
      <c r="C445" s="318" t="s">
        <v>1421</v>
      </c>
      <c r="D445" s="845"/>
      <c r="E445" s="327"/>
      <c r="F445" s="1164"/>
      <c r="G445" s="1264"/>
    </row>
    <row r="446" spans="1:7">
      <c r="A446" s="323"/>
      <c r="B446" s="860"/>
      <c r="C446" s="871"/>
      <c r="D446" s="845"/>
      <c r="E446" s="327"/>
      <c r="F446" s="1164"/>
      <c r="G446" s="1264"/>
    </row>
    <row r="447" spans="1:7" ht="25.5">
      <c r="A447" s="336"/>
      <c r="B447" s="1031" t="s">
        <v>1492</v>
      </c>
      <c r="C447" s="333" t="s">
        <v>1422</v>
      </c>
      <c r="D447" s="845"/>
      <c r="E447" s="536"/>
      <c r="F447" s="1165"/>
      <c r="G447" s="1264"/>
    </row>
    <row r="448" spans="1:7">
      <c r="A448" s="336"/>
      <c r="B448" s="1031"/>
      <c r="C448" s="1141"/>
      <c r="D448" s="606"/>
      <c r="E448" s="536"/>
      <c r="F448" s="1165"/>
      <c r="G448" s="1264"/>
    </row>
    <row r="449" spans="1:7">
      <c r="A449" s="336" t="s">
        <v>1605</v>
      </c>
      <c r="B449" s="1031"/>
      <c r="C449" s="1141" t="s">
        <v>1542</v>
      </c>
      <c r="D449" s="606" t="s">
        <v>574</v>
      </c>
      <c r="E449" s="536">
        <f>11*2</f>
        <v>22</v>
      </c>
      <c r="F449" s="1200"/>
      <c r="G449" s="1201"/>
    </row>
    <row r="450" spans="1:7">
      <c r="A450" s="336"/>
      <c r="B450" s="1031"/>
      <c r="C450" s="1141"/>
      <c r="D450" s="606"/>
      <c r="E450" s="536"/>
      <c r="F450" s="1165"/>
      <c r="G450" s="1264"/>
    </row>
    <row r="451" spans="1:7">
      <c r="A451" s="336" t="s">
        <v>1606</v>
      </c>
      <c r="B451" s="1031"/>
      <c r="C451" s="1141" t="s">
        <v>1496</v>
      </c>
      <c r="D451" s="606" t="s">
        <v>574</v>
      </c>
      <c r="E451" s="536">
        <f>18.5*2</f>
        <v>37</v>
      </c>
      <c r="F451" s="1200"/>
      <c r="G451" s="1201"/>
    </row>
    <row r="452" spans="1:7">
      <c r="A452" s="336"/>
      <c r="B452" s="1031"/>
      <c r="C452" s="1141"/>
      <c r="D452" s="606"/>
      <c r="E452" s="536"/>
      <c r="F452" s="1165"/>
      <c r="G452" s="1264"/>
    </row>
    <row r="453" spans="1:7">
      <c r="A453" s="336" t="s">
        <v>1607</v>
      </c>
      <c r="B453" s="1031"/>
      <c r="C453" s="848" t="s">
        <v>1498</v>
      </c>
      <c r="D453" s="606" t="s">
        <v>574</v>
      </c>
      <c r="E453" s="536">
        <f>7.5*2</f>
        <v>15</v>
      </c>
      <c r="F453" s="1200"/>
      <c r="G453" s="1201"/>
    </row>
    <row r="454" spans="1:7">
      <c r="A454" s="336"/>
      <c r="B454" s="999"/>
      <c r="C454" s="1135"/>
      <c r="D454" s="535"/>
      <c r="E454" s="536"/>
      <c r="F454" s="1165"/>
      <c r="G454" s="1264"/>
    </row>
    <row r="455" spans="1:7" ht="25.5">
      <c r="A455" s="336" t="s">
        <v>1608</v>
      </c>
      <c r="B455" s="530"/>
      <c r="C455" s="411" t="s">
        <v>1609</v>
      </c>
      <c r="D455" s="331" t="s">
        <v>574</v>
      </c>
      <c r="E455" s="620">
        <f>_xlfn.CEILING.MATH(2*3.3*3.5*3,1)</f>
        <v>70</v>
      </c>
      <c r="F455" s="1200"/>
      <c r="G455" s="1201"/>
    </row>
    <row r="456" spans="1:7">
      <c r="A456" s="328"/>
      <c r="B456" s="999"/>
      <c r="C456" s="534"/>
      <c r="D456" s="535"/>
      <c r="E456" s="536"/>
      <c r="F456" s="1168"/>
      <c r="G456" s="1194"/>
    </row>
    <row r="457" spans="1:7">
      <c r="A457" s="336" t="s">
        <v>1610</v>
      </c>
      <c r="B457" s="324" t="s">
        <v>844</v>
      </c>
      <c r="C457" s="325" t="s">
        <v>845</v>
      </c>
      <c r="D457" s="331" t="s">
        <v>846</v>
      </c>
      <c r="E457" s="536">
        <f>2*100</f>
        <v>200</v>
      </c>
      <c r="F457" s="1200"/>
      <c r="G457" s="1201"/>
    </row>
    <row r="458" spans="1:7">
      <c r="A458" s="328"/>
      <c r="B458" s="999"/>
      <c r="C458" s="534"/>
      <c r="D458" s="535"/>
      <c r="E458" s="536"/>
      <c r="F458" s="1168"/>
      <c r="G458" s="1194"/>
    </row>
    <row r="459" spans="1:7">
      <c r="A459" s="331" t="s">
        <v>1611</v>
      </c>
      <c r="B459" s="338" t="s">
        <v>953</v>
      </c>
      <c r="C459" s="321" t="s">
        <v>1092</v>
      </c>
      <c r="D459" s="341"/>
      <c r="E459" s="327"/>
      <c r="F459" s="1165"/>
      <c r="G459" s="1264"/>
    </row>
    <row r="460" spans="1:7">
      <c r="A460" s="328"/>
      <c r="B460" s="999"/>
      <c r="C460" s="1135"/>
      <c r="D460" s="535"/>
      <c r="E460" s="536"/>
      <c r="F460" s="1165"/>
      <c r="G460" s="1264"/>
    </row>
    <row r="461" spans="1:7">
      <c r="A461" s="328"/>
      <c r="B461" s="1031">
        <v>8.1999999999999993</v>
      </c>
      <c r="C461" s="1137" t="s">
        <v>955</v>
      </c>
      <c r="D461" s="535"/>
      <c r="E461" s="536"/>
      <c r="F461" s="1165"/>
      <c r="G461" s="1264"/>
    </row>
    <row r="462" spans="1:7">
      <c r="A462" s="328"/>
      <c r="B462" s="1031"/>
      <c r="C462" s="848"/>
      <c r="D462" s="535"/>
      <c r="E462" s="536"/>
      <c r="F462" s="1165"/>
      <c r="G462" s="1264"/>
    </row>
    <row r="463" spans="1:7">
      <c r="A463" s="328"/>
      <c r="B463" s="1031" t="s">
        <v>994</v>
      </c>
      <c r="C463" s="849" t="s">
        <v>1093</v>
      </c>
      <c r="D463" s="535"/>
      <c r="E463" s="536"/>
      <c r="F463" s="1165"/>
      <c r="G463" s="1264"/>
    </row>
    <row r="464" spans="1:7">
      <c r="A464" s="328"/>
      <c r="B464" s="999"/>
      <c r="C464" s="534"/>
      <c r="D464" s="535"/>
      <c r="E464" s="536"/>
      <c r="F464" s="1165"/>
      <c r="G464" s="1264"/>
    </row>
    <row r="465" spans="1:7">
      <c r="A465" s="328"/>
      <c r="B465" s="999"/>
      <c r="C465" s="850" t="s">
        <v>1094</v>
      </c>
      <c r="D465" s="535"/>
      <c r="E465" s="536"/>
      <c r="F465" s="1165"/>
      <c r="G465" s="1264"/>
    </row>
    <row r="466" spans="1:7">
      <c r="A466" s="328"/>
      <c r="B466" s="999"/>
      <c r="C466" s="534"/>
      <c r="D466" s="535"/>
      <c r="E466" s="536"/>
      <c r="F466" s="1165"/>
      <c r="G466" s="1264"/>
    </row>
    <row r="467" spans="1:7">
      <c r="A467" s="328" t="s">
        <v>1612</v>
      </c>
      <c r="B467" s="999"/>
      <c r="C467" s="534" t="s">
        <v>1550</v>
      </c>
      <c r="D467" s="535" t="s">
        <v>825</v>
      </c>
      <c r="E467" s="536">
        <f>2*95</f>
        <v>190</v>
      </c>
      <c r="F467" s="1165"/>
      <c r="G467" s="1194"/>
    </row>
    <row r="468" spans="1:7">
      <c r="A468" s="328"/>
      <c r="B468" s="1079"/>
      <c r="C468" s="534"/>
      <c r="D468" s="535"/>
      <c r="E468" s="536"/>
      <c r="F468" s="1165"/>
      <c r="G468" s="1264"/>
    </row>
    <row r="469" spans="1:7">
      <c r="A469" s="328" t="s">
        <v>1613</v>
      </c>
      <c r="B469" s="1079"/>
      <c r="C469" s="534" t="s">
        <v>1437</v>
      </c>
      <c r="D469" s="535" t="s">
        <v>825</v>
      </c>
      <c r="E469" s="536">
        <f>2*1</f>
        <v>2</v>
      </c>
      <c r="F469" s="1165"/>
      <c r="G469" s="1194"/>
    </row>
    <row r="470" spans="1:7">
      <c r="A470" s="328"/>
      <c r="B470" s="1079"/>
      <c r="C470" s="755"/>
      <c r="D470" s="535"/>
      <c r="E470" s="536"/>
      <c r="F470" s="1172"/>
      <c r="G470" s="1264"/>
    </row>
    <row r="471" spans="1:7">
      <c r="A471" s="328"/>
      <c r="B471" s="1074" t="s">
        <v>1128</v>
      </c>
      <c r="C471" s="867" t="s">
        <v>1129</v>
      </c>
      <c r="D471" s="535"/>
      <c r="E471" s="536"/>
      <c r="F471" s="1165"/>
      <c r="G471" s="1264"/>
    </row>
    <row r="472" spans="1:7">
      <c r="A472" s="328"/>
      <c r="B472" s="1079"/>
      <c r="C472" s="755"/>
      <c r="D472" s="535"/>
      <c r="E472" s="536"/>
      <c r="F472" s="1165"/>
      <c r="G472" s="1264"/>
    </row>
    <row r="473" spans="1:7">
      <c r="A473" s="328" t="s">
        <v>1614</v>
      </c>
      <c r="B473" s="1079"/>
      <c r="C473" s="755" t="s">
        <v>1615</v>
      </c>
      <c r="D473" s="535" t="s">
        <v>818</v>
      </c>
      <c r="E473" s="536">
        <f>_xlfn.CEILING.MATH((3.9+3.7)*2*2*2,5)</f>
        <v>65</v>
      </c>
      <c r="F473" s="1165"/>
      <c r="G473" s="1194"/>
    </row>
    <row r="474" spans="1:7">
      <c r="A474" s="328"/>
      <c r="B474" s="1079"/>
      <c r="C474" s="755"/>
      <c r="D474" s="535"/>
      <c r="E474" s="536"/>
      <c r="F474" s="1165"/>
      <c r="G474" s="1194"/>
    </row>
    <row r="475" spans="1:7">
      <c r="A475" s="328"/>
      <c r="B475" s="1079"/>
      <c r="C475" s="755"/>
      <c r="D475" s="535"/>
      <c r="E475" s="536"/>
      <c r="F475" s="1165"/>
      <c r="G475" s="1194"/>
    </row>
    <row r="476" spans="1:7">
      <c r="A476" s="328"/>
      <c r="B476" s="1079"/>
      <c r="C476" s="755"/>
      <c r="D476" s="535"/>
      <c r="E476" s="536"/>
      <c r="F476" s="1165"/>
      <c r="G476" s="1194"/>
    </row>
    <row r="477" spans="1:7">
      <c r="A477" s="328"/>
      <c r="B477" s="1079"/>
      <c r="C477" s="755"/>
      <c r="D477" s="535"/>
      <c r="E477" s="536"/>
      <c r="F477" s="1165"/>
      <c r="G477" s="1194"/>
    </row>
    <row r="478" spans="1:7">
      <c r="A478" s="328"/>
      <c r="B478" s="1080"/>
      <c r="C478" s="1084"/>
      <c r="D478" s="535"/>
      <c r="E478" s="536"/>
      <c r="F478" s="1165"/>
      <c r="G478" s="1264"/>
    </row>
    <row r="479" spans="1:7">
      <c r="A479" s="1570" t="s">
        <v>96</v>
      </c>
      <c r="B479" s="1571"/>
      <c r="C479" s="1571"/>
      <c r="D479" s="1571"/>
      <c r="E479" s="1571"/>
      <c r="F479" s="1514"/>
      <c r="G479" s="1514"/>
    </row>
    <row r="480" spans="1:7">
      <c r="A480" s="1572"/>
      <c r="B480" s="1573"/>
      <c r="C480" s="1573"/>
      <c r="D480" s="1573"/>
      <c r="E480" s="1573"/>
      <c r="F480" s="1514"/>
      <c r="G480" s="1514"/>
    </row>
    <row r="481" spans="1:7">
      <c r="A481" s="328"/>
      <c r="B481" s="999"/>
      <c r="C481" s="332" t="s">
        <v>220</v>
      </c>
      <c r="D481" s="537"/>
      <c r="E481" s="429"/>
      <c r="F481" s="1164"/>
      <c r="G481" s="1275"/>
    </row>
    <row r="482" spans="1:7">
      <c r="A482" s="1138"/>
      <c r="B482" s="999"/>
      <c r="C482" s="534"/>
      <c r="D482" s="535"/>
      <c r="E482" s="536"/>
      <c r="F482" s="1165"/>
      <c r="G482" s="1264"/>
    </row>
    <row r="483" spans="1:7">
      <c r="A483" s="328"/>
      <c r="B483" s="999">
        <v>8.3000000000000007</v>
      </c>
      <c r="C483" s="850" t="s">
        <v>958</v>
      </c>
      <c r="D483" s="535"/>
      <c r="E483" s="652"/>
      <c r="F483" s="1164"/>
      <c r="G483" s="1264"/>
    </row>
    <row r="484" spans="1:7">
      <c r="A484" s="328"/>
      <c r="B484" s="999"/>
      <c r="C484" s="1139"/>
      <c r="D484" s="535"/>
      <c r="E484" s="652"/>
      <c r="F484" s="1172"/>
      <c r="G484" s="1264"/>
    </row>
    <row r="485" spans="1:7">
      <c r="A485" s="328" t="s">
        <v>1616</v>
      </c>
      <c r="B485" s="999" t="s">
        <v>331</v>
      </c>
      <c r="C485" s="534" t="s">
        <v>960</v>
      </c>
      <c r="D485" s="535" t="s">
        <v>961</v>
      </c>
      <c r="E485" s="652">
        <f>2*2.205</f>
        <v>4.41</v>
      </c>
      <c r="F485" s="1200"/>
      <c r="G485" s="1201"/>
    </row>
    <row r="486" spans="1:7">
      <c r="A486" s="328"/>
      <c r="B486" s="999"/>
      <c r="C486" s="1139"/>
      <c r="D486" s="535"/>
      <c r="E486" s="652"/>
      <c r="F486" s="1172"/>
      <c r="G486" s="1264"/>
    </row>
    <row r="487" spans="1:7">
      <c r="A487" s="328" t="s">
        <v>1617</v>
      </c>
      <c r="B487" s="999" t="s">
        <v>331</v>
      </c>
      <c r="C487" s="1135" t="s">
        <v>963</v>
      </c>
      <c r="D487" s="535" t="s">
        <v>961</v>
      </c>
      <c r="E487" s="652">
        <f>0.4*E485</f>
        <v>1.7640000000000002</v>
      </c>
      <c r="F487" s="1200"/>
      <c r="G487" s="1201"/>
    </row>
    <row r="488" spans="1:7">
      <c r="A488" s="328"/>
      <c r="B488" s="999"/>
      <c r="C488" s="534"/>
      <c r="D488" s="535"/>
      <c r="E488" s="536"/>
      <c r="F488" s="1165"/>
      <c r="G488" s="1264"/>
    </row>
    <row r="489" spans="1:7">
      <c r="A489" s="243"/>
      <c r="B489" s="504" t="s">
        <v>363</v>
      </c>
      <c r="C489" s="621" t="s">
        <v>964</v>
      </c>
      <c r="D489" s="501"/>
      <c r="E489" s="622"/>
      <c r="F489" s="1219"/>
      <c r="G489" s="1219"/>
    </row>
    <row r="490" spans="1:7">
      <c r="A490" s="243"/>
      <c r="B490" s="570"/>
      <c r="C490" s="876"/>
      <c r="D490" s="501"/>
      <c r="E490" s="622"/>
      <c r="F490" s="1219"/>
      <c r="G490" s="1219"/>
    </row>
    <row r="491" spans="1:7" ht="15">
      <c r="A491" s="243" t="s">
        <v>1618</v>
      </c>
      <c r="B491" s="570"/>
      <c r="C491" s="877" t="s">
        <v>1518</v>
      </c>
      <c r="D491" s="366" t="s">
        <v>1619</v>
      </c>
      <c r="E491" s="622">
        <f>_xlfn.CEILING.MATH(0.17*3.9*3.7*1.45*2,5)</f>
        <v>10</v>
      </c>
      <c r="F491" s="1200"/>
      <c r="G491" s="1201"/>
    </row>
    <row r="492" spans="1:7">
      <c r="A492" s="328"/>
      <c r="B492" s="999"/>
      <c r="C492" s="1135"/>
      <c r="D492" s="535"/>
      <c r="E492" s="652"/>
      <c r="F492" s="1172"/>
      <c r="G492" s="1264"/>
    </row>
    <row r="493" spans="1:7">
      <c r="A493" s="328"/>
      <c r="B493" s="999">
        <v>8.4</v>
      </c>
      <c r="C493" s="1139" t="s">
        <v>968</v>
      </c>
      <c r="D493" s="535"/>
      <c r="E493" s="536"/>
      <c r="F493" s="1168"/>
      <c r="G493" s="1264"/>
    </row>
    <row r="494" spans="1:7">
      <c r="A494" s="1138"/>
      <c r="B494" s="999"/>
      <c r="C494" s="1135"/>
      <c r="D494" s="535"/>
      <c r="E494" s="536"/>
      <c r="F494" s="1168"/>
      <c r="G494" s="1264"/>
    </row>
    <row r="495" spans="1:7">
      <c r="A495" s="1138"/>
      <c r="B495" s="999" t="s">
        <v>969</v>
      </c>
      <c r="C495" s="850" t="s">
        <v>1556</v>
      </c>
      <c r="D495" s="535"/>
      <c r="E495" s="536"/>
      <c r="F495" s="1168"/>
      <c r="G495" s="1264"/>
    </row>
    <row r="496" spans="1:7">
      <c r="A496" s="1138"/>
      <c r="B496" s="999"/>
      <c r="C496" s="534"/>
      <c r="D496" s="535"/>
      <c r="E496" s="536"/>
      <c r="F496" s="1172"/>
      <c r="G496" s="1264"/>
    </row>
    <row r="497" spans="1:7">
      <c r="A497" s="328" t="s">
        <v>1620</v>
      </c>
      <c r="B497" s="999"/>
      <c r="C497" s="534" t="s">
        <v>1447</v>
      </c>
      <c r="D497" s="535" t="s">
        <v>825</v>
      </c>
      <c r="E497" s="536">
        <f>2*8</f>
        <v>16</v>
      </c>
      <c r="F497" s="1165"/>
      <c r="G497" s="1194"/>
    </row>
    <row r="498" spans="1:7">
      <c r="A498" s="328"/>
      <c r="B498" s="999"/>
      <c r="C498" s="534"/>
      <c r="D498" s="535"/>
      <c r="E498" s="536"/>
      <c r="F498" s="1165"/>
      <c r="G498" s="1264"/>
    </row>
    <row r="499" spans="1:7">
      <c r="A499" s="328"/>
      <c r="B499" s="999" t="s">
        <v>969</v>
      </c>
      <c r="C499" s="850" t="s">
        <v>1139</v>
      </c>
      <c r="D499" s="535"/>
      <c r="E499" s="536"/>
      <c r="F499" s="1165"/>
      <c r="G499" s="1264"/>
    </row>
    <row r="500" spans="1:7">
      <c r="A500" s="328"/>
      <c r="B500" s="999"/>
      <c r="C500" s="534"/>
      <c r="D500" s="535"/>
      <c r="E500" s="536"/>
      <c r="F500" s="1165"/>
      <c r="G500" s="1264"/>
    </row>
    <row r="501" spans="1:7">
      <c r="A501" s="328" t="s">
        <v>1621</v>
      </c>
      <c r="B501" s="999" t="s">
        <v>441</v>
      </c>
      <c r="C501" s="852" t="s">
        <v>1451</v>
      </c>
      <c r="D501" s="535" t="s">
        <v>825</v>
      </c>
      <c r="E501" s="536">
        <f>2*15</f>
        <v>30</v>
      </c>
      <c r="F501" s="1165"/>
      <c r="G501" s="1194"/>
    </row>
    <row r="502" spans="1:7">
      <c r="A502" s="328"/>
      <c r="B502" s="999"/>
      <c r="C502" s="534"/>
      <c r="D502" s="535"/>
      <c r="E502" s="536"/>
      <c r="F502" s="1165"/>
      <c r="G502" s="1264"/>
    </row>
    <row r="503" spans="1:7">
      <c r="A503" s="1138"/>
      <c r="B503" s="999" t="s">
        <v>969</v>
      </c>
      <c r="C503" s="850" t="s">
        <v>1156</v>
      </c>
      <c r="D503" s="535"/>
      <c r="E503" s="536"/>
      <c r="F503" s="1165"/>
      <c r="G503" s="1264"/>
    </row>
    <row r="504" spans="1:7">
      <c r="A504" s="328"/>
      <c r="B504" s="999"/>
      <c r="C504" s="534"/>
      <c r="D504" s="535"/>
      <c r="E504" s="536"/>
      <c r="F504" s="1168"/>
      <c r="G504" s="1264"/>
    </row>
    <row r="505" spans="1:7">
      <c r="A505" s="328" t="s">
        <v>1622</v>
      </c>
      <c r="B505" s="999"/>
      <c r="C505" s="534" t="s">
        <v>1160</v>
      </c>
      <c r="D505" s="535" t="s">
        <v>574</v>
      </c>
      <c r="E505" s="536">
        <f>2*5</f>
        <v>10</v>
      </c>
      <c r="F505" s="1168"/>
      <c r="G505" s="1194"/>
    </row>
    <row r="506" spans="1:7">
      <c r="A506" s="328"/>
      <c r="B506" s="999"/>
      <c r="C506" s="581"/>
      <c r="D506" s="535"/>
      <c r="E506" s="536"/>
      <c r="F506" s="1168"/>
      <c r="G506" s="1264"/>
    </row>
    <row r="507" spans="1:7">
      <c r="A507" s="328" t="s">
        <v>1623</v>
      </c>
      <c r="B507" s="999"/>
      <c r="C507" s="534" t="s">
        <v>1454</v>
      </c>
      <c r="D507" s="535" t="s">
        <v>574</v>
      </c>
      <c r="E507" s="536">
        <f>2*15</f>
        <v>30</v>
      </c>
      <c r="F507" s="1168"/>
      <c r="G507" s="1194"/>
    </row>
    <row r="508" spans="1:7">
      <c r="A508" s="328"/>
      <c r="B508" s="999"/>
      <c r="C508" s="755"/>
      <c r="D508" s="535"/>
      <c r="E508" s="536"/>
      <c r="F508" s="1168"/>
      <c r="G508" s="1264"/>
    </row>
    <row r="509" spans="1:7">
      <c r="A509" s="328" t="s">
        <v>1624</v>
      </c>
      <c r="B509" s="999"/>
      <c r="C509" s="755" t="s">
        <v>1456</v>
      </c>
      <c r="D509" s="535" t="s">
        <v>574</v>
      </c>
      <c r="E509" s="327">
        <f>2*0.05</f>
        <v>0.1</v>
      </c>
      <c r="F509" s="1164"/>
      <c r="G509" s="1194"/>
    </row>
    <row r="510" spans="1:7">
      <c r="A510" s="328"/>
      <c r="B510" s="999"/>
      <c r="C510" s="1135"/>
      <c r="D510" s="535"/>
      <c r="E510" s="327"/>
      <c r="F510" s="1164"/>
      <c r="G510" s="1264"/>
    </row>
    <row r="511" spans="1:7">
      <c r="A511" s="328" t="s">
        <v>1625</v>
      </c>
      <c r="B511" s="999"/>
      <c r="C511" s="534" t="s">
        <v>1525</v>
      </c>
      <c r="D511" s="535" t="s">
        <v>574</v>
      </c>
      <c r="E511" s="327">
        <f>_xlfn.CEILING.MATH(2*0.5*0.5*0.3,5)</f>
        <v>5</v>
      </c>
      <c r="F511" s="1164"/>
      <c r="G511" s="1194"/>
    </row>
    <row r="512" spans="1:7">
      <c r="A512" s="336"/>
      <c r="B512" s="1031"/>
      <c r="C512" s="1141"/>
      <c r="D512" s="606"/>
      <c r="E512" s="536"/>
      <c r="F512" s="1165"/>
      <c r="G512" s="1264"/>
    </row>
    <row r="513" spans="1:7">
      <c r="A513" s="328"/>
      <c r="B513" s="1079" t="s">
        <v>480</v>
      </c>
      <c r="C513" s="850" t="s">
        <v>973</v>
      </c>
      <c r="D513" s="341"/>
      <c r="E513" s="327"/>
      <c r="F513" s="1164"/>
      <c r="G513" s="1264"/>
    </row>
    <row r="514" spans="1:7">
      <c r="A514" s="328"/>
      <c r="B514" s="999"/>
      <c r="C514" s="755"/>
      <c r="D514" s="535"/>
      <c r="E514" s="327"/>
      <c r="F514" s="1164"/>
      <c r="G514" s="1264"/>
    </row>
    <row r="515" spans="1:7">
      <c r="A515" s="328"/>
      <c r="B515" s="999" t="s">
        <v>1170</v>
      </c>
      <c r="C515" s="850" t="s">
        <v>1171</v>
      </c>
      <c r="D515" s="535"/>
      <c r="E515" s="536"/>
      <c r="F515" s="1165"/>
      <c r="G515" s="1264"/>
    </row>
    <row r="516" spans="1:7">
      <c r="A516" s="328"/>
      <c r="B516" s="999"/>
      <c r="C516" s="534"/>
      <c r="D516" s="535"/>
      <c r="E516" s="536"/>
      <c r="F516" s="1165"/>
      <c r="G516" s="1264"/>
    </row>
    <row r="517" spans="1:7">
      <c r="A517" s="328" t="s">
        <v>1626</v>
      </c>
      <c r="B517" s="999"/>
      <c r="C517" s="534" t="s">
        <v>1458</v>
      </c>
      <c r="D517" s="535" t="s">
        <v>825</v>
      </c>
      <c r="E517" s="536">
        <f>2*5</f>
        <v>10</v>
      </c>
      <c r="F517" s="1200"/>
      <c r="G517" s="1201"/>
    </row>
    <row r="518" spans="1:7">
      <c r="A518" s="1138"/>
      <c r="B518" s="999"/>
      <c r="C518" s="1135"/>
      <c r="D518" s="535"/>
      <c r="E518" s="536"/>
      <c r="F518" s="1165"/>
      <c r="G518" s="1264"/>
    </row>
    <row r="519" spans="1:7">
      <c r="A519" s="1138"/>
      <c r="B519" s="999" t="s">
        <v>1176</v>
      </c>
      <c r="C519" s="850" t="s">
        <v>1177</v>
      </c>
      <c r="D519" s="535"/>
      <c r="E519" s="536"/>
      <c r="F519" s="1165"/>
      <c r="G519" s="1264"/>
    </row>
    <row r="520" spans="1:7">
      <c r="A520" s="1138"/>
      <c r="B520" s="999"/>
      <c r="C520" s="534"/>
      <c r="D520" s="535"/>
      <c r="E520" s="536"/>
      <c r="F520" s="1165"/>
      <c r="G520" s="1264"/>
    </row>
    <row r="521" spans="1:7">
      <c r="A521" s="328" t="s">
        <v>1627</v>
      </c>
      <c r="B521" s="999"/>
      <c r="C521" s="534" t="s">
        <v>1460</v>
      </c>
      <c r="D521" s="535" t="s">
        <v>825</v>
      </c>
      <c r="E521" s="536">
        <f>2*8</f>
        <v>16</v>
      </c>
      <c r="F521" s="1200"/>
      <c r="G521" s="1201"/>
    </row>
    <row r="522" spans="1:7">
      <c r="A522" s="328"/>
      <c r="B522" s="999"/>
      <c r="C522" s="534"/>
      <c r="D522" s="535"/>
      <c r="E522" s="536"/>
      <c r="F522" s="1165"/>
      <c r="G522" s="1264"/>
    </row>
    <row r="523" spans="1:7">
      <c r="A523" s="328"/>
      <c r="B523" s="999"/>
      <c r="C523" s="850" t="s">
        <v>1217</v>
      </c>
      <c r="D523" s="535"/>
      <c r="E523" s="536"/>
      <c r="F523" s="1165"/>
      <c r="G523" s="1264"/>
    </row>
    <row r="524" spans="1:7">
      <c r="A524" s="328"/>
      <c r="B524" s="999"/>
      <c r="C524" s="850"/>
      <c r="D524" s="535"/>
      <c r="E524" s="536"/>
      <c r="F524" s="1165"/>
      <c r="G524" s="1264"/>
    </row>
    <row r="525" spans="1:7">
      <c r="A525" s="328" t="s">
        <v>1628</v>
      </c>
      <c r="B525" s="999"/>
      <c r="C525" s="850" t="s">
        <v>1462</v>
      </c>
      <c r="D525" s="535"/>
      <c r="E525" s="536"/>
      <c r="F525" s="1165"/>
      <c r="G525" s="1264"/>
    </row>
    <row r="526" spans="1:7">
      <c r="A526" s="328"/>
      <c r="B526" s="999"/>
      <c r="C526" s="534"/>
      <c r="D526" s="535"/>
      <c r="E526" s="536"/>
      <c r="F526" s="1166"/>
      <c r="G526" s="1270"/>
    </row>
    <row r="527" spans="1:7" ht="25.5">
      <c r="A527" s="328" t="s">
        <v>1629</v>
      </c>
      <c r="B527" s="999"/>
      <c r="C527" s="534" t="s">
        <v>1530</v>
      </c>
      <c r="D527" s="535" t="s">
        <v>70</v>
      </c>
      <c r="E527" s="536">
        <f>2*1</f>
        <v>2</v>
      </c>
      <c r="F527" s="1200"/>
      <c r="G527" s="1201"/>
    </row>
    <row r="528" spans="1:7">
      <c r="A528" s="328"/>
      <c r="B528" s="999"/>
      <c r="C528" s="534"/>
      <c r="D528" s="535"/>
      <c r="E528" s="536"/>
      <c r="F528" s="1165"/>
      <c r="G528" s="1264"/>
    </row>
    <row r="529" spans="1:7">
      <c r="A529" s="331" t="s">
        <v>1630</v>
      </c>
      <c r="B529" s="338" t="s">
        <v>1235</v>
      </c>
      <c r="C529" s="321" t="s">
        <v>1236</v>
      </c>
      <c r="D529" s="535"/>
      <c r="E529" s="536"/>
      <c r="F529" s="1165"/>
      <c r="G529" s="1264"/>
    </row>
    <row r="530" spans="1:7">
      <c r="A530" s="328"/>
      <c r="B530" s="999"/>
      <c r="C530" s="854"/>
      <c r="D530" s="535"/>
      <c r="E530" s="536"/>
      <c r="F530" s="1165"/>
      <c r="G530" s="1264"/>
    </row>
    <row r="531" spans="1:7">
      <c r="A531" s="328" t="s">
        <v>1631</v>
      </c>
      <c r="B531" s="999"/>
      <c r="C531" s="534" t="s">
        <v>1533</v>
      </c>
      <c r="D531" s="535" t="s">
        <v>70</v>
      </c>
      <c r="E531" s="536">
        <f>2*1</f>
        <v>2</v>
      </c>
      <c r="F531" s="1200"/>
      <c r="G531" s="1201"/>
    </row>
    <row r="532" spans="1:7">
      <c r="A532" s="328"/>
      <c r="B532" s="999"/>
      <c r="C532" s="534"/>
      <c r="D532" s="535"/>
      <c r="E532" s="536"/>
      <c r="F532" s="1165"/>
      <c r="G532" s="1264"/>
    </row>
    <row r="533" spans="1:7">
      <c r="A533" s="328" t="s">
        <v>1632</v>
      </c>
      <c r="B533" s="999" t="s">
        <v>1082</v>
      </c>
      <c r="C533" s="850" t="s">
        <v>1083</v>
      </c>
      <c r="D533" s="535"/>
      <c r="E533" s="536"/>
      <c r="F533" s="1165"/>
      <c r="G533" s="1264"/>
    </row>
    <row r="534" spans="1:7">
      <c r="A534" s="328"/>
      <c r="B534" s="855"/>
      <c r="C534" s="534"/>
      <c r="D534" s="535"/>
      <c r="E534" s="536"/>
      <c r="F534" s="1165"/>
      <c r="G534" s="1264"/>
    </row>
    <row r="535" spans="1:7" ht="26.45" customHeight="1">
      <c r="A535" s="328"/>
      <c r="B535" s="855" t="s">
        <v>1084</v>
      </c>
      <c r="C535" s="850" t="s">
        <v>1478</v>
      </c>
      <c r="D535" s="535"/>
      <c r="E535" s="536"/>
      <c r="F535" s="1165"/>
      <c r="G535" s="1264"/>
    </row>
    <row r="536" spans="1:7">
      <c r="A536" s="328"/>
      <c r="B536" s="999"/>
      <c r="C536" s="534"/>
      <c r="D536" s="535"/>
      <c r="E536" s="536"/>
      <c r="F536" s="1165"/>
      <c r="G536" s="1264"/>
    </row>
    <row r="537" spans="1:7">
      <c r="A537" s="328" t="s">
        <v>1633</v>
      </c>
      <c r="B537" s="999"/>
      <c r="C537" s="534" t="s">
        <v>1089</v>
      </c>
      <c r="D537" s="535" t="s">
        <v>70</v>
      </c>
      <c r="E537" s="536">
        <v>2</v>
      </c>
      <c r="F537" s="1200"/>
      <c r="G537" s="1201"/>
    </row>
    <row r="538" spans="1:7">
      <c r="A538" s="328"/>
      <c r="B538" s="999"/>
      <c r="C538" s="534"/>
      <c r="D538" s="535"/>
      <c r="E538" s="536"/>
      <c r="F538" s="1165"/>
      <c r="G538" s="1264"/>
    </row>
    <row r="539" spans="1:7">
      <c r="A539" s="328" t="s">
        <v>1634</v>
      </c>
      <c r="B539" s="999"/>
      <c r="C539" s="534" t="s">
        <v>1091</v>
      </c>
      <c r="D539" s="535" t="s">
        <v>70</v>
      </c>
      <c r="E539" s="536">
        <v>2</v>
      </c>
      <c r="F539" s="1200"/>
      <c r="G539" s="1201"/>
    </row>
    <row r="540" spans="1:7">
      <c r="A540" s="328"/>
      <c r="B540" s="999"/>
      <c r="C540" s="534"/>
      <c r="D540" s="535"/>
      <c r="E540" s="536"/>
      <c r="F540" s="1165"/>
      <c r="G540" s="1264"/>
    </row>
    <row r="541" spans="1:7">
      <c r="A541" s="331" t="s">
        <v>1635</v>
      </c>
      <c r="B541" s="316" t="s">
        <v>1076</v>
      </c>
      <c r="C541" s="867" t="s">
        <v>1077</v>
      </c>
      <c r="D541" s="878"/>
      <c r="E541" s="335"/>
      <c r="F541" s="1278"/>
      <c r="G541" s="1272"/>
    </row>
    <row r="542" spans="1:7">
      <c r="A542" s="331"/>
      <c r="B542" s="331"/>
      <c r="C542" s="755"/>
      <c r="D542" s="535"/>
      <c r="E542" s="327"/>
      <c r="F542" s="1279"/>
      <c r="G542" s="1264"/>
    </row>
    <row r="543" spans="1:7">
      <c r="A543" s="1016"/>
      <c r="B543" s="1136" t="s">
        <v>1078</v>
      </c>
      <c r="C543" s="872" t="s">
        <v>1079</v>
      </c>
      <c r="D543" s="537"/>
      <c r="E543" s="608"/>
      <c r="F543" s="1168"/>
      <c r="G543" s="1269"/>
    </row>
    <row r="544" spans="1:7">
      <c r="A544" s="328"/>
      <c r="B544" s="999"/>
      <c r="C544" s="607"/>
      <c r="D544" s="537"/>
      <c r="E544" s="608"/>
      <c r="F544" s="1168"/>
      <c r="G544" s="1269"/>
    </row>
    <row r="545" spans="1:9" ht="26.45" customHeight="1">
      <c r="A545" s="328" t="s">
        <v>1636</v>
      </c>
      <c r="B545" s="999"/>
      <c r="C545" s="868" t="s">
        <v>1538</v>
      </c>
      <c r="D545" s="537" t="s">
        <v>335</v>
      </c>
      <c r="E545" s="869">
        <v>1</v>
      </c>
      <c r="F545" s="1259"/>
      <c r="G545" s="1269"/>
    </row>
    <row r="546" spans="1:9">
      <c r="A546" s="328"/>
      <c r="B546" s="999"/>
      <c r="C546" s="534"/>
      <c r="D546" s="535"/>
      <c r="E546" s="536"/>
      <c r="F546" s="1165"/>
      <c r="G546" s="1264"/>
    </row>
    <row r="547" spans="1:9">
      <c r="A547" s="328"/>
      <c r="B547" s="999"/>
      <c r="C547" s="534"/>
      <c r="D547" s="535"/>
      <c r="E547" s="536"/>
      <c r="F547" s="1165"/>
      <c r="G547" s="1264"/>
    </row>
    <row r="548" spans="1:9">
      <c r="A548" s="328"/>
      <c r="B548" s="999"/>
      <c r="C548" s="534"/>
      <c r="D548" s="535"/>
      <c r="E548" s="536"/>
      <c r="F548" s="1165"/>
      <c r="G548" s="1264"/>
    </row>
    <row r="549" spans="1:9">
      <c r="A549" s="328"/>
      <c r="B549" s="999"/>
      <c r="C549" s="534"/>
      <c r="D549" s="535"/>
      <c r="E549" s="536"/>
      <c r="F549" s="1165"/>
      <c r="G549" s="1264"/>
    </row>
    <row r="550" spans="1:9">
      <c r="A550" s="328"/>
      <c r="B550" s="999"/>
      <c r="C550" s="534"/>
      <c r="D550" s="535"/>
      <c r="E550" s="536"/>
      <c r="F550" s="1165"/>
      <c r="G550" s="1264"/>
    </row>
    <row r="551" spans="1:9">
      <c r="A551" s="328"/>
      <c r="B551" s="999"/>
      <c r="C551" s="534"/>
      <c r="D551" s="535"/>
      <c r="E551" s="536"/>
      <c r="F551" s="1165"/>
      <c r="G551" s="1264"/>
    </row>
    <row r="552" spans="1:9">
      <c r="A552" s="328"/>
      <c r="B552" s="999"/>
      <c r="C552" s="534"/>
      <c r="D552" s="535"/>
      <c r="E552" s="536"/>
      <c r="F552" s="1165"/>
      <c r="G552" s="1264"/>
    </row>
    <row r="553" spans="1:9">
      <c r="A553" s="328"/>
      <c r="B553" s="999"/>
      <c r="C553" s="534"/>
      <c r="D553" s="535"/>
      <c r="E553" s="536"/>
      <c r="F553" s="1165"/>
      <c r="G553" s="1264"/>
    </row>
    <row r="554" spans="1:9">
      <c r="A554" s="328"/>
      <c r="B554" s="999"/>
      <c r="C554" s="534"/>
      <c r="D554" s="535"/>
      <c r="E554" s="536"/>
      <c r="F554" s="1165"/>
      <c r="G554" s="1264"/>
    </row>
    <row r="555" spans="1:9">
      <c r="A555" s="328"/>
      <c r="B555" s="999"/>
      <c r="C555" s="534"/>
      <c r="D555" s="535"/>
      <c r="E555" s="536"/>
      <c r="F555" s="1165"/>
      <c r="G555" s="1264"/>
    </row>
    <row r="556" spans="1:9">
      <c r="A556" s="328"/>
      <c r="B556" s="999"/>
      <c r="C556" s="534"/>
      <c r="D556" s="535"/>
      <c r="E556" s="536"/>
      <c r="F556" s="1165"/>
      <c r="G556" s="1264"/>
    </row>
    <row r="557" spans="1:9">
      <c r="A557" s="328"/>
      <c r="B557" s="999"/>
      <c r="C557" s="534"/>
      <c r="D557" s="535"/>
      <c r="E557" s="536"/>
      <c r="F557" s="1165"/>
      <c r="G557" s="1264"/>
    </row>
    <row r="558" spans="1:9">
      <c r="A558" s="328"/>
      <c r="B558" s="999"/>
      <c r="C558" s="534"/>
      <c r="D558" s="535"/>
      <c r="E558" s="536"/>
      <c r="F558" s="1165"/>
      <c r="G558" s="1264"/>
    </row>
    <row r="559" spans="1:9">
      <c r="A559" s="342"/>
      <c r="B559" s="343"/>
      <c r="C559" s="1586" t="s">
        <v>1637</v>
      </c>
      <c r="D559" s="1586"/>
      <c r="E559" s="344"/>
      <c r="F559" s="345"/>
      <c r="G559" s="1588"/>
    </row>
    <row r="560" spans="1:9" s="294" customFormat="1">
      <c r="A560" s="346"/>
      <c r="B560" s="347"/>
      <c r="C560" s="1587"/>
      <c r="D560" s="1587"/>
      <c r="E560" s="348"/>
      <c r="F560" s="349"/>
      <c r="G560" s="1588"/>
      <c r="H560" s="256"/>
      <c r="I560" s="256"/>
    </row>
  </sheetData>
  <sheetProtection algorithmName="SHA-512" hashValue="PuIU++Z3dPAB/FiPX5Gy/R2pzyL0tAKRAHmqZAIz2OnAZNytJlcSs7vR2odnN9CptTgZA1fd9WE5ptdQ/YSmVw==" saltValue="B7wWdtoJ575QvcxN7Ja5aw==" spinCount="100000" sheet="1" objects="1" scenarios="1"/>
  <mergeCells count="28">
    <mergeCell ref="C559:D560"/>
    <mergeCell ref="G559:G560"/>
    <mergeCell ref="G399:G400"/>
    <mergeCell ref="G240:G241"/>
    <mergeCell ref="G83:G84"/>
    <mergeCell ref="G158:G159"/>
    <mergeCell ref="G479:G480"/>
    <mergeCell ref="G320:G321"/>
    <mergeCell ref="A83:E84"/>
    <mergeCell ref="F83:F84"/>
    <mergeCell ref="A158:E159"/>
    <mergeCell ref="F158:F159"/>
    <mergeCell ref="A240:E241"/>
    <mergeCell ref="F240:F241"/>
    <mergeCell ref="A320:E321"/>
    <mergeCell ref="F320:F321"/>
    <mergeCell ref="A399:E400"/>
    <mergeCell ref="F399:F400"/>
    <mergeCell ref="A479:E480"/>
    <mergeCell ref="F479:F480"/>
    <mergeCell ref="A1:G1"/>
    <mergeCell ref="F3:F4"/>
    <mergeCell ref="G3:G4"/>
    <mergeCell ref="A3:A4"/>
    <mergeCell ref="B3:B4"/>
    <mergeCell ref="C3:C4"/>
    <mergeCell ref="D3:D4"/>
    <mergeCell ref="E3:E4"/>
  </mergeCells>
  <phoneticPr fontId="38" type="noConversion"/>
  <pageMargins left="0.70866141732283472" right="0.70866141732283472" top="0.86614173228346458" bottom="0.78740157480314965" header="0.31496062992125984" footer="0.19685039370078741"/>
  <pageSetup paperSize="9" scale="67" firstPageNumber="64" orientation="portrait" useFirstPageNumber="1" r:id="rId1"/>
  <headerFooter>
    <oddHeader>&amp;L&amp;G&amp;CCONSTRUCTION OF 20ML CARLSWALD RESERVOIR
SCHEDULE OF QUANTITIES&amp;R&amp;G</oddHeader>
    <oddFooter>&amp;C&amp;G
C.&amp;P</oddFooter>
  </headerFooter>
  <rowBreaks count="6" manualBreakCount="6">
    <brk id="84" max="6" man="1"/>
    <brk id="159" max="6" man="1"/>
    <brk id="241" max="6" man="1"/>
    <brk id="321" max="6" man="1"/>
    <brk id="400" max="6" man="1"/>
    <brk id="480" max="6" man="1"/>
  </rowBreaks>
  <colBreaks count="1" manualBreakCount="1">
    <brk id="7" max="1048575" man="1"/>
  </colBreaks>
  <legacyDrawing r:id="rId2"/>
  <legacyDrawingHF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B12F8-70BA-4CF6-B08D-317FB5B9FBA9}">
  <dimension ref="A1:T230"/>
  <sheetViews>
    <sheetView view="pageBreakPreview" topLeftCell="A143" zoomScale="86" zoomScaleNormal="86" zoomScaleSheetLayoutView="86" zoomScalePageLayoutView="80" workbookViewId="0">
      <selection activeCell="C158" sqref="C158"/>
    </sheetView>
  </sheetViews>
  <sheetFormatPr defaultColWidth="8.85546875" defaultRowHeight="16.5"/>
  <cols>
    <col min="1" max="1" width="9.5703125" style="502" customWidth="1"/>
    <col min="2" max="2" width="15.28515625" style="602" customWidth="1"/>
    <col min="3" max="3" width="47.7109375" style="602" customWidth="1"/>
    <col min="4" max="4" width="8.7109375" style="502" customWidth="1"/>
    <col min="5" max="5" width="9.7109375" style="502" customWidth="1"/>
    <col min="6" max="6" width="15.42578125" style="502" customWidth="1"/>
    <col min="7" max="7" width="21.42578125" style="603" customWidth="1"/>
    <col min="8" max="8" width="37.5703125" style="502" hidden="1" customWidth="1"/>
    <col min="9" max="9" width="40.28515625" style="502" hidden="1" customWidth="1"/>
    <col min="10" max="10" width="8.85546875" style="502" hidden="1" customWidth="1"/>
    <col min="11" max="11" width="15.28515625" style="502" hidden="1" customWidth="1"/>
    <col min="12" max="16384" width="8.85546875" style="502"/>
  </cols>
  <sheetData>
    <row r="1" spans="1:12" ht="12.75" customHeight="1">
      <c r="A1" s="1589" t="s">
        <v>274</v>
      </c>
      <c r="B1" s="1589"/>
      <c r="C1" s="1589"/>
      <c r="D1" s="1589"/>
      <c r="E1" s="1589"/>
      <c r="F1" s="1589"/>
      <c r="G1" s="1589"/>
    </row>
    <row r="2" spans="1:12" ht="12.75" customHeight="1">
      <c r="B2" s="502"/>
      <c r="C2" s="306"/>
      <c r="D2" s="306"/>
      <c r="E2" s="306"/>
      <c r="F2" s="508"/>
      <c r="G2" s="395"/>
    </row>
    <row r="3" spans="1:12" s="245" customFormat="1" ht="12.75" customHeight="1">
      <c r="A3" s="1578" t="s">
        <v>322</v>
      </c>
      <c r="B3" s="1578" t="s">
        <v>323</v>
      </c>
      <c r="C3" s="1580" t="s">
        <v>33</v>
      </c>
      <c r="D3" s="1582" t="s">
        <v>324</v>
      </c>
      <c r="E3" s="1584" t="s">
        <v>325</v>
      </c>
      <c r="F3" s="1574" t="s">
        <v>326</v>
      </c>
      <c r="G3" s="1576" t="s">
        <v>327</v>
      </c>
      <c r="H3" s="674"/>
      <c r="I3" s="674"/>
      <c r="J3" s="674"/>
      <c r="K3" s="674"/>
      <c r="L3" s="674"/>
    </row>
    <row r="4" spans="1:12" s="245" customFormat="1" ht="12.75" customHeight="1">
      <c r="A4" s="1579"/>
      <c r="B4" s="1579"/>
      <c r="C4" s="1581"/>
      <c r="D4" s="1583"/>
      <c r="E4" s="1585"/>
      <c r="F4" s="1575"/>
      <c r="G4" s="1577"/>
      <c r="H4" s="674"/>
      <c r="I4" s="674"/>
      <c r="J4" s="674"/>
      <c r="K4" s="674"/>
      <c r="L4" s="674"/>
    </row>
    <row r="5" spans="1:12" ht="12.75" customHeight="1">
      <c r="A5" s="331"/>
      <c r="B5" s="531"/>
      <c r="C5" s="587"/>
      <c r="D5" s="566"/>
      <c r="E5" s="566"/>
      <c r="F5" s="1280"/>
      <c r="G5" s="1281"/>
      <c r="H5" s="502" t="s">
        <v>1278</v>
      </c>
      <c r="L5" s="503"/>
    </row>
    <row r="6" spans="1:12" s="306" customFormat="1" ht="12.75" customHeight="1">
      <c r="A6" s="748"/>
      <c r="B6" s="1099"/>
      <c r="C6" s="238" t="s">
        <v>274</v>
      </c>
      <c r="D6" s="750"/>
      <c r="E6" s="750"/>
      <c r="F6" s="1231"/>
      <c r="G6" s="1282"/>
      <c r="J6" s="247"/>
    </row>
    <row r="7" spans="1:12" ht="12.75" customHeight="1">
      <c r="A7" s="331"/>
      <c r="B7" s="531"/>
      <c r="C7" s="587"/>
      <c r="D7" s="331"/>
      <c r="E7" s="331"/>
      <c r="F7" s="1283"/>
      <c r="G7" s="1164"/>
      <c r="H7" s="502" t="s">
        <v>1280</v>
      </c>
      <c r="L7" s="503"/>
    </row>
    <row r="8" spans="1:12" ht="12.75" customHeight="1">
      <c r="A8" s="316">
        <v>6.1</v>
      </c>
      <c r="B8" s="498" t="s">
        <v>901</v>
      </c>
      <c r="C8" s="321" t="s">
        <v>902</v>
      </c>
      <c r="D8" s="331"/>
      <c r="E8" s="331"/>
      <c r="F8" s="1283"/>
      <c r="G8" s="1164"/>
      <c r="H8" s="502" t="s">
        <v>1279</v>
      </c>
      <c r="L8" s="503"/>
    </row>
    <row r="9" spans="1:12" ht="12.75" customHeight="1">
      <c r="A9" s="331"/>
      <c r="B9" s="531"/>
      <c r="C9" s="587"/>
      <c r="D9" s="331"/>
      <c r="E9" s="331"/>
      <c r="F9" s="1283"/>
      <c r="G9" s="1164"/>
      <c r="H9" s="502" t="s">
        <v>1280</v>
      </c>
      <c r="L9" s="503"/>
    </row>
    <row r="10" spans="1:12" ht="12.75" customHeight="1">
      <c r="A10" s="331"/>
      <c r="B10" s="531"/>
      <c r="C10" s="321" t="s">
        <v>1638</v>
      </c>
      <c r="D10" s="331"/>
      <c r="E10" s="331"/>
      <c r="F10" s="1283"/>
      <c r="G10" s="1164"/>
      <c r="H10" s="502" t="s">
        <v>1282</v>
      </c>
      <c r="L10" s="503"/>
    </row>
    <row r="11" spans="1:12" ht="12.75" customHeight="1">
      <c r="A11" s="331"/>
      <c r="B11" s="531"/>
      <c r="C11" s="587"/>
      <c r="D11" s="331"/>
      <c r="E11" s="331"/>
      <c r="F11" s="1283"/>
      <c r="G11" s="1164"/>
      <c r="H11" s="502" t="s">
        <v>1283</v>
      </c>
      <c r="L11" s="503"/>
    </row>
    <row r="12" spans="1:12" ht="38.25" customHeight="1">
      <c r="A12" s="328"/>
      <c r="B12" s="1018" t="s">
        <v>363</v>
      </c>
      <c r="C12" s="879" t="s">
        <v>1639</v>
      </c>
      <c r="D12" s="589"/>
      <c r="E12" s="589"/>
      <c r="F12" s="1284"/>
      <c r="G12" s="1190"/>
      <c r="L12" s="503"/>
    </row>
    <row r="13" spans="1:12" ht="12.75" customHeight="1">
      <c r="A13" s="328"/>
      <c r="B13" s="1018"/>
      <c r="C13" s="880"/>
      <c r="D13" s="589"/>
      <c r="E13" s="589"/>
      <c r="F13" s="1284"/>
      <c r="G13" s="1190"/>
      <c r="L13" s="503"/>
    </row>
    <row r="14" spans="1:12" ht="12.75" customHeight="1">
      <c r="A14" s="328"/>
      <c r="B14" s="1018"/>
      <c r="C14" s="879" t="s">
        <v>1640</v>
      </c>
      <c r="D14" s="589"/>
      <c r="E14" s="589"/>
      <c r="F14" s="1284"/>
      <c r="G14" s="1190"/>
      <c r="L14" s="503"/>
    </row>
    <row r="15" spans="1:12" ht="12.75" customHeight="1">
      <c r="A15" s="328"/>
      <c r="B15" s="1018"/>
      <c r="C15" s="880"/>
      <c r="D15" s="589"/>
      <c r="E15" s="589"/>
      <c r="F15" s="1285"/>
      <c r="G15" s="1190"/>
      <c r="L15" s="503"/>
    </row>
    <row r="16" spans="1:12" ht="12.75" customHeight="1">
      <c r="A16" s="328" t="s">
        <v>1641</v>
      </c>
      <c r="B16" s="1018"/>
      <c r="C16" s="881" t="s">
        <v>1286</v>
      </c>
      <c r="D16" s="589" t="s">
        <v>818</v>
      </c>
      <c r="E16" s="882">
        <f>22.5+25</f>
        <v>47.5</v>
      </c>
      <c r="F16" s="1200"/>
      <c r="G16" s="1201"/>
      <c r="L16" s="503"/>
    </row>
    <row r="17" spans="1:12" ht="12.75" customHeight="1">
      <c r="A17" s="328"/>
      <c r="B17" s="1018"/>
      <c r="C17" s="880"/>
      <c r="D17" s="589"/>
      <c r="E17" s="589"/>
      <c r="F17" s="1285"/>
      <c r="G17" s="1190"/>
      <c r="L17" s="503"/>
    </row>
    <row r="18" spans="1:12" ht="12.75" customHeight="1">
      <c r="A18" s="328" t="s">
        <v>1642</v>
      </c>
      <c r="B18" s="1018"/>
      <c r="C18" s="880" t="s">
        <v>1287</v>
      </c>
      <c r="D18" s="589" t="s">
        <v>818</v>
      </c>
      <c r="E18" s="589">
        <f>37+22.5+25</f>
        <v>84.5</v>
      </c>
      <c r="F18" s="1200"/>
      <c r="G18" s="1201"/>
      <c r="L18" s="503"/>
    </row>
    <row r="19" spans="1:12" ht="12.75" customHeight="1">
      <c r="A19" s="328"/>
      <c r="B19" s="1018"/>
      <c r="C19" s="880"/>
      <c r="D19" s="589"/>
      <c r="E19" s="589"/>
      <c r="F19" s="1285"/>
      <c r="G19" s="1190"/>
      <c r="L19" s="503"/>
    </row>
    <row r="20" spans="1:12" ht="12.75" customHeight="1">
      <c r="A20" s="328" t="s">
        <v>1643</v>
      </c>
      <c r="B20" s="1018"/>
      <c r="C20" s="880" t="s">
        <v>1288</v>
      </c>
      <c r="D20" s="589" t="s">
        <v>818</v>
      </c>
      <c r="E20" s="589">
        <f>153+25</f>
        <v>178</v>
      </c>
      <c r="F20" s="1200"/>
      <c r="G20" s="1201"/>
      <c r="L20" s="503"/>
    </row>
    <row r="21" spans="1:12" ht="12.75" customHeight="1">
      <c r="A21" s="328"/>
      <c r="B21" s="1018"/>
      <c r="C21" s="880"/>
      <c r="D21" s="589"/>
      <c r="E21" s="589"/>
      <c r="F21" s="1285"/>
      <c r="G21" s="1190"/>
      <c r="L21" s="503"/>
    </row>
    <row r="22" spans="1:12" ht="12.75" customHeight="1">
      <c r="A22" s="328"/>
      <c r="B22" s="1018"/>
      <c r="C22" s="879" t="s">
        <v>1644</v>
      </c>
      <c r="D22" s="589"/>
      <c r="E22" s="589"/>
      <c r="F22" s="1285"/>
      <c r="G22" s="1190"/>
      <c r="L22" s="503"/>
    </row>
    <row r="23" spans="1:12" ht="12.75" customHeight="1">
      <c r="A23" s="328"/>
      <c r="B23" s="1018"/>
      <c r="C23" s="880"/>
      <c r="D23" s="589"/>
      <c r="E23" s="589"/>
      <c r="F23" s="1285"/>
      <c r="G23" s="1190"/>
      <c r="L23" s="503"/>
    </row>
    <row r="24" spans="1:12" ht="12.75" customHeight="1">
      <c r="A24" s="328" t="s">
        <v>1645</v>
      </c>
      <c r="B24" s="1018"/>
      <c r="C24" s="881" t="s">
        <v>1286</v>
      </c>
      <c r="D24" s="589" t="s">
        <v>818</v>
      </c>
      <c r="E24" s="589">
        <v>150</v>
      </c>
      <c r="F24" s="1200"/>
      <c r="G24" s="1201"/>
    </row>
    <row r="25" spans="1:12" ht="12.75" customHeight="1">
      <c r="A25" s="328"/>
      <c r="B25" s="1018"/>
      <c r="C25" s="880"/>
      <c r="D25" s="589"/>
      <c r="E25" s="589"/>
      <c r="F25" s="1285"/>
      <c r="G25" s="1190"/>
    </row>
    <row r="26" spans="1:12" ht="12.75" customHeight="1">
      <c r="A26" s="328" t="s">
        <v>1646</v>
      </c>
      <c r="B26" s="1018"/>
      <c r="C26" s="880" t="s">
        <v>1287</v>
      </c>
      <c r="D26" s="589" t="s">
        <v>818</v>
      </c>
      <c r="E26" s="589">
        <v>150</v>
      </c>
      <c r="F26" s="1200"/>
      <c r="G26" s="1201"/>
    </row>
    <row r="27" spans="1:12" ht="12.75" customHeight="1">
      <c r="A27" s="328"/>
      <c r="B27" s="1018"/>
      <c r="C27" s="880"/>
      <c r="D27" s="589"/>
      <c r="E27" s="589"/>
      <c r="F27" s="1285"/>
      <c r="G27" s="1190"/>
      <c r="L27" s="503"/>
    </row>
    <row r="28" spans="1:12" ht="12.75" customHeight="1">
      <c r="A28" s="328" t="s">
        <v>1647</v>
      </c>
      <c r="B28" s="1018"/>
      <c r="C28" s="880" t="s">
        <v>1288</v>
      </c>
      <c r="D28" s="589" t="s">
        <v>818</v>
      </c>
      <c r="E28" s="589">
        <f>(30+50)*1.1</f>
        <v>88</v>
      </c>
      <c r="F28" s="1200"/>
      <c r="G28" s="1201"/>
      <c r="L28" s="503"/>
    </row>
    <row r="29" spans="1:12" ht="12.75" customHeight="1">
      <c r="A29" s="328"/>
      <c r="B29" s="1018"/>
      <c r="C29" s="880"/>
      <c r="D29" s="589"/>
      <c r="E29" s="589"/>
      <c r="F29" s="1285"/>
      <c r="G29" s="1190"/>
      <c r="L29" s="503"/>
    </row>
    <row r="30" spans="1:12" ht="12.75" customHeight="1">
      <c r="A30" s="328" t="s">
        <v>1648</v>
      </c>
      <c r="B30" s="1018"/>
      <c r="C30" s="880" t="s">
        <v>1290</v>
      </c>
      <c r="D30" s="589" t="s">
        <v>818</v>
      </c>
      <c r="E30" s="589">
        <v>10</v>
      </c>
      <c r="F30" s="1200"/>
      <c r="G30" s="1201"/>
      <c r="L30" s="503"/>
    </row>
    <row r="31" spans="1:12" ht="12.75" customHeight="1">
      <c r="A31" s="328"/>
      <c r="B31" s="1018"/>
      <c r="C31" s="880"/>
      <c r="D31" s="589"/>
      <c r="E31" s="589"/>
      <c r="F31" s="1285"/>
      <c r="G31" s="1190"/>
      <c r="L31" s="503"/>
    </row>
    <row r="32" spans="1:12" ht="12.75" customHeight="1">
      <c r="A32" s="328"/>
      <c r="B32" s="1018" t="s">
        <v>1291</v>
      </c>
      <c r="C32" s="883" t="s">
        <v>1649</v>
      </c>
      <c r="D32" s="589"/>
      <c r="E32" s="589"/>
      <c r="F32" s="1285"/>
      <c r="G32" s="1190"/>
      <c r="L32" s="503"/>
    </row>
    <row r="33" spans="1:14" ht="12.75" customHeight="1">
      <c r="A33" s="328"/>
      <c r="B33" s="1018"/>
      <c r="C33" s="880"/>
      <c r="D33" s="589"/>
      <c r="E33" s="589"/>
      <c r="F33" s="1285"/>
      <c r="G33" s="1190"/>
      <c r="L33" s="503"/>
    </row>
    <row r="34" spans="1:14" ht="12.75" customHeight="1">
      <c r="A34" s="328" t="s">
        <v>1650</v>
      </c>
      <c r="B34" s="1018" t="s">
        <v>1293</v>
      </c>
      <c r="C34" s="880" t="s">
        <v>1294</v>
      </c>
      <c r="D34" s="589" t="s">
        <v>917</v>
      </c>
      <c r="E34" s="589">
        <f>135+162+35+7+4+23</f>
        <v>366</v>
      </c>
      <c r="F34" s="1200"/>
      <c r="G34" s="1201"/>
      <c r="L34" s="503"/>
    </row>
    <row r="35" spans="1:14" ht="12.75" customHeight="1">
      <c r="A35" s="328"/>
      <c r="B35" s="1018"/>
      <c r="C35" s="880"/>
      <c r="D35" s="589"/>
      <c r="E35" s="589"/>
      <c r="F35" s="1284"/>
      <c r="G35" s="1190"/>
      <c r="L35" s="503"/>
    </row>
    <row r="36" spans="1:14" ht="12.75" customHeight="1">
      <c r="A36" s="328" t="s">
        <v>1651</v>
      </c>
      <c r="B36" s="1018" t="s">
        <v>1296</v>
      </c>
      <c r="C36" s="880" t="s">
        <v>1297</v>
      </c>
      <c r="D36" s="589" t="s">
        <v>917</v>
      </c>
      <c r="E36" s="589">
        <f>25+12.5+2+108+90</f>
        <v>237.5</v>
      </c>
      <c r="F36" s="1200"/>
      <c r="G36" s="1201"/>
      <c r="L36" s="503"/>
    </row>
    <row r="37" spans="1:14" s="245" customFormat="1" ht="12.75" customHeight="1">
      <c r="A37" s="331"/>
      <c r="B37" s="331"/>
      <c r="C37" s="588"/>
      <c r="D37" s="331"/>
      <c r="E37" s="500"/>
      <c r="F37" s="1286"/>
      <c r="G37" s="1275"/>
      <c r="H37" s="674"/>
      <c r="I37" s="674"/>
      <c r="J37" s="674"/>
      <c r="K37" s="674"/>
      <c r="L37" s="674"/>
      <c r="M37" s="674"/>
      <c r="N37" s="247"/>
    </row>
    <row r="38" spans="1:14" s="245" customFormat="1" ht="12.75" customHeight="1">
      <c r="A38" s="331"/>
      <c r="B38" s="331" t="s">
        <v>413</v>
      </c>
      <c r="C38" s="499" t="s">
        <v>1652</v>
      </c>
      <c r="D38" s="331"/>
      <c r="E38" s="500"/>
      <c r="F38" s="1286"/>
      <c r="G38" s="1275"/>
      <c r="H38" s="674"/>
      <c r="I38" s="674"/>
      <c r="J38" s="674"/>
      <c r="K38" s="674"/>
      <c r="L38" s="674"/>
      <c r="M38" s="674"/>
      <c r="N38" s="247"/>
    </row>
    <row r="39" spans="1:14" s="245" customFormat="1" ht="12.75" customHeight="1">
      <c r="A39" s="331"/>
      <c r="B39" s="331"/>
      <c r="C39" s="588"/>
      <c r="D39" s="331"/>
      <c r="E39" s="500"/>
      <c r="F39" s="1286"/>
      <c r="G39" s="1275"/>
      <c r="H39" s="674"/>
      <c r="I39" s="674"/>
      <c r="J39" s="674"/>
      <c r="K39" s="674"/>
      <c r="L39" s="674"/>
      <c r="M39" s="674"/>
      <c r="N39" s="247"/>
    </row>
    <row r="40" spans="1:14" s="245" customFormat="1" ht="12.75" customHeight="1">
      <c r="A40" s="659" t="s">
        <v>1653</v>
      </c>
      <c r="B40" s="504" t="s">
        <v>1654</v>
      </c>
      <c r="C40" s="706" t="s">
        <v>1655</v>
      </c>
      <c r="D40" s="705" t="s">
        <v>574</v>
      </c>
      <c r="E40" s="707">
        <f>_xlfn.CEILING.MATH(90*0.1,5)</f>
        <v>10</v>
      </c>
      <c r="F40" s="1200"/>
      <c r="G40" s="1201"/>
      <c r="H40" s="674"/>
      <c r="I40" s="674"/>
      <c r="J40" s="674"/>
      <c r="K40" s="674"/>
      <c r="L40" s="674"/>
      <c r="M40" s="674"/>
      <c r="N40" s="674"/>
    </row>
    <row r="41" spans="1:14" s="245" customFormat="1" ht="12.75" customHeight="1">
      <c r="A41" s="659"/>
      <c r="B41" s="504"/>
      <c r="C41" s="706"/>
      <c r="D41" s="705"/>
      <c r="E41" s="707"/>
      <c r="F41" s="1205"/>
      <c r="G41" s="1244"/>
      <c r="H41" s="674"/>
      <c r="I41" s="674"/>
      <c r="J41" s="674"/>
      <c r="K41" s="674"/>
      <c r="L41" s="674"/>
      <c r="M41" s="674"/>
      <c r="N41" s="674"/>
    </row>
    <row r="42" spans="1:14" s="245" customFormat="1" ht="12.75" customHeight="1">
      <c r="A42" s="659" t="s">
        <v>1656</v>
      </c>
      <c r="B42" s="504" t="s">
        <v>929</v>
      </c>
      <c r="C42" s="706" t="s">
        <v>845</v>
      </c>
      <c r="D42" s="665" t="s">
        <v>846</v>
      </c>
      <c r="E42" s="707">
        <v>50</v>
      </c>
      <c r="F42" s="1200"/>
      <c r="G42" s="1201"/>
      <c r="H42" s="674"/>
      <c r="I42" s="674"/>
      <c r="J42" s="674"/>
      <c r="K42" s="674"/>
      <c r="L42" s="674"/>
      <c r="M42" s="674"/>
      <c r="N42" s="674"/>
    </row>
    <row r="43" spans="1:14" s="245" customFormat="1" ht="12.75" customHeight="1">
      <c r="A43" s="659"/>
      <c r="B43" s="504"/>
      <c r="C43" s="706"/>
      <c r="D43" s="705"/>
      <c r="E43" s="707"/>
      <c r="F43" s="1205"/>
      <c r="G43" s="1244"/>
      <c r="H43" s="674"/>
      <c r="I43" s="674"/>
      <c r="J43" s="674"/>
      <c r="K43" s="674"/>
      <c r="L43" s="674"/>
      <c r="M43" s="674"/>
      <c r="N43" s="674"/>
    </row>
    <row r="44" spans="1:14" s="245" customFormat="1" ht="12.75" customHeight="1">
      <c r="A44" s="331"/>
      <c r="B44" s="331" t="s">
        <v>934</v>
      </c>
      <c r="C44" s="499" t="s">
        <v>1657</v>
      </c>
      <c r="D44" s="331"/>
      <c r="E44" s="500"/>
      <c r="F44" s="1286"/>
      <c r="G44" s="1275"/>
      <c r="H44" s="674"/>
      <c r="I44" s="674"/>
      <c r="J44" s="674"/>
      <c r="K44" s="674"/>
      <c r="L44" s="674"/>
      <c r="M44" s="674"/>
      <c r="N44" s="247"/>
    </row>
    <row r="45" spans="1:14" s="245" customFormat="1" ht="12.75" customHeight="1">
      <c r="A45" s="659"/>
      <c r="B45" s="331"/>
      <c r="C45" s="704"/>
      <c r="D45" s="659"/>
      <c r="E45" s="700"/>
      <c r="F45" s="1191"/>
      <c r="G45" s="1287"/>
      <c r="H45" s="674"/>
      <c r="I45" s="674"/>
      <c r="J45" s="674"/>
      <c r="K45" s="674"/>
      <c r="L45" s="674"/>
      <c r="M45" s="674"/>
      <c r="N45" s="247"/>
    </row>
    <row r="46" spans="1:14" s="245" customFormat="1" ht="12.75" customHeight="1">
      <c r="A46" s="659" t="s">
        <v>1658</v>
      </c>
      <c r="B46" s="331"/>
      <c r="C46" s="704" t="s">
        <v>937</v>
      </c>
      <c r="D46" s="659" t="s">
        <v>70</v>
      </c>
      <c r="E46" s="700">
        <v>10</v>
      </c>
      <c r="F46" s="1191"/>
      <c r="G46" s="1287"/>
      <c r="H46" s="674"/>
      <c r="I46" s="674"/>
      <c r="J46" s="674"/>
      <c r="K46" s="674"/>
      <c r="L46" s="674"/>
      <c r="M46" s="674"/>
      <c r="N46" s="247"/>
    </row>
    <row r="47" spans="1:14" s="245" customFormat="1" ht="12.75" customHeight="1">
      <c r="A47" s="659"/>
      <c r="B47" s="331"/>
      <c r="C47" s="704"/>
      <c r="D47" s="659"/>
      <c r="E47" s="700"/>
      <c r="F47" s="1191"/>
      <c r="G47" s="1287"/>
      <c r="H47" s="674"/>
      <c r="I47" s="674"/>
      <c r="J47" s="674"/>
      <c r="K47" s="674"/>
      <c r="L47" s="674"/>
      <c r="M47" s="674"/>
      <c r="N47" s="247"/>
    </row>
    <row r="48" spans="1:14" s="245" customFormat="1" ht="12.75" customHeight="1">
      <c r="A48" s="659" t="s">
        <v>1659</v>
      </c>
      <c r="B48" s="331"/>
      <c r="C48" s="704" t="s">
        <v>939</v>
      </c>
      <c r="D48" s="659" t="s">
        <v>818</v>
      </c>
      <c r="E48" s="700">
        <v>50</v>
      </c>
      <c r="F48" s="1191"/>
      <c r="G48" s="1287"/>
      <c r="H48" s="674"/>
      <c r="I48" s="674"/>
      <c r="J48" s="674"/>
      <c r="K48" s="674"/>
      <c r="L48" s="674"/>
      <c r="M48" s="674"/>
      <c r="N48" s="247"/>
    </row>
    <row r="49" spans="1:14" s="245" customFormat="1" ht="12.75" customHeight="1">
      <c r="A49" s="659"/>
      <c r="B49" s="566"/>
      <c r="C49" s="884"/>
      <c r="D49" s="659"/>
      <c r="E49" s="700"/>
      <c r="F49" s="1191"/>
      <c r="G49" s="1287"/>
      <c r="H49" s="674"/>
      <c r="I49" s="674"/>
      <c r="J49" s="674"/>
      <c r="K49" s="674"/>
      <c r="L49" s="674"/>
      <c r="M49" s="674"/>
      <c r="N49" s="247"/>
    </row>
    <row r="50" spans="1:14" s="245" customFormat="1" ht="12.75" customHeight="1">
      <c r="A50" s="659"/>
      <c r="B50" s="566" t="s">
        <v>844</v>
      </c>
      <c r="C50" s="649" t="s">
        <v>940</v>
      </c>
      <c r="D50" s="659"/>
      <c r="E50" s="700"/>
      <c r="F50" s="1191"/>
      <c r="G50" s="1287"/>
      <c r="H50" s="674"/>
      <c r="I50" s="674"/>
      <c r="J50" s="674"/>
      <c r="K50" s="674"/>
      <c r="L50" s="674"/>
      <c r="M50" s="674"/>
      <c r="N50" s="247"/>
    </row>
    <row r="51" spans="1:14" s="245" customFormat="1" ht="12.75" customHeight="1">
      <c r="A51" s="659"/>
      <c r="B51" s="566"/>
      <c r="C51" s="884"/>
      <c r="D51" s="659"/>
      <c r="E51" s="700"/>
      <c r="F51" s="1191"/>
      <c r="G51" s="1287"/>
      <c r="H51" s="674"/>
      <c r="I51" s="674"/>
      <c r="J51" s="674"/>
      <c r="K51" s="674"/>
      <c r="L51" s="674"/>
      <c r="M51" s="674"/>
      <c r="N51" s="247"/>
    </row>
    <row r="52" spans="1:14" s="245" customFormat="1" ht="16.899999999999999" customHeight="1">
      <c r="A52" s="659" t="s">
        <v>1660</v>
      </c>
      <c r="B52" s="504" t="s">
        <v>942</v>
      </c>
      <c r="C52" s="706" t="s">
        <v>1661</v>
      </c>
      <c r="D52" s="705" t="s">
        <v>825</v>
      </c>
      <c r="E52" s="707">
        <v>50</v>
      </c>
      <c r="F52" s="1205"/>
      <c r="G52" s="1244"/>
      <c r="H52" s="674"/>
      <c r="I52" s="674"/>
      <c r="J52" s="674"/>
      <c r="K52" s="674"/>
      <c r="L52" s="674"/>
      <c r="M52" s="674"/>
      <c r="N52" s="674"/>
    </row>
    <row r="53" spans="1:14" s="245" customFormat="1" ht="12.75" customHeight="1">
      <c r="A53" s="659"/>
      <c r="B53" s="504"/>
      <c r="C53" s="706"/>
      <c r="D53" s="688"/>
      <c r="E53" s="707"/>
      <c r="F53" s="1265"/>
      <c r="G53" s="1244"/>
      <c r="H53" s="674"/>
      <c r="I53" s="674"/>
      <c r="J53" s="674"/>
      <c r="K53" s="674"/>
      <c r="L53" s="674"/>
      <c r="M53" s="674"/>
      <c r="N53" s="674"/>
    </row>
    <row r="54" spans="1:14">
      <c r="A54" s="659" t="s">
        <v>1662</v>
      </c>
      <c r="B54" s="367" t="s">
        <v>1663</v>
      </c>
      <c r="C54" s="885" t="s">
        <v>1664</v>
      </c>
      <c r="D54" s="742" t="s">
        <v>335</v>
      </c>
      <c r="E54" s="711">
        <v>1</v>
      </c>
      <c r="F54" s="1231"/>
      <c r="G54" s="1282"/>
      <c r="L54" s="503"/>
    </row>
    <row r="55" spans="1:14" ht="12.75" customHeight="1">
      <c r="A55" s="328"/>
      <c r="B55" s="1018"/>
      <c r="C55" s="880"/>
      <c r="D55" s="589"/>
      <c r="E55" s="589"/>
      <c r="F55" s="1284"/>
      <c r="G55" s="1190"/>
      <c r="L55" s="503"/>
    </row>
    <row r="56" spans="1:14" ht="25.5">
      <c r="A56" s="337">
        <v>6.2</v>
      </c>
      <c r="B56" s="1118" t="s">
        <v>1311</v>
      </c>
      <c r="C56" s="879" t="s">
        <v>1665</v>
      </c>
      <c r="D56" s="589"/>
      <c r="E56" s="589"/>
      <c r="F56" s="1285"/>
      <c r="G56" s="1190"/>
      <c r="L56" s="503"/>
    </row>
    <row r="57" spans="1:14" ht="12.75" customHeight="1">
      <c r="A57" s="328"/>
      <c r="B57" s="1018"/>
      <c r="C57" s="880"/>
      <c r="D57" s="589"/>
      <c r="E57" s="589"/>
      <c r="F57" s="1285"/>
      <c r="G57" s="1190"/>
      <c r="L57" s="503"/>
    </row>
    <row r="58" spans="1:14" ht="12.75" customHeight="1">
      <c r="A58" s="328"/>
      <c r="B58" s="1018" t="s">
        <v>815</v>
      </c>
      <c r="C58" s="883" t="s">
        <v>1666</v>
      </c>
      <c r="D58" s="589"/>
      <c r="E58" s="589"/>
      <c r="F58" s="1285"/>
      <c r="G58" s="1190"/>
      <c r="L58" s="503"/>
    </row>
    <row r="59" spans="1:14" ht="12.75" customHeight="1">
      <c r="A59" s="328"/>
      <c r="B59" s="1018"/>
      <c r="C59" s="880"/>
      <c r="D59" s="589"/>
      <c r="E59" s="589"/>
      <c r="F59" s="1285"/>
      <c r="G59" s="1190"/>
      <c r="L59" s="503"/>
    </row>
    <row r="60" spans="1:14" ht="12.75" customHeight="1">
      <c r="A60" s="328"/>
      <c r="B60" s="1018"/>
      <c r="C60" s="879" t="s">
        <v>1667</v>
      </c>
      <c r="D60" s="589"/>
      <c r="E60" s="589"/>
      <c r="F60" s="1285"/>
      <c r="G60" s="1190"/>
      <c r="L60" s="503"/>
    </row>
    <row r="61" spans="1:14" ht="12.75" customHeight="1">
      <c r="A61" s="328"/>
      <c r="B61" s="1018"/>
      <c r="C61" s="879"/>
      <c r="D61" s="589"/>
      <c r="E61" s="589"/>
      <c r="F61" s="1285"/>
      <c r="G61" s="1190"/>
      <c r="L61" s="503"/>
    </row>
    <row r="62" spans="1:14" ht="12.75" customHeight="1">
      <c r="A62" s="328" t="s">
        <v>1668</v>
      </c>
      <c r="B62" s="1018"/>
      <c r="C62" s="881" t="s">
        <v>1669</v>
      </c>
      <c r="D62" s="589" t="s">
        <v>818</v>
      </c>
      <c r="E62" s="589">
        <v>75</v>
      </c>
      <c r="F62" s="1200"/>
      <c r="G62" s="1201"/>
      <c r="L62" s="503"/>
    </row>
    <row r="63" spans="1:14" ht="12.75" customHeight="1">
      <c r="A63" s="328"/>
      <c r="B63" s="1018"/>
      <c r="C63" s="879"/>
      <c r="D63" s="589"/>
      <c r="E63" s="589"/>
      <c r="F63" s="1285"/>
      <c r="G63" s="1190"/>
      <c r="L63" s="503"/>
    </row>
    <row r="64" spans="1:14" ht="12.75" customHeight="1">
      <c r="A64" s="328" t="s">
        <v>1670</v>
      </c>
      <c r="B64" s="1018"/>
      <c r="C64" s="881" t="s">
        <v>1671</v>
      </c>
      <c r="D64" s="589" t="s">
        <v>818</v>
      </c>
      <c r="E64" s="589">
        <v>50</v>
      </c>
      <c r="F64" s="1200"/>
      <c r="G64" s="1201"/>
      <c r="L64" s="503"/>
    </row>
    <row r="65" spans="1:12" ht="12.75" customHeight="1">
      <c r="A65" s="328"/>
      <c r="B65" s="1018"/>
      <c r="C65" s="881"/>
      <c r="D65" s="589"/>
      <c r="E65" s="589"/>
      <c r="F65" s="1285"/>
      <c r="G65" s="1190"/>
      <c r="L65" s="503"/>
    </row>
    <row r="66" spans="1:12" ht="12.75" customHeight="1">
      <c r="A66" s="328" t="s">
        <v>1672</v>
      </c>
      <c r="B66" s="1018"/>
      <c r="C66" s="881" t="s">
        <v>1673</v>
      </c>
      <c r="D66" s="589" t="s">
        <v>818</v>
      </c>
      <c r="E66" s="589">
        <v>310</v>
      </c>
      <c r="F66" s="1200"/>
      <c r="G66" s="1201"/>
      <c r="L66" s="503"/>
    </row>
    <row r="67" spans="1:12" ht="12.75" customHeight="1">
      <c r="A67" s="328"/>
      <c r="B67" s="1018"/>
      <c r="C67" s="879"/>
      <c r="D67" s="589"/>
      <c r="E67" s="589"/>
      <c r="F67" s="1285"/>
      <c r="G67" s="1184"/>
      <c r="L67" s="503"/>
    </row>
    <row r="68" spans="1:12" ht="12.75" customHeight="1">
      <c r="A68" s="328" t="s">
        <v>1674</v>
      </c>
      <c r="B68" s="1018" t="s">
        <v>1675</v>
      </c>
      <c r="C68" s="881" t="s">
        <v>1676</v>
      </c>
      <c r="D68" s="589" t="s">
        <v>818</v>
      </c>
      <c r="E68" s="589">
        <v>340</v>
      </c>
      <c r="F68" s="1200"/>
      <c r="G68" s="1201"/>
      <c r="L68" s="503"/>
    </row>
    <row r="69" spans="1:12" ht="12.75" customHeight="1">
      <c r="A69" s="328"/>
      <c r="B69" s="1018"/>
      <c r="C69" s="1044"/>
      <c r="D69" s="589"/>
      <c r="E69" s="589"/>
      <c r="F69" s="1285"/>
      <c r="G69" s="1190"/>
      <c r="L69" s="503"/>
    </row>
    <row r="70" spans="1:12" ht="12.75" customHeight="1">
      <c r="A70" s="328"/>
      <c r="B70" s="1018" t="s">
        <v>1078</v>
      </c>
      <c r="C70" s="1143" t="s">
        <v>1358</v>
      </c>
      <c r="D70" s="589"/>
      <c r="E70" s="589"/>
      <c r="F70" s="1285"/>
      <c r="G70" s="1190"/>
      <c r="L70" s="503"/>
    </row>
    <row r="71" spans="1:12" ht="12.75" customHeight="1">
      <c r="A71" s="328"/>
      <c r="B71" s="1018"/>
      <c r="C71" s="1044"/>
      <c r="D71" s="589"/>
      <c r="E71" s="589"/>
      <c r="F71" s="1285"/>
      <c r="G71" s="1190"/>
      <c r="L71" s="503"/>
    </row>
    <row r="72" spans="1:12" ht="37.5" customHeight="1">
      <c r="A72" s="328" t="s">
        <v>1677</v>
      </c>
      <c r="B72" s="1018"/>
      <c r="C72" s="590" t="s">
        <v>1678</v>
      </c>
      <c r="D72" s="566" t="s">
        <v>335</v>
      </c>
      <c r="E72" s="651">
        <v>1</v>
      </c>
      <c r="F72" s="1288"/>
      <c r="G72" s="1187"/>
      <c r="H72" s="602" t="s">
        <v>1316</v>
      </c>
      <c r="I72" s="593" t="s">
        <v>1317</v>
      </c>
    </row>
    <row r="73" spans="1:12" ht="12.75" customHeight="1">
      <c r="A73" s="328"/>
      <c r="B73" s="1018"/>
      <c r="C73" s="1044"/>
      <c r="D73" s="589"/>
      <c r="E73" s="589"/>
      <c r="F73" s="1284"/>
      <c r="G73" s="1187"/>
      <c r="L73" s="503"/>
    </row>
    <row r="74" spans="1:12" ht="12.75" customHeight="1">
      <c r="A74" s="328"/>
      <c r="B74" s="1018"/>
      <c r="C74" s="1044"/>
      <c r="D74" s="589"/>
      <c r="E74" s="589"/>
      <c r="F74" s="1284"/>
      <c r="G74" s="1187"/>
      <c r="L74" s="503"/>
    </row>
    <row r="75" spans="1:12" ht="12.75" customHeight="1">
      <c r="A75" s="328"/>
      <c r="B75" s="1018"/>
      <c r="C75" s="1044"/>
      <c r="D75" s="589"/>
      <c r="E75" s="589"/>
      <c r="F75" s="1284"/>
      <c r="G75" s="1187"/>
      <c r="L75" s="503"/>
    </row>
    <row r="76" spans="1:12" ht="12.75" customHeight="1">
      <c r="A76" s="328"/>
      <c r="B76" s="1018"/>
      <c r="C76" s="1044"/>
      <c r="D76" s="589"/>
      <c r="E76" s="589"/>
      <c r="F76" s="1284"/>
      <c r="G76" s="1187"/>
      <c r="L76" s="503"/>
    </row>
    <row r="77" spans="1:12" ht="12.75" customHeight="1">
      <c r="A77" s="328"/>
      <c r="B77" s="1018"/>
      <c r="C77" s="1044"/>
      <c r="D77" s="589"/>
      <c r="E77" s="589"/>
      <c r="F77" s="1284"/>
      <c r="G77" s="1187"/>
      <c r="L77" s="503"/>
    </row>
    <row r="78" spans="1:12" ht="12.75" customHeight="1">
      <c r="A78" s="328"/>
      <c r="B78" s="1018"/>
      <c r="C78" s="1044"/>
      <c r="D78" s="589"/>
      <c r="E78" s="589"/>
      <c r="F78" s="1284"/>
      <c r="G78" s="1187"/>
      <c r="L78" s="503"/>
    </row>
    <row r="79" spans="1:12" ht="12.75" customHeight="1">
      <c r="A79" s="328"/>
      <c r="B79" s="1018"/>
      <c r="C79" s="1044"/>
      <c r="D79" s="589"/>
      <c r="E79" s="589"/>
      <c r="F79" s="1284"/>
      <c r="G79" s="1187"/>
      <c r="L79" s="503"/>
    </row>
    <row r="80" spans="1:12" ht="12.75" customHeight="1">
      <c r="A80" s="328"/>
      <c r="B80" s="1018"/>
      <c r="C80" s="1044"/>
      <c r="D80" s="589"/>
      <c r="E80" s="589"/>
      <c r="F80" s="1284"/>
      <c r="G80" s="1187"/>
      <c r="L80" s="503"/>
    </row>
    <row r="81" spans="1:12" ht="12.75" customHeight="1">
      <c r="A81" s="1570" t="s">
        <v>96</v>
      </c>
      <c r="B81" s="1571"/>
      <c r="C81" s="1571"/>
      <c r="D81" s="1571"/>
      <c r="E81" s="1571"/>
      <c r="F81" s="1514"/>
      <c r="G81" s="1514"/>
      <c r="L81" s="503"/>
    </row>
    <row r="82" spans="1:12" ht="12.75" customHeight="1">
      <c r="A82" s="1572"/>
      <c r="B82" s="1573"/>
      <c r="C82" s="1573"/>
      <c r="D82" s="1573"/>
      <c r="E82" s="1573"/>
      <c r="F82" s="1514"/>
      <c r="G82" s="1514"/>
      <c r="L82" s="503"/>
    </row>
    <row r="83" spans="1:12" ht="12.75" customHeight="1">
      <c r="A83" s="328"/>
      <c r="B83" s="1018"/>
      <c r="C83" s="1044"/>
      <c r="D83" s="589"/>
      <c r="E83" s="589"/>
      <c r="F83" s="1284"/>
      <c r="G83" s="1187"/>
      <c r="L83" s="503"/>
    </row>
    <row r="84" spans="1:12" ht="41.45" customHeight="1">
      <c r="A84" s="328" t="s">
        <v>1679</v>
      </c>
      <c r="B84" s="1018"/>
      <c r="C84" s="590" t="s">
        <v>1680</v>
      </c>
      <c r="D84" s="589" t="s">
        <v>335</v>
      </c>
      <c r="E84" s="566">
        <v>1</v>
      </c>
      <c r="F84" s="1288"/>
      <c r="G84" s="1187"/>
      <c r="H84" s="602" t="s">
        <v>1316</v>
      </c>
      <c r="I84" s="593" t="s">
        <v>1317</v>
      </c>
    </row>
    <row r="85" spans="1:12" ht="12.75" customHeight="1">
      <c r="A85" s="328"/>
      <c r="B85" s="1149"/>
      <c r="C85" s="590"/>
      <c r="D85" s="589"/>
      <c r="E85" s="589"/>
      <c r="F85" s="1288"/>
      <c r="G85" s="1187"/>
      <c r="L85" s="503"/>
    </row>
    <row r="86" spans="1:12" ht="12.75" customHeight="1">
      <c r="A86" s="753"/>
      <c r="B86" s="1150" t="s">
        <v>1681</v>
      </c>
      <c r="C86" s="591" t="s">
        <v>1682</v>
      </c>
      <c r="D86" s="886"/>
      <c r="E86" s="886"/>
      <c r="F86" s="1289"/>
      <c r="G86" s="1290"/>
      <c r="L86" s="503"/>
    </row>
    <row r="87" spans="1:12" ht="12.75" customHeight="1">
      <c r="A87" s="753"/>
      <c r="B87" s="1018"/>
      <c r="C87" s="887"/>
      <c r="D87" s="886"/>
      <c r="E87" s="886"/>
      <c r="F87" s="1289"/>
      <c r="G87" s="1290"/>
      <c r="L87" s="503"/>
    </row>
    <row r="88" spans="1:12" ht="25.5">
      <c r="A88" s="504" t="s">
        <v>1683</v>
      </c>
      <c r="B88" s="504"/>
      <c r="C88" s="592" t="s">
        <v>1684</v>
      </c>
      <c r="D88" s="537" t="s">
        <v>574</v>
      </c>
      <c r="E88" s="1028">
        <v>10</v>
      </c>
      <c r="F88" s="1285"/>
      <c r="G88" s="1187"/>
      <c r="L88" s="503"/>
    </row>
    <row r="89" spans="1:12" ht="12.75" customHeight="1">
      <c r="A89" s="753"/>
      <c r="B89" s="504"/>
      <c r="C89" s="593"/>
      <c r="D89" s="501"/>
      <c r="E89" s="1028"/>
      <c r="F89" s="1285"/>
      <c r="G89" s="1187"/>
      <c r="L89" s="503"/>
    </row>
    <row r="90" spans="1:12" ht="25.5">
      <c r="A90" s="504" t="s">
        <v>1685</v>
      </c>
      <c r="B90" s="504"/>
      <c r="C90" s="592" t="s">
        <v>1686</v>
      </c>
      <c r="D90" s="705" t="s">
        <v>825</v>
      </c>
      <c r="E90" s="1028">
        <v>50</v>
      </c>
      <c r="F90" s="1285"/>
      <c r="G90" s="1187"/>
      <c r="L90" s="503"/>
    </row>
    <row r="91" spans="1:12" ht="12.75" customHeight="1">
      <c r="A91" s="753"/>
      <c r="B91" s="1018"/>
      <c r="C91" s="887"/>
      <c r="D91" s="886"/>
      <c r="E91" s="886"/>
      <c r="F91" s="1289"/>
      <c r="G91" s="1290"/>
      <c r="L91" s="503"/>
    </row>
    <row r="92" spans="1:12" ht="12.75" customHeight="1">
      <c r="A92" s="311">
        <v>6.3</v>
      </c>
      <c r="B92" s="1118" t="s">
        <v>992</v>
      </c>
      <c r="C92" s="595" t="s">
        <v>1298</v>
      </c>
      <c r="D92" s="886"/>
      <c r="E92" s="886"/>
      <c r="F92" s="1289"/>
      <c r="G92" s="1290"/>
      <c r="L92" s="503"/>
    </row>
    <row r="93" spans="1:12" ht="12.75" customHeight="1">
      <c r="A93" s="753"/>
      <c r="B93" s="1018"/>
      <c r="C93" s="887"/>
      <c r="D93" s="886"/>
      <c r="E93" s="886"/>
      <c r="F93" s="1289"/>
      <c r="G93" s="1290"/>
      <c r="L93" s="503"/>
    </row>
    <row r="94" spans="1:12" ht="25.5">
      <c r="A94" s="753"/>
      <c r="B94" s="1018" t="s">
        <v>1299</v>
      </c>
      <c r="C94" s="595" t="s">
        <v>1687</v>
      </c>
      <c r="D94" s="886"/>
      <c r="E94" s="886"/>
      <c r="F94" s="1289"/>
      <c r="G94" s="1290"/>
      <c r="L94" s="503"/>
    </row>
    <row r="95" spans="1:12" ht="12.75" customHeight="1">
      <c r="A95" s="753"/>
      <c r="B95" s="1018"/>
      <c r="C95" s="595"/>
      <c r="D95" s="886"/>
      <c r="E95" s="886"/>
      <c r="F95" s="1289"/>
      <c r="G95" s="1290"/>
      <c r="L95" s="503"/>
    </row>
    <row r="96" spans="1:12" ht="12.75" customHeight="1">
      <c r="A96" s="328" t="s">
        <v>1688</v>
      </c>
      <c r="B96" s="1018" t="s">
        <v>999</v>
      </c>
      <c r="C96" s="880" t="s">
        <v>1301</v>
      </c>
      <c r="D96" s="589" t="s">
        <v>917</v>
      </c>
      <c r="E96" s="888">
        <f>50+36</f>
        <v>86</v>
      </c>
      <c r="F96" s="1285"/>
      <c r="G96" s="1190"/>
      <c r="L96" s="503"/>
    </row>
    <row r="97" spans="1:12" ht="12.75" customHeight="1">
      <c r="A97" s="753"/>
      <c r="B97" s="1018"/>
      <c r="C97" s="880"/>
      <c r="D97" s="589"/>
      <c r="E97" s="589"/>
      <c r="F97" s="1285"/>
      <c r="G97" s="1190"/>
      <c r="L97" s="503"/>
    </row>
    <row r="98" spans="1:12" ht="12.75" customHeight="1">
      <c r="A98" s="328" t="s">
        <v>1689</v>
      </c>
      <c r="B98" s="1018" t="s">
        <v>1002</v>
      </c>
      <c r="C98" s="880" t="s">
        <v>1003</v>
      </c>
      <c r="D98" s="589" t="s">
        <v>917</v>
      </c>
      <c r="E98" s="888">
        <f>65+55</f>
        <v>120</v>
      </c>
      <c r="F98" s="1285"/>
      <c r="G98" s="1190"/>
      <c r="L98" s="503"/>
    </row>
    <row r="99" spans="1:12" ht="12.75" customHeight="1">
      <c r="A99" s="328"/>
      <c r="B99" s="1018"/>
      <c r="C99" s="880"/>
      <c r="D99" s="589"/>
      <c r="E99" s="589"/>
      <c r="F99" s="1285"/>
      <c r="G99" s="1190"/>
      <c r="L99" s="503"/>
    </row>
    <row r="100" spans="1:12" ht="25.5">
      <c r="A100" s="328"/>
      <c r="B100" s="1018" t="s">
        <v>996</v>
      </c>
      <c r="C100" s="883" t="s">
        <v>1690</v>
      </c>
      <c r="D100" s="589"/>
      <c r="E100" s="589"/>
      <c r="F100" s="1285"/>
      <c r="G100" s="1190"/>
      <c r="L100" s="503"/>
    </row>
    <row r="101" spans="1:12" ht="12.75" customHeight="1">
      <c r="A101" s="328"/>
      <c r="B101" s="1018"/>
      <c r="C101" s="880"/>
      <c r="D101" s="589"/>
      <c r="E101" s="589"/>
      <c r="F101" s="1285"/>
      <c r="G101" s="1190"/>
      <c r="L101" s="503"/>
    </row>
    <row r="102" spans="1:12" ht="12.75" customHeight="1">
      <c r="A102" s="328" t="s">
        <v>1691</v>
      </c>
      <c r="B102" s="1018" t="s">
        <v>999</v>
      </c>
      <c r="C102" s="880" t="s">
        <v>1301</v>
      </c>
      <c r="D102" s="589" t="s">
        <v>917</v>
      </c>
      <c r="E102" s="888">
        <f>50+36</f>
        <v>86</v>
      </c>
      <c r="F102" s="1285"/>
      <c r="G102" s="1190"/>
      <c r="L102" s="503"/>
    </row>
    <row r="103" spans="1:12" ht="12.75" customHeight="1">
      <c r="A103" s="328"/>
      <c r="B103" s="1018"/>
      <c r="C103" s="880"/>
      <c r="D103" s="589"/>
      <c r="E103" s="589"/>
      <c r="F103" s="1285"/>
      <c r="G103" s="1190"/>
      <c r="L103" s="503"/>
    </row>
    <row r="104" spans="1:12" ht="12.75" customHeight="1">
      <c r="A104" s="328" t="s">
        <v>1692</v>
      </c>
      <c r="B104" s="1018" t="s">
        <v>1002</v>
      </c>
      <c r="C104" s="880" t="s">
        <v>1003</v>
      </c>
      <c r="D104" s="589" t="s">
        <v>917</v>
      </c>
      <c r="E104" s="888">
        <f>65+55</f>
        <v>120</v>
      </c>
      <c r="F104" s="1285"/>
      <c r="G104" s="1190"/>
      <c r="L104" s="503"/>
    </row>
    <row r="105" spans="1:12" ht="12.75" customHeight="1">
      <c r="A105" s="328"/>
      <c r="B105" s="1018"/>
      <c r="C105" s="880"/>
      <c r="D105" s="589"/>
      <c r="E105" s="589"/>
      <c r="F105" s="1285"/>
      <c r="G105" s="1190"/>
      <c r="L105" s="503"/>
    </row>
    <row r="106" spans="1:12" ht="12.75" customHeight="1">
      <c r="A106" s="328"/>
      <c r="B106" s="1151" t="s">
        <v>1005</v>
      </c>
      <c r="C106" s="889" t="s">
        <v>1693</v>
      </c>
      <c r="D106" s="890"/>
      <c r="E106" s="589"/>
      <c r="F106" s="1285"/>
      <c r="G106" s="1190"/>
      <c r="L106" s="503"/>
    </row>
    <row r="107" spans="1:12" ht="12.75" customHeight="1">
      <c r="A107" s="328"/>
      <c r="B107" s="1151"/>
      <c r="C107" s="891"/>
      <c r="D107" s="890"/>
      <c r="E107" s="589"/>
      <c r="F107" s="1285"/>
      <c r="G107" s="1190"/>
      <c r="L107" s="503"/>
    </row>
    <row r="108" spans="1:12" ht="12.75" customHeight="1">
      <c r="A108" s="328" t="s">
        <v>1694</v>
      </c>
      <c r="B108" s="1151"/>
      <c r="C108" s="891" t="s">
        <v>1304</v>
      </c>
      <c r="D108" s="890" t="s">
        <v>574</v>
      </c>
      <c r="E108" s="589">
        <f>40+10+10</f>
        <v>60</v>
      </c>
      <c r="F108" s="1285"/>
      <c r="G108" s="1190"/>
      <c r="L108" s="503"/>
    </row>
    <row r="109" spans="1:12" ht="12.75" customHeight="1">
      <c r="A109" s="328"/>
      <c r="B109" s="1151"/>
      <c r="C109" s="891"/>
      <c r="D109" s="890"/>
      <c r="E109" s="589"/>
      <c r="F109" s="1285"/>
      <c r="G109" s="1190"/>
      <c r="L109" s="503"/>
    </row>
    <row r="110" spans="1:12" ht="12.75" customHeight="1">
      <c r="A110" s="328" t="s">
        <v>1695</v>
      </c>
      <c r="B110" s="1151"/>
      <c r="C110" s="891" t="s">
        <v>1305</v>
      </c>
      <c r="D110" s="890" t="s">
        <v>574</v>
      </c>
      <c r="E110" s="589">
        <v>8</v>
      </c>
      <c r="F110" s="1285"/>
      <c r="G110" s="1190"/>
      <c r="L110" s="503"/>
    </row>
    <row r="111" spans="1:12" ht="12.75" customHeight="1">
      <c r="A111" s="328"/>
      <c r="B111" s="1151"/>
      <c r="C111" s="891"/>
      <c r="D111" s="890"/>
      <c r="E111" s="589"/>
      <c r="F111" s="1285"/>
      <c r="G111" s="1190"/>
      <c r="L111" s="503"/>
    </row>
    <row r="112" spans="1:12" ht="12.75" customHeight="1">
      <c r="A112" s="328" t="s">
        <v>1696</v>
      </c>
      <c r="B112" s="1151"/>
      <c r="C112" s="891" t="s">
        <v>1306</v>
      </c>
      <c r="D112" s="890" t="s">
        <v>574</v>
      </c>
      <c r="E112" s="589">
        <v>4</v>
      </c>
      <c r="F112" s="1285"/>
      <c r="G112" s="1190"/>
      <c r="L112" s="503"/>
    </row>
    <row r="113" spans="1:20" ht="12.75" customHeight="1">
      <c r="A113" s="328"/>
      <c r="B113" s="1151"/>
      <c r="C113" s="891"/>
      <c r="D113" s="890"/>
      <c r="E113" s="589"/>
      <c r="F113" s="1285"/>
      <c r="G113" s="1190"/>
      <c r="L113" s="503"/>
    </row>
    <row r="114" spans="1:20" ht="12.75" customHeight="1">
      <c r="A114" s="328" t="s">
        <v>1697</v>
      </c>
      <c r="B114" s="1151"/>
      <c r="C114" s="891" t="s">
        <v>1307</v>
      </c>
      <c r="D114" s="890" t="s">
        <v>574</v>
      </c>
      <c r="E114" s="589">
        <v>10</v>
      </c>
      <c r="F114" s="1285"/>
      <c r="G114" s="1190"/>
      <c r="L114" s="503"/>
    </row>
    <row r="115" spans="1:20" ht="12.75" customHeight="1">
      <c r="A115" s="328"/>
      <c r="B115" s="1151"/>
      <c r="C115" s="891"/>
      <c r="D115" s="537"/>
      <c r="E115" s="589"/>
      <c r="F115" s="1285"/>
      <c r="G115" s="1190"/>
      <c r="L115" s="503"/>
    </row>
    <row r="116" spans="1:20" ht="12.75" customHeight="1">
      <c r="A116" s="328" t="s">
        <v>1698</v>
      </c>
      <c r="B116" s="1151"/>
      <c r="C116" s="1152" t="s">
        <v>1308</v>
      </c>
      <c r="D116" s="537" t="s">
        <v>574</v>
      </c>
      <c r="E116" s="589">
        <v>15</v>
      </c>
      <c r="F116" s="1285"/>
      <c r="G116" s="1190"/>
      <c r="L116" s="503"/>
    </row>
    <row r="117" spans="1:20" ht="12.75" customHeight="1">
      <c r="A117" s="328"/>
      <c r="B117" s="1151"/>
      <c r="C117" s="1152"/>
      <c r="D117" s="537"/>
      <c r="E117" s="589"/>
      <c r="F117" s="1285"/>
      <c r="G117" s="1190"/>
      <c r="L117" s="503"/>
    </row>
    <row r="118" spans="1:20" ht="12.75" customHeight="1">
      <c r="A118" s="337">
        <v>6.4</v>
      </c>
      <c r="B118" s="1118" t="s">
        <v>1699</v>
      </c>
      <c r="C118" s="1143" t="s">
        <v>1700</v>
      </c>
      <c r="D118" s="331"/>
      <c r="E118" s="566"/>
      <c r="F118" s="1285"/>
      <c r="G118" s="1190"/>
      <c r="L118" s="503"/>
    </row>
    <row r="119" spans="1:20" ht="12.75" customHeight="1">
      <c r="A119" s="328"/>
      <c r="B119" s="1018"/>
      <c r="C119" s="590"/>
      <c r="D119" s="331"/>
      <c r="E119" s="566"/>
      <c r="F119" s="1285"/>
      <c r="G119" s="1190"/>
      <c r="L119" s="503"/>
    </row>
    <row r="120" spans="1:20" ht="25.5">
      <c r="A120" s="328"/>
      <c r="B120" s="1018" t="s">
        <v>1123</v>
      </c>
      <c r="C120" s="590" t="s">
        <v>1701</v>
      </c>
      <c r="D120" s="331"/>
      <c r="E120" s="566"/>
      <c r="F120" s="1284"/>
      <c r="G120" s="1190"/>
      <c r="L120" s="503"/>
    </row>
    <row r="121" spans="1:20" ht="12.75" customHeight="1">
      <c r="A121" s="328"/>
      <c r="B121" s="1018"/>
      <c r="C121" s="590"/>
      <c r="D121" s="331"/>
      <c r="E121" s="566"/>
      <c r="F121" s="1284"/>
      <c r="G121" s="1190"/>
      <c r="L121" s="503"/>
    </row>
    <row r="122" spans="1:20" ht="12.75" customHeight="1">
      <c r="A122" s="328" t="s">
        <v>1702</v>
      </c>
      <c r="B122" s="1018"/>
      <c r="C122" s="590" t="s">
        <v>1703</v>
      </c>
      <c r="D122" s="331" t="s">
        <v>818</v>
      </c>
      <c r="E122" s="566">
        <v>20</v>
      </c>
      <c r="F122" s="1285"/>
      <c r="G122" s="1190"/>
      <c r="L122" s="503"/>
    </row>
    <row r="123" spans="1:20" ht="12.75" customHeight="1">
      <c r="A123" s="328"/>
      <c r="B123" s="1018"/>
      <c r="C123" s="590"/>
      <c r="D123" s="331"/>
      <c r="E123" s="566"/>
      <c r="F123" s="1284"/>
      <c r="G123" s="1190"/>
      <c r="L123" s="503"/>
    </row>
    <row r="124" spans="1:20" ht="12.75" customHeight="1">
      <c r="A124" s="328" t="s">
        <v>1704</v>
      </c>
      <c r="B124" s="1018"/>
      <c r="C124" s="590" t="s">
        <v>1705</v>
      </c>
      <c r="D124" s="331" t="s">
        <v>818</v>
      </c>
      <c r="E124" s="566">
        <v>21</v>
      </c>
      <c r="F124" s="1285"/>
      <c r="G124" s="1190"/>
      <c r="L124" s="503"/>
    </row>
    <row r="125" spans="1:20" ht="12.75" customHeight="1">
      <c r="A125" s="328"/>
      <c r="B125" s="1018"/>
      <c r="C125" s="880"/>
      <c r="D125" s="589"/>
      <c r="E125" s="589"/>
      <c r="F125" s="1284"/>
      <c r="G125" s="1190"/>
      <c r="L125" s="503"/>
    </row>
    <row r="126" spans="1:20" ht="12.75" customHeight="1">
      <c r="A126" s="337"/>
      <c r="B126" s="1153"/>
      <c r="C126" s="1154" t="s">
        <v>1706</v>
      </c>
      <c r="D126" s="537"/>
      <c r="E126" s="537"/>
      <c r="F126" s="1284"/>
      <c r="G126" s="1190"/>
      <c r="L126" s="503"/>
    </row>
    <row r="127" spans="1:20" s="245" customFormat="1" ht="12.75" customHeight="1">
      <c r="A127" s="892"/>
      <c r="B127" s="367"/>
      <c r="C127" s="893"/>
      <c r="D127" s="742"/>
      <c r="E127" s="711"/>
      <c r="F127" s="1231"/>
      <c r="G127" s="1282"/>
      <c r="H127" s="408"/>
      <c r="I127" s="674"/>
      <c r="J127" s="674"/>
      <c r="K127" s="674"/>
      <c r="L127" s="674"/>
      <c r="M127" s="674"/>
      <c r="N127" s="674"/>
      <c r="O127" s="674"/>
      <c r="P127" s="674"/>
      <c r="Q127" s="674"/>
      <c r="R127" s="674"/>
      <c r="S127" s="674"/>
      <c r="T127" s="894"/>
    </row>
    <row r="128" spans="1:20" s="245" customFormat="1" ht="12.75" customHeight="1">
      <c r="A128" s="283" t="s">
        <v>1707</v>
      </c>
      <c r="B128" s="538" t="s">
        <v>901</v>
      </c>
      <c r="C128" s="594" t="s">
        <v>1638</v>
      </c>
      <c r="D128" s="742"/>
      <c r="E128" s="711"/>
      <c r="F128" s="1231"/>
      <c r="G128" s="1282"/>
      <c r="H128" s="408"/>
      <c r="I128" s="674"/>
      <c r="J128" s="674"/>
      <c r="K128" s="674"/>
      <c r="L128" s="674"/>
      <c r="M128" s="674"/>
      <c r="N128" s="674"/>
      <c r="O128" s="674"/>
      <c r="P128" s="674"/>
      <c r="Q128" s="674"/>
      <c r="R128" s="674"/>
      <c r="S128" s="674"/>
      <c r="T128" s="894"/>
    </row>
    <row r="129" spans="1:20" s="245" customFormat="1" ht="12.75" customHeight="1">
      <c r="A129" s="892"/>
      <c r="B129" s="367"/>
      <c r="C129" s="594"/>
      <c r="D129" s="742"/>
      <c r="E129" s="711"/>
      <c r="F129" s="1231"/>
      <c r="G129" s="1282"/>
      <c r="H129" s="408"/>
      <c r="I129" s="674"/>
      <c r="J129" s="674"/>
      <c r="K129" s="674"/>
      <c r="L129" s="674"/>
      <c r="M129" s="674"/>
      <c r="N129" s="674"/>
      <c r="O129" s="674"/>
      <c r="P129" s="674"/>
      <c r="Q129" s="674"/>
      <c r="R129" s="674"/>
      <c r="S129" s="674"/>
      <c r="T129" s="894"/>
    </row>
    <row r="130" spans="1:20" s="245" customFormat="1" ht="12.75" customHeight="1">
      <c r="A130" s="895"/>
      <c r="B130" s="380" t="s">
        <v>1708</v>
      </c>
      <c r="C130" s="893" t="s">
        <v>1709</v>
      </c>
      <c r="D130" s="896"/>
      <c r="E130" s="897"/>
      <c r="F130" s="1242"/>
      <c r="G130" s="1242"/>
      <c r="H130" s="408" t="s">
        <v>1710</v>
      </c>
      <c r="I130" s="674"/>
      <c r="J130" s="674"/>
      <c r="K130" s="674"/>
      <c r="L130" s="674"/>
      <c r="M130" s="674"/>
      <c r="N130" s="674"/>
      <c r="O130" s="674"/>
      <c r="P130" s="674"/>
      <c r="Q130" s="674"/>
      <c r="R130" s="674"/>
      <c r="S130" s="674"/>
      <c r="T130" s="674"/>
    </row>
    <row r="131" spans="1:20" s="245" customFormat="1" ht="12.75" customHeight="1">
      <c r="A131" s="895"/>
      <c r="B131" s="380"/>
      <c r="C131" s="893"/>
      <c r="D131" s="896"/>
      <c r="E131" s="897"/>
      <c r="F131" s="1242"/>
      <c r="G131" s="1242"/>
      <c r="H131" s="247"/>
      <c r="I131" s="674"/>
      <c r="J131" s="674"/>
      <c r="K131" s="674"/>
      <c r="L131" s="674"/>
      <c r="M131" s="674"/>
      <c r="N131" s="674"/>
      <c r="O131" s="674"/>
      <c r="P131" s="674"/>
      <c r="Q131" s="674"/>
      <c r="R131" s="674"/>
      <c r="S131" s="674"/>
      <c r="T131" s="674"/>
    </row>
    <row r="132" spans="1:20" s="245" customFormat="1" ht="12.75" customHeight="1">
      <c r="A132" s="895" t="s">
        <v>1711</v>
      </c>
      <c r="B132" s="380"/>
      <c r="C132" s="898" t="s">
        <v>1712</v>
      </c>
      <c r="D132" s="896" t="s">
        <v>574</v>
      </c>
      <c r="E132" s="897">
        <v>639</v>
      </c>
      <c r="F132" s="1200"/>
      <c r="G132" s="1201"/>
      <c r="H132" s="247"/>
      <c r="I132" s="674"/>
      <c r="J132" s="674"/>
      <c r="K132" s="674"/>
      <c r="L132" s="674"/>
      <c r="M132" s="674"/>
      <c r="N132" s="674"/>
      <c r="O132" s="674"/>
      <c r="P132" s="674"/>
      <c r="Q132" s="674"/>
      <c r="R132" s="674"/>
      <c r="S132" s="674"/>
      <c r="T132" s="674"/>
    </row>
    <row r="133" spans="1:20" ht="12.75" customHeight="1">
      <c r="A133" s="328"/>
      <c r="B133" s="1018"/>
      <c r="C133" s="880"/>
      <c r="D133" s="589"/>
      <c r="E133" s="589"/>
      <c r="F133" s="1284"/>
      <c r="G133" s="1190"/>
      <c r="L133" s="503"/>
    </row>
    <row r="134" spans="1:20" s="245" customFormat="1" ht="12.75" customHeight="1">
      <c r="A134" s="708"/>
      <c r="B134" s="899" t="s">
        <v>1065</v>
      </c>
      <c r="C134" s="282" t="s">
        <v>1713</v>
      </c>
      <c r="D134" s="708"/>
      <c r="E134" s="709"/>
      <c r="F134" s="1232"/>
      <c r="G134" s="1242"/>
      <c r="H134" s="247"/>
      <c r="I134" s="674"/>
      <c r="J134" s="674"/>
      <c r="K134" s="674"/>
      <c r="L134" s="674"/>
      <c r="M134" s="674"/>
      <c r="N134" s="674"/>
      <c r="O134" s="674"/>
      <c r="P134" s="674"/>
      <c r="Q134" s="674"/>
      <c r="R134" s="674"/>
      <c r="S134" s="674"/>
      <c r="T134" s="674"/>
    </row>
    <row r="135" spans="1:20" s="245" customFormat="1" ht="12.75" customHeight="1">
      <c r="A135" s="708"/>
      <c r="B135" s="367"/>
      <c r="C135" s="900"/>
      <c r="D135" s="708"/>
      <c r="E135" s="709"/>
      <c r="F135" s="1232"/>
      <c r="G135" s="1242"/>
      <c r="H135" s="247"/>
      <c r="I135" s="674"/>
      <c r="J135" s="674"/>
      <c r="K135" s="674"/>
      <c r="L135" s="674"/>
      <c r="M135" s="674"/>
      <c r="N135" s="674"/>
      <c r="O135" s="674"/>
      <c r="P135" s="674"/>
      <c r="Q135" s="674"/>
      <c r="R135" s="674"/>
      <c r="S135" s="674"/>
      <c r="T135" s="674"/>
    </row>
    <row r="136" spans="1:20" s="245" customFormat="1" ht="12.75" customHeight="1">
      <c r="A136" s="708" t="s">
        <v>1714</v>
      </c>
      <c r="B136" s="367"/>
      <c r="C136" s="900" t="s">
        <v>1294</v>
      </c>
      <c r="D136" s="708" t="s">
        <v>927</v>
      </c>
      <c r="E136" s="711">
        <f>E132*0.6</f>
        <v>383.4</v>
      </c>
      <c r="F136" s="1200"/>
      <c r="G136" s="1201"/>
      <c r="H136" s="247"/>
      <c r="I136" s="674"/>
      <c r="J136" s="674"/>
      <c r="K136" s="674"/>
      <c r="L136" s="674"/>
      <c r="M136" s="674"/>
      <c r="N136" s="674"/>
      <c r="O136" s="674"/>
      <c r="P136" s="674"/>
      <c r="Q136" s="674"/>
      <c r="R136" s="674"/>
      <c r="S136" s="674"/>
      <c r="T136" s="674"/>
    </row>
    <row r="137" spans="1:20" s="245" customFormat="1" ht="12.75" customHeight="1">
      <c r="A137" s="708"/>
      <c r="B137" s="367"/>
      <c r="C137" s="900"/>
      <c r="D137" s="708"/>
      <c r="E137" s="711"/>
      <c r="F137" s="1232"/>
      <c r="G137" s="1242"/>
      <c r="H137" s="247"/>
      <c r="I137" s="674"/>
      <c r="J137" s="674"/>
      <c r="K137" s="674"/>
      <c r="L137" s="674"/>
      <c r="M137" s="674"/>
      <c r="N137" s="674"/>
      <c r="O137" s="674"/>
      <c r="P137" s="674"/>
      <c r="Q137" s="674"/>
      <c r="R137" s="674"/>
      <c r="S137" s="674"/>
      <c r="T137" s="674"/>
    </row>
    <row r="138" spans="1:20" s="245" customFormat="1" ht="12.75" customHeight="1">
      <c r="A138" s="708" t="s">
        <v>1715</v>
      </c>
      <c r="B138" s="367"/>
      <c r="C138" s="900" t="s">
        <v>1297</v>
      </c>
      <c r="D138" s="708" t="s">
        <v>927</v>
      </c>
      <c r="E138" s="711">
        <f>E132*0.4</f>
        <v>255.60000000000002</v>
      </c>
      <c r="F138" s="1200"/>
      <c r="G138" s="1201"/>
      <c r="H138" s="247"/>
      <c r="I138" s="674"/>
      <c r="J138" s="674"/>
      <c r="K138" s="674"/>
      <c r="L138" s="674"/>
      <c r="M138" s="674"/>
      <c r="N138" s="674"/>
      <c r="O138" s="674"/>
      <c r="P138" s="674"/>
      <c r="Q138" s="674"/>
      <c r="R138" s="674"/>
      <c r="S138" s="674"/>
      <c r="T138" s="674"/>
    </row>
    <row r="139" spans="1:20" s="245" customFormat="1" ht="12.75" customHeight="1">
      <c r="A139" s="892"/>
      <c r="B139" s="436"/>
      <c r="C139" s="900"/>
      <c r="D139" s="708"/>
      <c r="E139" s="901"/>
      <c r="F139" s="1290"/>
      <c r="G139" s="1242"/>
      <c r="H139" s="247"/>
      <c r="I139" s="674"/>
      <c r="J139" s="674"/>
      <c r="K139" s="674"/>
      <c r="L139" s="674"/>
      <c r="M139" s="674"/>
      <c r="N139" s="674"/>
      <c r="O139" s="674"/>
      <c r="P139" s="674"/>
      <c r="Q139" s="674"/>
      <c r="R139" s="674"/>
      <c r="S139" s="674"/>
      <c r="T139" s="674"/>
    </row>
    <row r="140" spans="1:20" s="306" customFormat="1" ht="36.6" customHeight="1">
      <c r="A140" s="748" t="s">
        <v>1716</v>
      </c>
      <c r="B140" s="1099"/>
      <c r="C140" s="701" t="s">
        <v>1717</v>
      </c>
      <c r="D140" s="665" t="s">
        <v>574</v>
      </c>
      <c r="E140" s="1087">
        <v>90</v>
      </c>
      <c r="F140" s="1200"/>
      <c r="G140" s="1201"/>
      <c r="H140" s="408" t="s">
        <v>1718</v>
      </c>
      <c r="I140" s="247"/>
    </row>
    <row r="141" spans="1:20" s="245" customFormat="1" ht="12.75" customHeight="1">
      <c r="A141" s="892"/>
      <c r="B141" s="436"/>
      <c r="C141" s="900"/>
      <c r="D141" s="742"/>
      <c r="E141" s="711"/>
      <c r="F141" s="1290"/>
      <c r="G141" s="1242"/>
      <c r="H141" s="247"/>
      <c r="I141" s="674"/>
      <c r="J141" s="674"/>
      <c r="K141" s="674"/>
      <c r="L141" s="674"/>
      <c r="M141" s="674"/>
      <c r="N141" s="674"/>
      <c r="O141" s="674"/>
      <c r="P141" s="674"/>
      <c r="Q141" s="674"/>
      <c r="R141" s="674"/>
      <c r="S141" s="674"/>
      <c r="T141" s="674"/>
    </row>
    <row r="142" spans="1:20" s="245" customFormat="1" ht="12.75">
      <c r="A142" s="283">
        <v>6.6</v>
      </c>
      <c r="B142" s="330" t="s">
        <v>992</v>
      </c>
      <c r="C142" s="277" t="s">
        <v>1298</v>
      </c>
      <c r="D142" s="262"/>
      <c r="E142" s="262"/>
      <c r="F142" s="1291"/>
      <c r="G142" s="1292"/>
      <c r="H142" s="247"/>
      <c r="I142" s="674"/>
      <c r="J142" s="674"/>
      <c r="K142" s="674"/>
      <c r="L142" s="674"/>
      <c r="M142" s="674"/>
      <c r="N142" s="674"/>
      <c r="O142" s="674"/>
      <c r="P142" s="674"/>
      <c r="Q142" s="674"/>
      <c r="R142" s="674"/>
      <c r="S142" s="674"/>
      <c r="T142" s="674"/>
    </row>
    <row r="143" spans="1:20" s="245" customFormat="1" ht="12.75">
      <c r="A143" s="708"/>
      <c r="B143" s="1018"/>
      <c r="C143" s="884"/>
      <c r="D143" s="659"/>
      <c r="E143" s="659"/>
      <c r="F143" s="1293"/>
      <c r="G143" s="1294"/>
      <c r="H143" s="247"/>
      <c r="I143" s="674"/>
      <c r="J143" s="674"/>
      <c r="K143" s="674"/>
      <c r="L143" s="674"/>
      <c r="M143" s="674"/>
      <c r="N143" s="674"/>
      <c r="O143" s="674"/>
      <c r="P143" s="674"/>
      <c r="Q143" s="674"/>
      <c r="R143" s="674"/>
      <c r="S143" s="674"/>
      <c r="T143" s="674"/>
    </row>
    <row r="144" spans="1:20" s="245" customFormat="1" ht="25.5">
      <c r="A144" s="708"/>
      <c r="B144" s="1018" t="s">
        <v>1299</v>
      </c>
      <c r="C144" s="649" t="s">
        <v>1719</v>
      </c>
      <c r="D144" s="659"/>
      <c r="E144" s="659"/>
      <c r="F144" s="1293"/>
      <c r="G144" s="1294"/>
      <c r="H144" s="247"/>
      <c r="I144" s="674"/>
      <c r="J144" s="674"/>
      <c r="K144" s="674"/>
      <c r="L144" s="674"/>
      <c r="M144" s="674"/>
      <c r="N144" s="674"/>
      <c r="O144" s="674"/>
      <c r="P144" s="674"/>
      <c r="Q144" s="674"/>
      <c r="R144" s="674"/>
      <c r="S144" s="674"/>
      <c r="T144" s="674"/>
    </row>
    <row r="145" spans="1:20" s="245" customFormat="1" ht="12.75">
      <c r="A145" s="708"/>
      <c r="B145" s="531"/>
      <c r="C145" s="649"/>
      <c r="D145" s="659"/>
      <c r="E145" s="659"/>
      <c r="F145" s="1293"/>
      <c r="G145" s="1294"/>
      <c r="H145" s="247"/>
      <c r="I145" s="674"/>
      <c r="J145" s="674"/>
      <c r="K145" s="674"/>
      <c r="L145" s="674"/>
      <c r="M145" s="674"/>
      <c r="N145" s="674"/>
      <c r="O145" s="674"/>
      <c r="P145" s="674"/>
      <c r="Q145" s="674"/>
      <c r="R145" s="674"/>
      <c r="S145" s="674"/>
      <c r="T145" s="674"/>
    </row>
    <row r="146" spans="1:20" s="245" customFormat="1" ht="15">
      <c r="A146" s="708" t="s">
        <v>1720</v>
      </c>
      <c r="B146" s="531" t="s">
        <v>999</v>
      </c>
      <c r="C146" s="884" t="s">
        <v>1301</v>
      </c>
      <c r="D146" s="659" t="s">
        <v>927</v>
      </c>
      <c r="E146" s="1045">
        <v>70</v>
      </c>
      <c r="F146" s="1200"/>
      <c r="G146" s="1201"/>
      <c r="H146" s="247"/>
      <c r="I146" s="674"/>
      <c r="J146" s="674"/>
      <c r="K146" s="674"/>
      <c r="L146" s="674"/>
      <c r="M146" s="674"/>
      <c r="N146" s="674"/>
      <c r="O146" s="674"/>
      <c r="P146" s="674"/>
      <c r="Q146" s="674"/>
      <c r="R146" s="674"/>
      <c r="S146" s="674"/>
      <c r="T146" s="674"/>
    </row>
    <row r="147" spans="1:20" s="245" customFormat="1" ht="12.75">
      <c r="A147" s="708"/>
      <c r="B147" s="531"/>
      <c r="C147" s="884"/>
      <c r="D147" s="659"/>
      <c r="E147" s="1045"/>
      <c r="F147" s="1200"/>
      <c r="G147" s="1201"/>
      <c r="H147" s="247"/>
      <c r="I147" s="674"/>
      <c r="J147" s="674"/>
      <c r="K147" s="674"/>
      <c r="L147" s="674"/>
      <c r="M147" s="674"/>
      <c r="N147" s="674"/>
      <c r="O147" s="674"/>
      <c r="P147" s="674"/>
      <c r="Q147" s="674"/>
      <c r="R147" s="674"/>
      <c r="S147" s="674"/>
      <c r="T147" s="674"/>
    </row>
    <row r="148" spans="1:20" s="245" customFormat="1" ht="12.75">
      <c r="A148" s="708"/>
      <c r="B148" s="531"/>
      <c r="C148" s="884"/>
      <c r="D148" s="659"/>
      <c r="E148" s="1045"/>
      <c r="F148" s="1200"/>
      <c r="G148" s="1201"/>
      <c r="H148" s="247"/>
      <c r="I148" s="674"/>
      <c r="J148" s="674"/>
      <c r="K148" s="674"/>
      <c r="L148" s="674"/>
      <c r="M148" s="674"/>
      <c r="N148" s="674"/>
      <c r="O148" s="674"/>
      <c r="P148" s="674"/>
      <c r="Q148" s="674"/>
      <c r="R148" s="674"/>
      <c r="S148" s="674"/>
      <c r="T148" s="674"/>
    </row>
    <row r="149" spans="1:20" s="245" customFormat="1" ht="12.75">
      <c r="A149" s="708"/>
      <c r="B149" s="531"/>
      <c r="C149" s="884"/>
      <c r="D149" s="659"/>
      <c r="E149" s="1045"/>
      <c r="F149" s="1200"/>
      <c r="G149" s="1201"/>
      <c r="H149" s="247"/>
      <c r="I149" s="674"/>
      <c r="J149" s="674"/>
      <c r="K149" s="674"/>
      <c r="L149" s="674"/>
      <c r="M149" s="674"/>
      <c r="N149" s="674"/>
      <c r="O149" s="674"/>
      <c r="P149" s="674"/>
      <c r="Q149" s="674"/>
      <c r="R149" s="674"/>
      <c r="S149" s="674"/>
      <c r="T149" s="674"/>
    </row>
    <row r="150" spans="1:20" s="245" customFormat="1" ht="12.75">
      <c r="A150" s="708"/>
      <c r="B150" s="531"/>
      <c r="C150" s="884"/>
      <c r="D150" s="659"/>
      <c r="E150" s="1045"/>
      <c r="F150" s="1200"/>
      <c r="G150" s="1201"/>
      <c r="H150" s="247"/>
      <c r="I150" s="674"/>
      <c r="J150" s="674"/>
      <c r="K150" s="674"/>
      <c r="L150" s="674"/>
      <c r="M150" s="674"/>
      <c r="N150" s="674"/>
      <c r="O150" s="674"/>
      <c r="P150" s="674"/>
      <c r="Q150" s="674"/>
      <c r="R150" s="674"/>
      <c r="S150" s="674"/>
      <c r="T150" s="674"/>
    </row>
    <row r="151" spans="1:20" s="245" customFormat="1" ht="12.75">
      <c r="A151" s="708"/>
      <c r="B151" s="531"/>
      <c r="C151" s="884"/>
      <c r="D151" s="659"/>
      <c r="E151" s="1045"/>
      <c r="F151" s="1200"/>
      <c r="G151" s="1201"/>
      <c r="H151" s="247"/>
      <c r="I151" s="674"/>
      <c r="J151" s="674"/>
      <c r="K151" s="674"/>
      <c r="L151" s="674"/>
      <c r="M151" s="674"/>
      <c r="N151" s="674"/>
      <c r="O151" s="674"/>
      <c r="P151" s="674"/>
      <c r="Q151" s="674"/>
      <c r="R151" s="674"/>
      <c r="S151" s="674"/>
      <c r="T151" s="674"/>
    </row>
    <row r="152" spans="1:20" s="245" customFormat="1" ht="12.75">
      <c r="A152" s="708"/>
      <c r="B152" s="531"/>
      <c r="C152" s="884"/>
      <c r="D152" s="659"/>
      <c r="E152" s="1045"/>
      <c r="F152" s="1200"/>
      <c r="G152" s="1201"/>
      <c r="H152" s="247"/>
      <c r="I152" s="674"/>
      <c r="J152" s="674"/>
      <c r="K152" s="674"/>
      <c r="L152" s="674"/>
      <c r="M152" s="674"/>
      <c r="N152" s="674"/>
      <c r="O152" s="674"/>
      <c r="P152" s="674"/>
      <c r="Q152" s="674"/>
      <c r="R152" s="674"/>
      <c r="S152" s="674"/>
      <c r="T152" s="674"/>
    </row>
    <row r="153" spans="1:20" s="245" customFormat="1" ht="12.75">
      <c r="A153" s="708"/>
      <c r="B153" s="531"/>
      <c r="C153" s="884"/>
      <c r="D153" s="659"/>
      <c r="E153" s="1045"/>
      <c r="F153" s="1200"/>
      <c r="G153" s="1201"/>
      <c r="H153" s="247"/>
      <c r="I153" s="674"/>
      <c r="J153" s="674"/>
      <c r="K153" s="674"/>
      <c r="L153" s="674"/>
      <c r="M153" s="674"/>
      <c r="N153" s="674"/>
      <c r="O153" s="674"/>
      <c r="P153" s="674"/>
      <c r="Q153" s="674"/>
      <c r="R153" s="674"/>
      <c r="S153" s="674"/>
      <c r="T153" s="674"/>
    </row>
    <row r="154" spans="1:20" ht="12.75" customHeight="1">
      <c r="A154" s="1570" t="s">
        <v>96</v>
      </c>
      <c r="B154" s="1571"/>
      <c r="C154" s="1571"/>
      <c r="D154" s="1571"/>
      <c r="E154" s="1571"/>
      <c r="F154" s="1514"/>
      <c r="G154" s="1514"/>
      <c r="L154" s="503"/>
    </row>
    <row r="155" spans="1:20" ht="12.75" customHeight="1">
      <c r="A155" s="1572"/>
      <c r="B155" s="1573"/>
      <c r="C155" s="1573"/>
      <c r="D155" s="1573"/>
      <c r="E155" s="1573"/>
      <c r="F155" s="1514"/>
      <c r="G155" s="1514"/>
      <c r="L155" s="503"/>
    </row>
    <row r="156" spans="1:20" ht="12.75" customHeight="1">
      <c r="A156" s="369"/>
      <c r="B156" s="369"/>
      <c r="C156" s="377" t="s">
        <v>220</v>
      </c>
      <c r="D156" s="537"/>
      <c r="E156" s="429"/>
      <c r="F156" s="1295"/>
      <c r="G156" s="1275"/>
      <c r="L156" s="503"/>
    </row>
    <row r="157" spans="1:20" s="245" customFormat="1" ht="12.75">
      <c r="A157" s="708"/>
      <c r="B157" s="531"/>
      <c r="C157" s="887"/>
      <c r="D157" s="886"/>
      <c r="E157" s="902"/>
      <c r="F157" s="1293"/>
      <c r="G157" s="1294"/>
      <c r="H157" s="247"/>
      <c r="I157" s="674"/>
      <c r="J157" s="674"/>
      <c r="K157" s="674"/>
      <c r="L157" s="674"/>
      <c r="M157" s="674"/>
      <c r="N157" s="674"/>
      <c r="O157" s="674"/>
      <c r="P157" s="674"/>
      <c r="Q157" s="674"/>
      <c r="R157" s="674"/>
      <c r="S157" s="674"/>
      <c r="T157" s="674"/>
    </row>
    <row r="158" spans="1:20" s="245" customFormat="1" ht="12.75">
      <c r="A158" s="708"/>
      <c r="B158" s="531"/>
      <c r="C158" s="704"/>
      <c r="D158" s="659"/>
      <c r="E158" s="1045"/>
      <c r="F158" s="1200"/>
      <c r="G158" s="1201"/>
      <c r="H158" s="247"/>
      <c r="I158" s="674"/>
      <c r="J158" s="674"/>
      <c r="K158" s="674"/>
      <c r="L158" s="674"/>
      <c r="M158" s="674"/>
      <c r="N158" s="674"/>
      <c r="O158" s="674"/>
      <c r="P158" s="674"/>
      <c r="Q158" s="674"/>
      <c r="R158" s="674"/>
      <c r="S158" s="674"/>
      <c r="T158" s="674"/>
    </row>
    <row r="159" spans="1:20" s="247" customFormat="1" ht="25.5">
      <c r="A159" s="659"/>
      <c r="B159" s="331" t="s">
        <v>996</v>
      </c>
      <c r="C159" s="649" t="s">
        <v>1721</v>
      </c>
      <c r="D159" s="659"/>
      <c r="E159" s="700"/>
      <c r="F159" s="1205"/>
      <c r="G159" s="1205"/>
      <c r="H159" s="408" t="s">
        <v>1722</v>
      </c>
    </row>
    <row r="160" spans="1:20" s="247" customFormat="1" ht="12.75">
      <c r="A160" s="659"/>
      <c r="B160" s="331"/>
      <c r="C160" s="884"/>
      <c r="D160" s="659"/>
      <c r="E160" s="700"/>
      <c r="F160" s="1205"/>
      <c r="G160" s="1205"/>
    </row>
    <row r="161" spans="1:20" s="247" customFormat="1" ht="15">
      <c r="A161" s="659" t="s">
        <v>1723</v>
      </c>
      <c r="B161" s="331" t="s">
        <v>999</v>
      </c>
      <c r="C161" s="704" t="s">
        <v>1301</v>
      </c>
      <c r="D161" s="659" t="s">
        <v>927</v>
      </c>
      <c r="E161" s="700">
        <f>_xlfn.CEILING.MATH((1.1)*(0.34)*(50),5)</f>
        <v>20</v>
      </c>
      <c r="F161" s="1200"/>
      <c r="G161" s="1201"/>
    </row>
    <row r="162" spans="1:20" s="247" customFormat="1" ht="12.75">
      <c r="A162" s="659"/>
      <c r="B162" s="331"/>
      <c r="C162" s="704"/>
      <c r="D162" s="659"/>
      <c r="E162" s="700"/>
      <c r="F162" s="1205"/>
      <c r="G162" s="1205"/>
    </row>
    <row r="163" spans="1:20" s="247" customFormat="1" ht="15">
      <c r="A163" s="659" t="s">
        <v>1724</v>
      </c>
      <c r="B163" s="531" t="s">
        <v>1002</v>
      </c>
      <c r="C163" s="704" t="s">
        <v>1003</v>
      </c>
      <c r="D163" s="659" t="s">
        <v>927</v>
      </c>
      <c r="E163" s="700">
        <f>_xlfn.CEILING.MATH((1.1)*(0.525)*(50),5)</f>
        <v>30</v>
      </c>
      <c r="F163" s="1200"/>
      <c r="G163" s="1201"/>
    </row>
    <row r="164" spans="1:20" s="247" customFormat="1" ht="12.75">
      <c r="A164" s="659"/>
      <c r="B164" s="250"/>
      <c r="C164" s="728"/>
      <c r="D164" s="736"/>
      <c r="E164" s="903"/>
      <c r="F164" s="1222"/>
      <c r="G164" s="1242"/>
    </row>
    <row r="165" spans="1:20" s="247" customFormat="1" ht="15">
      <c r="A165" s="659" t="s">
        <v>1725</v>
      </c>
      <c r="B165" s="250" t="s">
        <v>1726</v>
      </c>
      <c r="C165" s="728" t="s">
        <v>1727</v>
      </c>
      <c r="D165" s="659" t="s">
        <v>927</v>
      </c>
      <c r="E165" s="903">
        <v>50</v>
      </c>
      <c r="F165" s="1200"/>
      <c r="G165" s="1201"/>
    </row>
    <row r="166" spans="1:20" s="247" customFormat="1" ht="12.75">
      <c r="A166" s="659"/>
      <c r="B166" s="250"/>
      <c r="C166" s="728"/>
      <c r="D166" s="736"/>
      <c r="E166" s="903"/>
      <c r="F166" s="1222"/>
      <c r="G166" s="1222"/>
    </row>
    <row r="167" spans="1:20" s="245" customFormat="1" ht="12.75">
      <c r="A167" s="283" t="s">
        <v>1728</v>
      </c>
      <c r="B167" s="418" t="s">
        <v>1729</v>
      </c>
      <c r="C167" s="594" t="s">
        <v>1730</v>
      </c>
      <c r="D167" s="742"/>
      <c r="E167" s="711"/>
      <c r="F167" s="1231"/>
      <c r="G167" s="1282"/>
      <c r="H167" s="408"/>
      <c r="I167" s="674"/>
      <c r="J167" s="674"/>
      <c r="K167" s="674"/>
      <c r="L167" s="674"/>
      <c r="M167" s="674"/>
      <c r="N167" s="674"/>
      <c r="O167" s="674"/>
      <c r="P167" s="674"/>
      <c r="Q167" s="674"/>
      <c r="R167" s="674"/>
      <c r="S167" s="674"/>
      <c r="T167" s="894"/>
    </row>
    <row r="168" spans="1:20">
      <c r="A168" s="328"/>
      <c r="B168" s="1018"/>
      <c r="C168" s="1044"/>
      <c r="D168" s="566"/>
      <c r="E168" s="566"/>
      <c r="F168" s="1284"/>
      <c r="G168" s="1190"/>
      <c r="L168" s="503"/>
    </row>
    <row r="169" spans="1:20">
      <c r="A169" s="328"/>
      <c r="B169" s="367" t="s">
        <v>815</v>
      </c>
      <c r="C169" s="594" t="s">
        <v>1731</v>
      </c>
      <c r="D169" s="566"/>
      <c r="E169" s="566"/>
      <c r="F169" s="1284"/>
      <c r="G169" s="1190"/>
      <c r="L169" s="503"/>
    </row>
    <row r="170" spans="1:20" ht="12.75" customHeight="1">
      <c r="A170" s="328"/>
      <c r="B170" s="1018"/>
      <c r="C170" s="1044"/>
      <c r="D170" s="566"/>
      <c r="E170" s="566"/>
      <c r="F170" s="1285"/>
      <c r="G170" s="1190"/>
      <c r="L170" s="503"/>
    </row>
    <row r="171" spans="1:20" ht="12.75" customHeight="1">
      <c r="A171" s="328" t="s">
        <v>1732</v>
      </c>
      <c r="B171" s="1018"/>
      <c r="C171" s="1044" t="s">
        <v>1733</v>
      </c>
      <c r="D171" s="566" t="s">
        <v>818</v>
      </c>
      <c r="E171" s="331">
        <v>100</v>
      </c>
      <c r="F171" s="1200"/>
      <c r="G171" s="1201"/>
      <c r="L171" s="503"/>
    </row>
    <row r="172" spans="1:20" ht="12.75" customHeight="1">
      <c r="A172" s="328"/>
      <c r="B172" s="1149"/>
      <c r="C172" s="590"/>
      <c r="D172" s="331"/>
      <c r="E172" s="331"/>
      <c r="F172" s="1164"/>
      <c r="G172" s="1190"/>
      <c r="L172" s="503"/>
    </row>
    <row r="173" spans="1:20" ht="25.5">
      <c r="A173" s="331" t="s">
        <v>1734</v>
      </c>
      <c r="B173" s="644"/>
      <c r="C173" s="590" t="s">
        <v>1735</v>
      </c>
      <c r="D173" s="331" t="s">
        <v>818</v>
      </c>
      <c r="E173" s="331">
        <v>800</v>
      </c>
      <c r="F173" s="1200"/>
      <c r="G173" s="1201"/>
      <c r="L173" s="503"/>
    </row>
    <row r="174" spans="1:20" ht="12.75" customHeight="1">
      <c r="A174" s="331"/>
      <c r="B174" s="644"/>
      <c r="C174" s="590"/>
      <c r="D174" s="331"/>
      <c r="E174" s="331"/>
      <c r="F174" s="1283"/>
      <c r="G174" s="1190"/>
      <c r="L174" s="503"/>
    </row>
    <row r="175" spans="1:20" ht="28.5" customHeight="1">
      <c r="A175" s="331" t="s">
        <v>1736</v>
      </c>
      <c r="B175" s="644"/>
      <c r="C175" s="590" t="s">
        <v>1737</v>
      </c>
      <c r="D175" s="331" t="s">
        <v>818</v>
      </c>
      <c r="E175" s="331">
        <v>750</v>
      </c>
      <c r="F175" s="1200"/>
      <c r="G175" s="1201"/>
      <c r="L175" s="503"/>
    </row>
    <row r="176" spans="1:20" ht="12.75" customHeight="1">
      <c r="A176" s="331"/>
      <c r="B176" s="644"/>
      <c r="C176" s="590"/>
      <c r="D176" s="331"/>
      <c r="E176" s="331"/>
      <c r="F176" s="1283"/>
      <c r="G176" s="1190"/>
      <c r="L176" s="503"/>
    </row>
    <row r="177" spans="1:12" s="597" customFormat="1" ht="12.75" customHeight="1">
      <c r="A177" s="504"/>
      <c r="B177" s="504"/>
      <c r="C177" s="596" t="s">
        <v>1738</v>
      </c>
      <c r="D177" s="504"/>
      <c r="E177" s="504"/>
      <c r="F177" s="1296"/>
      <c r="G177" s="1186"/>
      <c r="L177" s="598"/>
    </row>
    <row r="178" spans="1:12" s="597" customFormat="1" ht="12.75" customHeight="1">
      <c r="A178" s="504"/>
      <c r="B178" s="504"/>
      <c r="C178" s="501"/>
      <c r="D178" s="504"/>
      <c r="E178" s="504"/>
      <c r="F178" s="1296"/>
      <c r="G178" s="1186"/>
      <c r="L178" s="598"/>
    </row>
    <row r="179" spans="1:12" s="597" customFormat="1" ht="25.5">
      <c r="A179" s="504"/>
      <c r="B179" s="504" t="s">
        <v>1726</v>
      </c>
      <c r="C179" s="242" t="s">
        <v>1739</v>
      </c>
      <c r="D179" s="504"/>
      <c r="E179" s="504"/>
      <c r="F179" s="1296"/>
      <c r="G179" s="1186"/>
      <c r="L179" s="598"/>
    </row>
    <row r="180" spans="1:12" s="597" customFormat="1" ht="12.75" customHeight="1">
      <c r="A180" s="504"/>
      <c r="B180" s="504"/>
      <c r="C180" s="501"/>
      <c r="D180" s="504"/>
      <c r="E180" s="504"/>
      <c r="F180" s="1296"/>
      <c r="G180" s="1186"/>
      <c r="L180" s="598"/>
    </row>
    <row r="181" spans="1:12" s="597" customFormat="1" ht="12.75" customHeight="1">
      <c r="A181" s="504" t="s">
        <v>1740</v>
      </c>
      <c r="B181" s="504"/>
      <c r="C181" s="501" t="s">
        <v>1741</v>
      </c>
      <c r="D181" s="504" t="s">
        <v>70</v>
      </c>
      <c r="E181" s="505">
        <v>2</v>
      </c>
      <c r="F181" s="1200"/>
      <c r="G181" s="1201"/>
      <c r="L181" s="598"/>
    </row>
    <row r="182" spans="1:12" s="597" customFormat="1" ht="12.75" customHeight="1">
      <c r="A182" s="504"/>
      <c r="B182" s="504"/>
      <c r="C182" s="501"/>
      <c r="D182" s="504"/>
      <c r="E182" s="504"/>
      <c r="F182" s="1296"/>
      <c r="G182" s="1186"/>
      <c r="L182" s="598"/>
    </row>
    <row r="183" spans="1:12" s="597" customFormat="1" ht="12.75" customHeight="1">
      <c r="A183" s="504" t="s">
        <v>1742</v>
      </c>
      <c r="B183" s="504"/>
      <c r="C183" s="501" t="s">
        <v>1743</v>
      </c>
      <c r="D183" s="504" t="s">
        <v>70</v>
      </c>
      <c r="E183" s="505">
        <v>2</v>
      </c>
      <c r="F183" s="1200"/>
      <c r="G183" s="1201"/>
      <c r="L183" s="598"/>
    </row>
    <row r="184" spans="1:12" s="597" customFormat="1" ht="12.75" customHeight="1">
      <c r="A184" s="504"/>
      <c r="B184" s="504"/>
      <c r="C184" s="501"/>
      <c r="D184" s="504"/>
      <c r="E184" s="505"/>
      <c r="F184" s="1297"/>
      <c r="G184" s="1187"/>
      <c r="L184" s="598"/>
    </row>
    <row r="185" spans="1:12" s="597" customFormat="1" ht="12.75" customHeight="1">
      <c r="A185" s="504"/>
      <c r="B185" s="504"/>
      <c r="C185" s="501" t="s">
        <v>1744</v>
      </c>
      <c r="D185" s="504" t="s">
        <v>70</v>
      </c>
      <c r="E185" s="505">
        <v>2</v>
      </c>
      <c r="F185" s="1200"/>
      <c r="G185" s="1201"/>
      <c r="L185" s="598"/>
    </row>
    <row r="186" spans="1:12" s="597" customFormat="1" ht="12.75" customHeight="1">
      <c r="A186" s="331"/>
      <c r="B186" s="531"/>
      <c r="C186" s="321"/>
      <c r="D186" s="331"/>
      <c r="E186" s="331"/>
      <c r="F186" s="1283"/>
      <c r="G186" s="1186"/>
      <c r="L186" s="598"/>
    </row>
    <row r="187" spans="1:12" s="597" customFormat="1" ht="12.75" customHeight="1">
      <c r="A187" s="504"/>
      <c r="B187" s="504" t="s">
        <v>986</v>
      </c>
      <c r="C187" s="599" t="s">
        <v>1745</v>
      </c>
      <c r="D187" s="504"/>
      <c r="E187" s="504"/>
      <c r="F187" s="1186"/>
      <c r="G187" s="1186"/>
      <c r="L187" s="598"/>
    </row>
    <row r="188" spans="1:12" s="597" customFormat="1" ht="12.75" customHeight="1">
      <c r="A188" s="504"/>
      <c r="B188" s="504"/>
      <c r="C188" s="593"/>
      <c r="D188" s="504"/>
      <c r="E188" s="504"/>
      <c r="F188" s="1186"/>
      <c r="G188" s="1186"/>
      <c r="L188" s="598"/>
    </row>
    <row r="189" spans="1:12" s="597" customFormat="1" ht="12.75" customHeight="1">
      <c r="A189" s="504" t="s">
        <v>1746</v>
      </c>
      <c r="B189" s="504"/>
      <c r="C189" s="600" t="s">
        <v>1747</v>
      </c>
      <c r="D189" s="504" t="s">
        <v>70</v>
      </c>
      <c r="E189" s="505">
        <v>2</v>
      </c>
      <c r="F189" s="1200"/>
      <c r="G189" s="1201"/>
      <c r="L189" s="598"/>
    </row>
    <row r="190" spans="1:12" s="597" customFormat="1" ht="12.75" customHeight="1">
      <c r="A190" s="504"/>
      <c r="B190" s="504"/>
      <c r="C190" s="593"/>
      <c r="D190" s="504"/>
      <c r="E190" s="504"/>
      <c r="F190" s="1186"/>
      <c r="G190" s="1186"/>
      <c r="L190" s="598"/>
    </row>
    <row r="191" spans="1:12" s="597" customFormat="1" ht="12.75" customHeight="1">
      <c r="A191" s="504" t="s">
        <v>1748</v>
      </c>
      <c r="B191" s="504"/>
      <c r="C191" s="593" t="s">
        <v>1749</v>
      </c>
      <c r="D191" s="504" t="s">
        <v>70</v>
      </c>
      <c r="E191" s="505">
        <v>2</v>
      </c>
      <c r="F191" s="1200"/>
      <c r="G191" s="1201"/>
      <c r="L191" s="598"/>
    </row>
    <row r="192" spans="1:12" s="597" customFormat="1" ht="12.75" customHeight="1">
      <c r="A192" s="506"/>
      <c r="B192" s="243"/>
      <c r="C192" s="467"/>
      <c r="D192" s="467"/>
      <c r="E192" s="507"/>
      <c r="F192" s="1175"/>
      <c r="G192" s="1186"/>
      <c r="L192" s="598"/>
    </row>
    <row r="193" spans="1:12" s="597" customFormat="1" ht="12.75" customHeight="1">
      <c r="A193" s="504"/>
      <c r="B193" s="504" t="s">
        <v>1002</v>
      </c>
      <c r="C193" s="601" t="s">
        <v>1750</v>
      </c>
      <c r="D193" s="504"/>
      <c r="E193" s="504"/>
      <c r="F193" s="1186"/>
      <c r="G193" s="1186"/>
      <c r="L193" s="598"/>
    </row>
    <row r="194" spans="1:12" s="597" customFormat="1" ht="12.75" customHeight="1">
      <c r="A194" s="504"/>
      <c r="B194" s="504"/>
      <c r="C194" s="593"/>
      <c r="D194" s="504"/>
      <c r="E194" s="504"/>
      <c r="F194" s="1186"/>
      <c r="G194" s="1186"/>
      <c r="L194" s="598"/>
    </row>
    <row r="195" spans="1:12" s="597" customFormat="1" ht="12.75" customHeight="1">
      <c r="A195" s="504" t="s">
        <v>1751</v>
      </c>
      <c r="B195" s="467"/>
      <c r="C195" s="593" t="s">
        <v>1749</v>
      </c>
      <c r="D195" s="504" t="s">
        <v>818</v>
      </c>
      <c r="E195" s="505">
        <v>100</v>
      </c>
      <c r="F195" s="1200"/>
      <c r="G195" s="1201"/>
      <c r="L195" s="598"/>
    </row>
    <row r="196" spans="1:12" s="597" customFormat="1" ht="12.75" customHeight="1">
      <c r="A196" s="504"/>
      <c r="B196" s="559"/>
      <c r="C196" s="904"/>
      <c r="D196" s="504"/>
      <c r="E196" s="505"/>
      <c r="F196" s="1186"/>
      <c r="G196" s="1187"/>
      <c r="L196" s="598"/>
    </row>
    <row r="197" spans="1:12" s="247" customFormat="1" ht="25.5">
      <c r="A197" s="659" t="s">
        <v>1752</v>
      </c>
      <c r="B197" s="518" t="s">
        <v>1753</v>
      </c>
      <c r="C197" s="905" t="s">
        <v>1754</v>
      </c>
      <c r="D197" s="659" t="s">
        <v>927</v>
      </c>
      <c r="E197" s="903">
        <v>25</v>
      </c>
      <c r="F197" s="1244"/>
      <c r="G197" s="1298"/>
    </row>
    <row r="198" spans="1:12" s="247" customFormat="1" ht="12.75">
      <c r="A198" s="659"/>
      <c r="B198" s="518"/>
      <c r="C198" s="905"/>
      <c r="D198" s="659"/>
      <c r="E198" s="903"/>
      <c r="F198" s="1244"/>
      <c r="G198" s="1298"/>
    </row>
    <row r="199" spans="1:12" ht="12.75" customHeight="1">
      <c r="A199" s="331"/>
      <c r="B199" s="644" t="s">
        <v>1681</v>
      </c>
      <c r="C199" s="662" t="s">
        <v>1755</v>
      </c>
      <c r="D199" s="331"/>
      <c r="E199" s="331"/>
      <c r="F199" s="1283"/>
      <c r="G199" s="1190"/>
      <c r="L199" s="503"/>
    </row>
    <row r="200" spans="1:12" ht="12.75" customHeight="1">
      <c r="A200" s="331"/>
      <c r="B200" s="644"/>
      <c r="C200" s="590"/>
      <c r="D200" s="331"/>
      <c r="E200" s="331"/>
      <c r="F200" s="1283"/>
      <c r="G200" s="1190"/>
      <c r="L200" s="503"/>
    </row>
    <row r="201" spans="1:12" ht="12.75" customHeight="1">
      <c r="A201" s="331" t="s">
        <v>1756</v>
      </c>
      <c r="B201" s="644"/>
      <c r="C201" s="590" t="s">
        <v>1757</v>
      </c>
      <c r="D201" s="331" t="s">
        <v>335</v>
      </c>
      <c r="E201" s="331">
        <v>1</v>
      </c>
      <c r="F201" s="1200"/>
      <c r="G201" s="1201"/>
      <c r="L201" s="503"/>
    </row>
    <row r="202" spans="1:12" ht="12.75" customHeight="1">
      <c r="A202" s="331"/>
      <c r="B202" s="644"/>
      <c r="C202" s="590"/>
      <c r="D202" s="331"/>
      <c r="E202" s="331"/>
      <c r="F202" s="1164"/>
      <c r="G202" s="1190"/>
      <c r="L202" s="503"/>
    </row>
    <row r="203" spans="1:12" ht="12.75" customHeight="1">
      <c r="A203" s="331" t="s">
        <v>1758</v>
      </c>
      <c r="B203" s="644"/>
      <c r="C203" s="590" t="s">
        <v>1759</v>
      </c>
      <c r="D203" s="331" t="s">
        <v>335</v>
      </c>
      <c r="E203" s="331">
        <v>1</v>
      </c>
      <c r="F203" s="1200"/>
      <c r="G203" s="1201"/>
      <c r="L203" s="503"/>
    </row>
    <row r="204" spans="1:12" ht="12.75" customHeight="1">
      <c r="A204" s="331"/>
      <c r="B204" s="1018"/>
      <c r="C204" s="590"/>
      <c r="D204" s="331"/>
      <c r="E204" s="566"/>
      <c r="F204" s="1284"/>
      <c r="G204" s="1190"/>
      <c r="L204" s="503"/>
    </row>
    <row r="205" spans="1:12" ht="12.75" customHeight="1">
      <c r="A205" s="331" t="s">
        <v>1760</v>
      </c>
      <c r="B205" s="1018" t="s">
        <v>1761</v>
      </c>
      <c r="C205" s="590" t="s">
        <v>1762</v>
      </c>
      <c r="D205" s="331" t="s">
        <v>1319</v>
      </c>
      <c r="E205" s="566">
        <v>4</v>
      </c>
      <c r="F205" s="1200"/>
      <c r="G205" s="1201"/>
      <c r="L205" s="503"/>
    </row>
    <row r="206" spans="1:12" ht="12.75" customHeight="1">
      <c r="A206" s="328"/>
      <c r="B206" s="1018"/>
      <c r="C206" s="662"/>
      <c r="D206" s="331"/>
      <c r="E206" s="566"/>
      <c r="F206" s="1284"/>
      <c r="G206" s="1190"/>
      <c r="L206" s="503"/>
    </row>
    <row r="207" spans="1:12" s="245" customFormat="1" ht="12.75" customHeight="1">
      <c r="A207" s="892"/>
      <c r="B207" s="1155"/>
      <c r="C207" s="906" t="s">
        <v>1763</v>
      </c>
      <c r="D207" s="742"/>
      <c r="E207" s="711"/>
      <c r="F207" s="1231"/>
      <c r="G207" s="1282"/>
      <c r="H207" s="247"/>
      <c r="I207" s="674" t="s">
        <v>1764</v>
      </c>
      <c r="J207" s="674"/>
      <c r="K207" s="674"/>
      <c r="L207" s="674"/>
    </row>
    <row r="208" spans="1:12" s="245" customFormat="1" ht="12.75">
      <c r="A208" s="892"/>
      <c r="B208" s="1155"/>
      <c r="C208" s="907"/>
      <c r="D208" s="742"/>
      <c r="E208" s="711"/>
      <c r="F208" s="1231"/>
      <c r="G208" s="1282"/>
      <c r="H208" s="247"/>
      <c r="I208" s="674"/>
      <c r="J208" s="674"/>
      <c r="K208" s="674"/>
      <c r="L208" s="674"/>
    </row>
    <row r="209" spans="1:12" s="245" customFormat="1" ht="38.25">
      <c r="A209" s="892"/>
      <c r="B209" s="1155">
        <v>8.4</v>
      </c>
      <c r="C209" s="906" t="s">
        <v>1765</v>
      </c>
      <c r="D209" s="742"/>
      <c r="E209" s="711"/>
      <c r="F209" s="1231"/>
      <c r="G209" s="1282"/>
      <c r="H209" s="247"/>
      <c r="I209" s="674"/>
      <c r="J209" s="674"/>
      <c r="K209" s="674"/>
      <c r="L209" s="674"/>
    </row>
    <row r="210" spans="1:12" s="245" customFormat="1" ht="12.75">
      <c r="A210" s="892"/>
      <c r="B210" s="367"/>
      <c r="C210" s="893"/>
      <c r="D210" s="742"/>
      <c r="E210" s="711"/>
      <c r="F210" s="1231"/>
      <c r="G210" s="1282"/>
      <c r="H210" s="247"/>
      <c r="I210" s="674"/>
      <c r="J210" s="674"/>
      <c r="K210" s="674"/>
      <c r="L210" s="674"/>
    </row>
    <row r="211" spans="1:12" s="245" customFormat="1" ht="12.75" customHeight="1">
      <c r="A211" s="892" t="s">
        <v>1766</v>
      </c>
      <c r="B211" s="367"/>
      <c r="C211" s="908" t="s">
        <v>1767</v>
      </c>
      <c r="D211" s="742" t="s">
        <v>70</v>
      </c>
      <c r="E211" s="711">
        <v>2</v>
      </c>
      <c r="F211" s="1200"/>
      <c r="G211" s="1201"/>
      <c r="H211" s="247"/>
      <c r="I211" s="674"/>
      <c r="J211" s="674"/>
      <c r="K211" s="674"/>
      <c r="L211" s="674"/>
    </row>
    <row r="212" spans="1:12" s="245" customFormat="1" ht="12.75" customHeight="1">
      <c r="A212" s="892"/>
      <c r="B212" s="367"/>
      <c r="C212" s="908"/>
      <c r="D212" s="742"/>
      <c r="E212" s="711"/>
      <c r="F212" s="1231"/>
      <c r="G212" s="1282"/>
      <c r="H212" s="247"/>
      <c r="I212" s="674"/>
      <c r="J212" s="674"/>
      <c r="K212" s="674"/>
      <c r="L212" s="674"/>
    </row>
    <row r="213" spans="1:12" s="245" customFormat="1" ht="12.75" customHeight="1">
      <c r="A213" s="892" t="s">
        <v>1768</v>
      </c>
      <c r="B213" s="367"/>
      <c r="C213" s="908" t="s">
        <v>1769</v>
      </c>
      <c r="D213" s="742" t="s">
        <v>70</v>
      </c>
      <c r="E213" s="711">
        <v>2</v>
      </c>
      <c r="F213" s="1200"/>
      <c r="G213" s="1201"/>
      <c r="H213" s="247"/>
      <c r="I213" s="674"/>
      <c r="J213" s="674"/>
      <c r="K213" s="674"/>
      <c r="L213" s="674"/>
    </row>
    <row r="214" spans="1:12" s="245" customFormat="1" ht="12.75">
      <c r="A214" s="892"/>
      <c r="B214" s="367"/>
      <c r="C214" s="893"/>
      <c r="D214" s="742"/>
      <c r="E214" s="711"/>
      <c r="F214" s="1231"/>
      <c r="G214" s="1282"/>
      <c r="H214" s="247"/>
      <c r="I214" s="674"/>
      <c r="J214" s="674"/>
      <c r="K214" s="674"/>
      <c r="L214" s="674"/>
    </row>
    <row r="215" spans="1:12" s="245" customFormat="1" ht="12.75">
      <c r="A215" s="892"/>
      <c r="B215" s="367"/>
      <c r="C215" s="893"/>
      <c r="D215" s="742"/>
      <c r="E215" s="711"/>
      <c r="F215" s="1231"/>
      <c r="G215" s="1282"/>
      <c r="H215" s="247"/>
      <c r="I215" s="674"/>
      <c r="J215" s="674"/>
      <c r="K215" s="674"/>
      <c r="L215" s="674"/>
    </row>
    <row r="216" spans="1:12" s="245" customFormat="1" ht="12.75">
      <c r="A216" s="892"/>
      <c r="B216" s="367"/>
      <c r="C216" s="893"/>
      <c r="D216" s="742"/>
      <c r="E216" s="711"/>
      <c r="F216" s="1231"/>
      <c r="G216" s="1282"/>
      <c r="H216" s="247"/>
      <c r="I216" s="674"/>
      <c r="J216" s="674"/>
      <c r="K216" s="674"/>
      <c r="L216" s="674"/>
    </row>
    <row r="217" spans="1:12" s="245" customFormat="1" ht="12.75">
      <c r="A217" s="892"/>
      <c r="B217" s="367"/>
      <c r="C217" s="893"/>
      <c r="D217" s="742"/>
      <c r="E217" s="711"/>
      <c r="F217" s="1231"/>
      <c r="G217" s="1282"/>
      <c r="H217" s="247"/>
      <c r="I217" s="674"/>
      <c r="J217" s="674"/>
      <c r="K217" s="674"/>
      <c r="L217" s="674"/>
    </row>
    <row r="218" spans="1:12" s="245" customFormat="1" ht="12.75">
      <c r="A218" s="892"/>
      <c r="B218" s="367"/>
      <c r="C218" s="893"/>
      <c r="D218" s="742"/>
      <c r="E218" s="711"/>
      <c r="F218" s="1231"/>
      <c r="G218" s="1282"/>
      <c r="H218" s="247"/>
      <c r="I218" s="674"/>
      <c r="J218" s="674"/>
      <c r="K218" s="674"/>
      <c r="L218" s="674"/>
    </row>
    <row r="219" spans="1:12" s="245" customFormat="1" ht="12.75">
      <c r="A219" s="892"/>
      <c r="B219" s="367"/>
      <c r="C219" s="893"/>
      <c r="D219" s="742"/>
      <c r="E219" s="711"/>
      <c r="F219" s="1231"/>
      <c r="G219" s="1282"/>
      <c r="H219" s="247"/>
      <c r="I219" s="674"/>
      <c r="J219" s="674"/>
      <c r="K219" s="674"/>
      <c r="L219" s="674"/>
    </row>
    <row r="220" spans="1:12" s="245" customFormat="1" ht="12.75">
      <c r="A220" s="892"/>
      <c r="B220" s="367"/>
      <c r="C220" s="893"/>
      <c r="D220" s="742"/>
      <c r="E220" s="711"/>
      <c r="F220" s="1231"/>
      <c r="G220" s="1282"/>
      <c r="H220" s="247"/>
      <c r="I220" s="674"/>
      <c r="J220" s="674"/>
      <c r="K220" s="674"/>
      <c r="L220" s="674"/>
    </row>
    <row r="221" spans="1:12" s="245" customFormat="1" ht="12.75">
      <c r="A221" s="892"/>
      <c r="B221" s="367"/>
      <c r="C221" s="893"/>
      <c r="D221" s="742"/>
      <c r="E221" s="711"/>
      <c r="F221" s="1231"/>
      <c r="G221" s="1282"/>
      <c r="H221" s="247"/>
      <c r="I221" s="674"/>
      <c r="J221" s="674"/>
      <c r="K221" s="674"/>
      <c r="L221" s="674"/>
    </row>
    <row r="222" spans="1:12" s="245" customFormat="1" ht="12.75">
      <c r="A222" s="892"/>
      <c r="B222" s="367"/>
      <c r="C222" s="893"/>
      <c r="D222" s="742"/>
      <c r="E222" s="711"/>
      <c r="F222" s="1231"/>
      <c r="G222" s="1282"/>
      <c r="H222" s="247"/>
      <c r="I222" s="674"/>
      <c r="J222" s="674"/>
      <c r="K222" s="674"/>
      <c r="L222" s="674"/>
    </row>
    <row r="223" spans="1:12" s="245" customFormat="1" ht="12.75">
      <c r="A223" s="892"/>
      <c r="B223" s="367"/>
      <c r="C223" s="893"/>
      <c r="D223" s="742"/>
      <c r="E223" s="711"/>
      <c r="F223" s="1231"/>
      <c r="G223" s="1282"/>
      <c r="H223" s="247"/>
      <c r="I223" s="674"/>
      <c r="J223" s="674"/>
      <c r="K223" s="674"/>
      <c r="L223" s="674"/>
    </row>
    <row r="224" spans="1:12" s="245" customFormat="1" ht="12.75">
      <c r="A224" s="892"/>
      <c r="B224" s="367"/>
      <c r="C224" s="893"/>
      <c r="D224" s="742"/>
      <c r="E224" s="711"/>
      <c r="F224" s="1231"/>
      <c r="G224" s="1282"/>
      <c r="H224" s="247"/>
      <c r="I224" s="674"/>
      <c r="J224" s="674"/>
      <c r="K224" s="674"/>
      <c r="L224" s="674"/>
    </row>
    <row r="225" spans="1:12" s="245" customFormat="1" ht="12.75">
      <c r="A225" s="892"/>
      <c r="B225" s="367"/>
      <c r="C225" s="893"/>
      <c r="D225" s="742"/>
      <c r="E225" s="711"/>
      <c r="F225" s="1231"/>
      <c r="G225" s="1282"/>
      <c r="H225" s="247"/>
      <c r="I225" s="674"/>
      <c r="J225" s="674"/>
      <c r="K225" s="674"/>
      <c r="L225" s="674"/>
    </row>
    <row r="226" spans="1:12" s="245" customFormat="1" ht="12.75">
      <c r="A226" s="892"/>
      <c r="B226" s="367"/>
      <c r="C226" s="893"/>
      <c r="D226" s="742"/>
      <c r="E226" s="711"/>
      <c r="F226" s="1231"/>
      <c r="G226" s="1282"/>
      <c r="H226" s="247"/>
      <c r="I226" s="674"/>
      <c r="J226" s="674"/>
      <c r="K226" s="674"/>
      <c r="L226" s="674"/>
    </row>
    <row r="227" spans="1:12" s="245" customFormat="1" ht="12.75">
      <c r="A227" s="892"/>
      <c r="B227" s="367"/>
      <c r="C227" s="893"/>
      <c r="D227" s="742"/>
      <c r="E227" s="711"/>
      <c r="F227" s="1231"/>
      <c r="G227" s="1282"/>
      <c r="H227" s="247"/>
      <c r="I227" s="674"/>
      <c r="J227" s="674"/>
      <c r="K227" s="674"/>
      <c r="L227" s="674"/>
    </row>
    <row r="228" spans="1:12" s="245" customFormat="1" ht="12.75">
      <c r="A228" s="892"/>
      <c r="B228" s="367"/>
      <c r="C228" s="893"/>
      <c r="D228" s="742"/>
      <c r="E228" s="711"/>
      <c r="F228" s="1231"/>
      <c r="G228" s="1282"/>
      <c r="H228" s="247"/>
      <c r="I228" s="674"/>
      <c r="J228" s="674"/>
      <c r="K228" s="674"/>
      <c r="L228" s="674"/>
    </row>
    <row r="229" spans="1:12" ht="12.75" customHeight="1">
      <c r="A229" s="1539" t="s">
        <v>229</v>
      </c>
      <c r="B229" s="1540"/>
      <c r="C229" s="1540"/>
      <c r="D229" s="1540"/>
      <c r="E229" s="1540"/>
      <c r="F229" s="1590"/>
      <c r="G229" s="1511"/>
      <c r="L229" s="503"/>
    </row>
    <row r="230" spans="1:12" ht="12.75" customHeight="1">
      <c r="A230" s="1541"/>
      <c r="B230" s="1542"/>
      <c r="C230" s="1542"/>
      <c r="D230" s="1542"/>
      <c r="E230" s="1542"/>
      <c r="F230" s="1591"/>
      <c r="G230" s="1512"/>
      <c r="L230" s="503"/>
    </row>
  </sheetData>
  <sheetProtection algorithmName="SHA-512" hashValue="9U2iEAKy6Y1h3+9lSvzvym5XvSumdZPPo6pMw2C7QKLHGjRfjOOxE4g75/FUsY9+Yl1/MODchYaQVaWFNUQz4Q==" saltValue="JdkBqcgHfLa9UbJ1ifYNng==" spinCount="100000" sheet="1" objects="1" scenarios="1"/>
  <mergeCells count="16">
    <mergeCell ref="A154:E155"/>
    <mergeCell ref="F154:F155"/>
    <mergeCell ref="A1:G1"/>
    <mergeCell ref="A229:F230"/>
    <mergeCell ref="G229:G230"/>
    <mergeCell ref="G81:G82"/>
    <mergeCell ref="A3:A4"/>
    <mergeCell ref="B3:B4"/>
    <mergeCell ref="C3:C4"/>
    <mergeCell ref="D3:D4"/>
    <mergeCell ref="E3:E4"/>
    <mergeCell ref="F3:F4"/>
    <mergeCell ref="G3:G4"/>
    <mergeCell ref="G154:G155"/>
    <mergeCell ref="A81:E82"/>
    <mergeCell ref="F81:F82"/>
  </mergeCells>
  <phoneticPr fontId="38" type="noConversion"/>
  <pageMargins left="0.70866141732283472" right="0.70866141732283472" top="0.86614173228346458" bottom="0.78740157480314965" header="0.31496062992125984" footer="0.19685039370078741"/>
  <pageSetup paperSize="9" scale="67" firstPageNumber="71" orientation="portrait" useFirstPageNumber="1" r:id="rId1"/>
  <headerFooter>
    <oddHeader>&amp;L&amp;G&amp;CCONSTRUCTION OF 20ML CARLSWALD RESERVOIR
SCHEDULE OF QUANTITIES&amp;R&amp;G</oddHeader>
    <oddFooter>&amp;C&amp;G
C.&amp;P</oddFooter>
  </headerFooter>
  <rowBreaks count="2" manualBreakCount="2">
    <brk id="82" max="10" man="1"/>
    <brk id="155" max="10" man="1"/>
  </rowBreaks>
  <legacyDrawing r:id="rId2"/>
  <legacyDrawingHF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4F4A1-98F6-4D52-8CD7-E554472B85AC}">
  <dimension ref="A1:J154"/>
  <sheetViews>
    <sheetView view="pageBreakPreview" topLeftCell="A127" zoomScale="85" zoomScaleNormal="79" zoomScaleSheetLayoutView="85" zoomScalePageLayoutView="80" workbookViewId="0">
      <selection activeCell="A82" sqref="A82:G83"/>
    </sheetView>
  </sheetViews>
  <sheetFormatPr defaultColWidth="8.85546875" defaultRowHeight="12.75"/>
  <cols>
    <col min="1" max="1" width="9.5703125" style="254" customWidth="1"/>
    <col min="2" max="2" width="15.28515625" style="309" customWidth="1"/>
    <col min="3" max="3" width="47.7109375" style="246" customWidth="1"/>
    <col min="4" max="4" width="8.7109375" style="246" customWidth="1"/>
    <col min="5" max="5" width="9.7109375" style="254" customWidth="1"/>
    <col min="6" max="6" width="15.42578125" style="251" customWidth="1"/>
    <col min="7" max="7" width="21.42578125" style="251" customWidth="1"/>
    <col min="8" max="8" width="0" style="255" hidden="1" customWidth="1"/>
    <col min="9" max="19" width="8.85546875" style="246"/>
    <col min="20" max="20" width="13.85546875" style="246" bestFit="1" customWidth="1"/>
    <col min="21" max="16384" width="8.85546875" style="246"/>
  </cols>
  <sheetData>
    <row r="1" spans="1:10" s="249" customFormat="1" ht="15" customHeight="1">
      <c r="A1" s="1538" t="s">
        <v>1770</v>
      </c>
      <c r="B1" s="1538"/>
      <c r="C1" s="1538"/>
      <c r="D1" s="1538"/>
      <c r="E1" s="1538"/>
      <c r="F1" s="1538"/>
      <c r="G1" s="1538"/>
      <c r="H1" s="256"/>
    </row>
    <row r="2" spans="1:10">
      <c r="A2" s="679"/>
      <c r="B2" s="290"/>
      <c r="C2" s="679"/>
      <c r="D2" s="679"/>
      <c r="E2" s="679"/>
      <c r="F2" s="761"/>
      <c r="G2" s="747"/>
      <c r="I2" s="679"/>
      <c r="J2" s="679"/>
    </row>
    <row r="3" spans="1:10" s="245" customFormat="1" ht="12.75" customHeight="1">
      <c r="A3" s="1578" t="s">
        <v>322</v>
      </c>
      <c r="B3" s="1578" t="s">
        <v>323</v>
      </c>
      <c r="C3" s="1580" t="s">
        <v>33</v>
      </c>
      <c r="D3" s="1582" t="s">
        <v>324</v>
      </c>
      <c r="E3" s="1584" t="s">
        <v>325</v>
      </c>
      <c r="F3" s="1574" t="s">
        <v>326</v>
      </c>
      <c r="G3" s="1576" t="s">
        <v>327</v>
      </c>
      <c r="H3" s="674"/>
      <c r="I3" s="674"/>
      <c r="J3" s="674"/>
    </row>
    <row r="4" spans="1:10" s="245" customFormat="1" ht="12.75" customHeight="1">
      <c r="A4" s="1579"/>
      <c r="B4" s="1579"/>
      <c r="C4" s="1581"/>
      <c r="D4" s="1583"/>
      <c r="E4" s="1585"/>
      <c r="F4" s="1575"/>
      <c r="G4" s="1577"/>
      <c r="H4" s="674"/>
      <c r="I4" s="674"/>
      <c r="J4" s="674"/>
    </row>
    <row r="5" spans="1:10" s="249" customFormat="1">
      <c r="A5" s="354"/>
      <c r="B5" s="418"/>
      <c r="C5" s="355"/>
      <c r="D5" s="356"/>
      <c r="E5" s="357"/>
      <c r="F5" s="1299"/>
      <c r="G5" s="1300"/>
      <c r="H5" s="256"/>
    </row>
    <row r="6" spans="1:10" s="290" customFormat="1">
      <c r="A6" s="748"/>
      <c r="B6" s="1099"/>
      <c r="C6" s="238" t="s">
        <v>1770</v>
      </c>
      <c r="D6" s="749"/>
      <c r="E6" s="749"/>
      <c r="F6" s="1227"/>
      <c r="G6" s="1228"/>
      <c r="J6" s="255"/>
    </row>
    <row r="7" spans="1:10">
      <c r="A7" s="895"/>
      <c r="B7" s="450"/>
      <c r="C7" s="909"/>
      <c r="D7" s="896"/>
      <c r="E7" s="910"/>
      <c r="F7" s="1242"/>
      <c r="G7" s="1242"/>
      <c r="I7" s="679"/>
      <c r="J7" s="679"/>
    </row>
    <row r="8" spans="1:10">
      <c r="A8" s="358">
        <v>7.1</v>
      </c>
      <c r="B8" s="477" t="s">
        <v>1771</v>
      </c>
      <c r="C8" s="359" t="s">
        <v>820</v>
      </c>
      <c r="D8" s="284"/>
      <c r="E8" s="360"/>
      <c r="F8" s="1301"/>
      <c r="G8" s="1301"/>
      <c r="I8" s="679"/>
      <c r="J8" s="679"/>
    </row>
    <row r="9" spans="1:10">
      <c r="A9" s="895"/>
      <c r="B9" s="450"/>
      <c r="C9" s="909"/>
      <c r="D9" s="896"/>
      <c r="E9" s="910"/>
      <c r="F9" s="1242"/>
      <c r="G9" s="1242"/>
      <c r="I9" s="679"/>
      <c r="J9" s="679"/>
    </row>
    <row r="10" spans="1:10">
      <c r="A10" s="895"/>
      <c r="B10" s="450"/>
      <c r="C10" s="911" t="s">
        <v>1421</v>
      </c>
      <c r="D10" s="896"/>
      <c r="E10" s="910"/>
      <c r="F10" s="1242"/>
      <c r="G10" s="1242"/>
      <c r="I10" s="679"/>
      <c r="J10" s="679"/>
    </row>
    <row r="11" spans="1:10">
      <c r="A11" s="895"/>
      <c r="B11" s="450"/>
      <c r="C11" s="909"/>
      <c r="D11" s="896"/>
      <c r="E11" s="910"/>
      <c r="F11" s="1242"/>
      <c r="G11" s="1242"/>
      <c r="I11" s="679"/>
      <c r="J11" s="679"/>
    </row>
    <row r="12" spans="1:10" ht="38.25">
      <c r="A12" s="895"/>
      <c r="B12" s="380" t="s">
        <v>413</v>
      </c>
      <c r="C12" s="911" t="s">
        <v>1772</v>
      </c>
      <c r="D12" s="896"/>
      <c r="E12" s="910"/>
      <c r="F12" s="1242"/>
      <c r="G12" s="1242"/>
      <c r="I12" s="679"/>
      <c r="J12" s="679"/>
    </row>
    <row r="13" spans="1:10">
      <c r="A13" s="895"/>
      <c r="B13" s="450"/>
      <c r="C13" s="909"/>
      <c r="D13" s="896"/>
      <c r="E13" s="912"/>
      <c r="F13" s="1242"/>
      <c r="G13" s="1242"/>
      <c r="I13" s="679"/>
      <c r="J13" s="679"/>
    </row>
    <row r="14" spans="1:10">
      <c r="A14" s="895" t="s">
        <v>1773</v>
      </c>
      <c r="B14" s="450"/>
      <c r="C14" s="909" t="s">
        <v>1774</v>
      </c>
      <c r="D14" s="896" t="s">
        <v>574</v>
      </c>
      <c r="E14" s="897">
        <f>CEILING(((4.02*3.42)-(0.475*2.12)-(1.6*2.12))*1.215,1)</f>
        <v>12</v>
      </c>
      <c r="F14" s="1200"/>
      <c r="G14" s="1201"/>
      <c r="I14" s="679"/>
      <c r="J14" s="679"/>
    </row>
    <row r="15" spans="1:10">
      <c r="A15" s="895"/>
      <c r="B15" s="450"/>
      <c r="C15" s="909"/>
      <c r="D15" s="896"/>
      <c r="E15" s="897"/>
      <c r="F15" s="1242"/>
      <c r="G15" s="1242"/>
      <c r="I15" s="679"/>
      <c r="J15" s="679"/>
    </row>
    <row r="16" spans="1:10">
      <c r="A16" s="895"/>
      <c r="B16" s="450"/>
      <c r="C16" s="909" t="s">
        <v>1155</v>
      </c>
      <c r="D16" s="896" t="s">
        <v>574</v>
      </c>
      <c r="E16" s="897">
        <v>1.5</v>
      </c>
      <c r="F16" s="1200"/>
      <c r="G16" s="1201"/>
      <c r="I16" s="679"/>
      <c r="J16" s="679"/>
    </row>
    <row r="17" spans="1:9">
      <c r="A17" s="895"/>
      <c r="B17" s="450"/>
      <c r="C17" s="909"/>
      <c r="D17" s="896"/>
      <c r="E17" s="897"/>
      <c r="F17" s="1242"/>
      <c r="G17" s="1242"/>
      <c r="I17" s="679"/>
    </row>
    <row r="18" spans="1:9">
      <c r="A18" s="708"/>
      <c r="B18" s="899" t="s">
        <v>1065</v>
      </c>
      <c r="C18" s="913" t="s">
        <v>1713</v>
      </c>
      <c r="D18" s="708"/>
      <c r="E18" s="709"/>
      <c r="F18" s="1232"/>
      <c r="G18" s="1242"/>
      <c r="I18" s="679"/>
    </row>
    <row r="19" spans="1:9">
      <c r="A19" s="708"/>
      <c r="B19" s="367"/>
      <c r="C19" s="914"/>
      <c r="D19" s="708"/>
      <c r="E19" s="709"/>
      <c r="F19" s="1232"/>
      <c r="G19" s="1242"/>
      <c r="I19" s="679"/>
    </row>
    <row r="20" spans="1:9" ht="15">
      <c r="A20" s="708" t="s">
        <v>1775</v>
      </c>
      <c r="B20" s="367"/>
      <c r="C20" s="914" t="s">
        <v>1294</v>
      </c>
      <c r="D20" s="708" t="s">
        <v>927</v>
      </c>
      <c r="E20" s="711">
        <v>213</v>
      </c>
      <c r="F20" s="1200"/>
      <c r="G20" s="1201"/>
      <c r="I20" s="679"/>
    </row>
    <row r="21" spans="1:9">
      <c r="A21" s="708"/>
      <c r="B21" s="367"/>
      <c r="C21" s="914"/>
      <c r="D21" s="708"/>
      <c r="E21" s="711"/>
      <c r="F21" s="1232"/>
      <c r="G21" s="1242"/>
      <c r="I21" s="679"/>
    </row>
    <row r="22" spans="1:9" ht="15">
      <c r="A22" s="708" t="s">
        <v>1776</v>
      </c>
      <c r="B22" s="367"/>
      <c r="C22" s="914" t="s">
        <v>1297</v>
      </c>
      <c r="D22" s="708" t="s">
        <v>927</v>
      </c>
      <c r="E22" s="711">
        <v>213</v>
      </c>
      <c r="F22" s="1200"/>
      <c r="G22" s="1201"/>
      <c r="I22" s="679"/>
    </row>
    <row r="23" spans="1:9">
      <c r="A23" s="892"/>
      <c r="B23" s="436"/>
      <c r="C23" s="914"/>
      <c r="D23" s="708"/>
      <c r="E23" s="901"/>
      <c r="F23" s="1290"/>
      <c r="G23" s="1242"/>
      <c r="I23" s="679"/>
    </row>
    <row r="24" spans="1:9" s="290" customFormat="1" ht="25.5">
      <c r="A24" s="748" t="s">
        <v>1777</v>
      </c>
      <c r="B24" s="1031"/>
      <c r="C24" s="667" t="s">
        <v>1778</v>
      </c>
      <c r="D24" s="659" t="s">
        <v>574</v>
      </c>
      <c r="E24" s="754">
        <v>90</v>
      </c>
      <c r="F24" s="1200"/>
      <c r="G24" s="1201"/>
      <c r="H24" s="273" t="s">
        <v>1779</v>
      </c>
      <c r="I24" s="255"/>
    </row>
    <row r="25" spans="1:9" s="290" customFormat="1">
      <c r="A25" s="748"/>
      <c r="B25" s="539"/>
      <c r="C25" s="667"/>
      <c r="D25" s="659"/>
      <c r="E25" s="754"/>
      <c r="F25" s="1265"/>
      <c r="G25" s="1194"/>
      <c r="H25" s="273"/>
      <c r="I25" s="255"/>
    </row>
    <row r="26" spans="1:9" s="290" customFormat="1">
      <c r="A26" s="336" t="s">
        <v>1780</v>
      </c>
      <c r="B26" s="324" t="s">
        <v>844</v>
      </c>
      <c r="C26" s="325" t="s">
        <v>845</v>
      </c>
      <c r="D26" s="659" t="s">
        <v>846</v>
      </c>
      <c r="E26" s="754">
        <v>250</v>
      </c>
      <c r="F26" s="1200"/>
      <c r="G26" s="1201"/>
      <c r="H26" s="353"/>
      <c r="I26" s="255"/>
    </row>
    <row r="27" spans="1:9" s="290" customFormat="1">
      <c r="A27" s="1156"/>
      <c r="B27" s="324"/>
      <c r="C27" s="325"/>
      <c r="D27" s="659"/>
      <c r="E27" s="754"/>
      <c r="F27" s="1265"/>
      <c r="G27" s="1194"/>
      <c r="H27" s="353"/>
      <c r="I27" s="255"/>
    </row>
    <row r="28" spans="1:9" s="249" customFormat="1">
      <c r="A28" s="416" t="s">
        <v>1781</v>
      </c>
      <c r="B28" s="492" t="s">
        <v>953</v>
      </c>
      <c r="C28" s="915" t="s">
        <v>1092</v>
      </c>
      <c r="D28" s="283"/>
      <c r="E28" s="362"/>
      <c r="F28" s="1229"/>
      <c r="G28" s="1301"/>
      <c r="H28" s="256"/>
    </row>
    <row r="29" spans="1:9">
      <c r="A29" s="892"/>
      <c r="B29" s="366"/>
      <c r="C29" s="914"/>
      <c r="D29" s="708"/>
      <c r="E29" s="709"/>
      <c r="F29" s="1232"/>
      <c r="G29" s="1242"/>
      <c r="I29" s="679"/>
    </row>
    <row r="30" spans="1:9">
      <c r="A30" s="892"/>
      <c r="B30" s="366">
        <v>8.1999999999999993</v>
      </c>
      <c r="C30" s="916" t="s">
        <v>955</v>
      </c>
      <c r="D30" s="708"/>
      <c r="E30" s="709"/>
      <c r="F30" s="1232"/>
      <c r="G30" s="1242"/>
      <c r="I30" s="679"/>
    </row>
    <row r="31" spans="1:9">
      <c r="A31" s="892"/>
      <c r="B31" s="366"/>
      <c r="C31" s="917"/>
      <c r="D31" s="708"/>
      <c r="E31" s="709"/>
      <c r="F31" s="1232"/>
      <c r="G31" s="1242"/>
      <c r="I31" s="679"/>
    </row>
    <row r="32" spans="1:9">
      <c r="A32" s="918"/>
      <c r="B32" s="540" t="s">
        <v>815</v>
      </c>
      <c r="C32" s="913" t="s">
        <v>1782</v>
      </c>
      <c r="D32" s="895"/>
      <c r="E32" s="910"/>
      <c r="F32" s="1282"/>
      <c r="G32" s="1282"/>
      <c r="I32" s="679"/>
    </row>
    <row r="33" spans="1:7">
      <c r="A33" s="918"/>
      <c r="B33" s="540"/>
      <c r="C33" s="919"/>
      <c r="D33" s="895"/>
      <c r="E33" s="910"/>
      <c r="F33" s="1282"/>
      <c r="G33" s="1282"/>
    </row>
    <row r="34" spans="1:7">
      <c r="A34" s="918"/>
      <c r="B34" s="540"/>
      <c r="C34" s="920" t="s">
        <v>1094</v>
      </c>
      <c r="D34" s="895"/>
      <c r="E34" s="910"/>
      <c r="F34" s="1282"/>
      <c r="G34" s="1282"/>
    </row>
    <row r="35" spans="1:7">
      <c r="A35" s="918"/>
      <c r="B35" s="540"/>
      <c r="C35" s="917"/>
      <c r="D35" s="895"/>
      <c r="E35" s="910"/>
      <c r="F35" s="1282"/>
      <c r="G35" s="1282"/>
    </row>
    <row r="36" spans="1:7">
      <c r="A36" s="918" t="s">
        <v>1783</v>
      </c>
      <c r="B36" s="460"/>
      <c r="C36" s="921" t="s">
        <v>1784</v>
      </c>
      <c r="D36" s="895" t="s">
        <v>825</v>
      </c>
      <c r="E36" s="897">
        <f>(3.42+4.02+1.6+2.12+0.475+2.12)*2*0.25</f>
        <v>6.8774999999999995</v>
      </c>
      <c r="F36" s="1282"/>
      <c r="G36" s="1242"/>
    </row>
    <row r="37" spans="1:7">
      <c r="A37" s="918"/>
      <c r="B37" s="460"/>
      <c r="C37" s="921"/>
      <c r="D37" s="895"/>
      <c r="E37" s="897"/>
      <c r="F37" s="1232"/>
      <c r="G37" s="1242"/>
    </row>
    <row r="38" spans="1:7">
      <c r="A38" s="892"/>
      <c r="B38" s="366" t="s">
        <v>994</v>
      </c>
      <c r="C38" s="913" t="s">
        <v>1093</v>
      </c>
      <c r="D38" s="708"/>
      <c r="E38" s="709"/>
      <c r="F38" s="1232"/>
      <c r="G38" s="1242"/>
    </row>
    <row r="39" spans="1:7">
      <c r="A39" s="892"/>
      <c r="B39" s="366"/>
      <c r="C39" s="917"/>
      <c r="D39" s="708"/>
      <c r="E39" s="709"/>
      <c r="F39" s="1232"/>
      <c r="G39" s="1242"/>
    </row>
    <row r="40" spans="1:7">
      <c r="A40" s="918"/>
      <c r="B40" s="540"/>
      <c r="C40" s="920" t="s">
        <v>1094</v>
      </c>
      <c r="D40" s="895"/>
      <c r="E40" s="910"/>
      <c r="F40" s="1282"/>
      <c r="G40" s="1282"/>
    </row>
    <row r="41" spans="1:7">
      <c r="A41" s="918"/>
      <c r="B41" s="540"/>
      <c r="C41" s="917"/>
      <c r="D41" s="895"/>
      <c r="E41" s="910"/>
      <c r="F41" s="1282"/>
      <c r="G41" s="1282"/>
    </row>
    <row r="42" spans="1:7">
      <c r="A42" s="918" t="s">
        <v>1785</v>
      </c>
      <c r="B42" s="460"/>
      <c r="C42" s="921" t="s">
        <v>1786</v>
      </c>
      <c r="D42" s="895" t="s">
        <v>825</v>
      </c>
      <c r="E42" s="897">
        <f>(3.42+4.02+1.6+2.12+0.475+2.12)*2*0.25</f>
        <v>6.8774999999999995</v>
      </c>
      <c r="F42" s="1282"/>
      <c r="G42" s="1242"/>
    </row>
    <row r="43" spans="1:7">
      <c r="A43" s="918"/>
      <c r="B43" s="460"/>
      <c r="C43" s="921"/>
      <c r="D43" s="895"/>
      <c r="E43" s="897"/>
      <c r="F43" s="1282"/>
      <c r="G43" s="1242"/>
    </row>
    <row r="44" spans="1:7">
      <c r="A44" s="918" t="s">
        <v>1787</v>
      </c>
      <c r="B44" s="460"/>
      <c r="C44" s="921" t="s">
        <v>1788</v>
      </c>
      <c r="D44" s="895" t="s">
        <v>825</v>
      </c>
      <c r="E44" s="897">
        <v>2</v>
      </c>
      <c r="F44" s="1282"/>
      <c r="G44" s="1242"/>
    </row>
    <row r="45" spans="1:7">
      <c r="A45" s="918"/>
      <c r="B45" s="460"/>
      <c r="C45" s="921"/>
      <c r="D45" s="895"/>
      <c r="E45" s="897"/>
      <c r="F45" s="1232"/>
      <c r="G45" s="1242"/>
    </row>
    <row r="46" spans="1:7">
      <c r="A46" s="922"/>
      <c r="B46" s="366"/>
      <c r="C46" s="920" t="s">
        <v>1506</v>
      </c>
      <c r="D46" s="708"/>
      <c r="E46" s="709"/>
      <c r="F46" s="1232"/>
      <c r="G46" s="1242"/>
    </row>
    <row r="47" spans="1:7">
      <c r="A47" s="918"/>
      <c r="B47" s="460"/>
      <c r="C47" s="921"/>
      <c r="D47" s="895"/>
      <c r="E47" s="910"/>
      <c r="F47" s="1232"/>
      <c r="G47" s="1242"/>
    </row>
    <row r="48" spans="1:7" ht="15">
      <c r="A48" s="918" t="s">
        <v>1789</v>
      </c>
      <c r="B48" s="460"/>
      <c r="C48" s="921" t="s">
        <v>1790</v>
      </c>
      <c r="D48" s="708" t="s">
        <v>967</v>
      </c>
      <c r="E48" s="897">
        <f>4.6*4</f>
        <v>18.399999999999999</v>
      </c>
      <c r="F48" s="1232"/>
      <c r="G48" s="1242"/>
    </row>
    <row r="49" spans="1:8">
      <c r="A49" s="918"/>
      <c r="B49" s="460"/>
      <c r="C49" s="921"/>
      <c r="D49" s="895"/>
      <c r="E49" s="910"/>
      <c r="F49" s="1232"/>
      <c r="G49" s="1242"/>
    </row>
    <row r="50" spans="1:8" s="245" customFormat="1">
      <c r="A50" s="361"/>
      <c r="B50" s="492" t="s">
        <v>1442</v>
      </c>
      <c r="C50" s="359" t="s">
        <v>958</v>
      </c>
      <c r="D50" s="283"/>
      <c r="E50" s="362"/>
      <c r="F50" s="1301"/>
      <c r="G50" s="1229"/>
      <c r="H50" s="247"/>
    </row>
    <row r="51" spans="1:8" s="245" customFormat="1">
      <c r="A51" s="361"/>
      <c r="B51" s="492"/>
      <c r="C51" s="359"/>
      <c r="D51" s="283"/>
      <c r="E51" s="362"/>
      <c r="F51" s="1301"/>
      <c r="G51" s="1229"/>
      <c r="H51" s="247"/>
    </row>
    <row r="52" spans="1:8">
      <c r="A52" s="923" t="s">
        <v>1791</v>
      </c>
      <c r="B52" s="540"/>
      <c r="C52" s="924" t="s">
        <v>960</v>
      </c>
      <c r="D52" s="535" t="s">
        <v>961</v>
      </c>
      <c r="E52" s="925">
        <v>0.21</v>
      </c>
      <c r="F52" s="1200"/>
      <c r="G52" s="1201"/>
      <c r="H52" s="273" t="s">
        <v>1792</v>
      </c>
    </row>
    <row r="53" spans="1:8">
      <c r="A53" s="361"/>
      <c r="B53" s="540"/>
      <c r="C53" s="924"/>
      <c r="D53" s="535"/>
      <c r="E53" s="709"/>
      <c r="F53" s="1242"/>
      <c r="G53" s="1232"/>
      <c r="H53" s="273"/>
    </row>
    <row r="54" spans="1:8">
      <c r="A54" s="923" t="s">
        <v>1793</v>
      </c>
      <c r="B54" s="540"/>
      <c r="C54" s="924" t="s">
        <v>963</v>
      </c>
      <c r="D54" s="535" t="s">
        <v>961</v>
      </c>
      <c r="E54" s="925">
        <f>E52*0.3</f>
        <v>6.3E-2</v>
      </c>
      <c r="F54" s="1200"/>
      <c r="G54" s="1201"/>
      <c r="H54" s="273"/>
    </row>
    <row r="55" spans="1:8">
      <c r="A55" s="923"/>
      <c r="B55" s="540"/>
      <c r="C55" s="924"/>
      <c r="D55" s="708"/>
      <c r="E55" s="709"/>
      <c r="F55" s="1242"/>
      <c r="G55" s="1232"/>
      <c r="H55" s="273"/>
    </row>
    <row r="56" spans="1:8">
      <c r="A56" s="923"/>
      <c r="B56" s="540"/>
      <c r="C56" s="363" t="s">
        <v>964</v>
      </c>
      <c r="D56" s="708"/>
      <c r="E56" s="709"/>
      <c r="F56" s="1242"/>
      <c r="G56" s="1242"/>
    </row>
    <row r="57" spans="1:8">
      <c r="A57" s="923"/>
      <c r="B57" s="540"/>
      <c r="C57" s="363"/>
      <c r="D57" s="708"/>
      <c r="E57" s="709"/>
      <c r="F57" s="1242"/>
      <c r="G57" s="1242"/>
    </row>
    <row r="58" spans="1:8" ht="15">
      <c r="A58" s="923" t="s">
        <v>1794</v>
      </c>
      <c r="B58" s="540"/>
      <c r="C58" s="919" t="s">
        <v>1795</v>
      </c>
      <c r="D58" s="708" t="s">
        <v>967</v>
      </c>
      <c r="E58" s="711">
        <f>CEILING(((0.21+0.27+0.475)+(1.6+0.21+0.27))*(2.12+0.21+0.21),1)</f>
        <v>8</v>
      </c>
      <c r="F58" s="1200"/>
      <c r="G58" s="1201"/>
    </row>
    <row r="59" spans="1:8">
      <c r="A59" s="923"/>
      <c r="B59" s="540"/>
      <c r="C59" s="919"/>
      <c r="D59" s="708"/>
      <c r="E59" s="711"/>
      <c r="F59" s="1242"/>
      <c r="G59" s="1242"/>
    </row>
    <row r="60" spans="1:8" ht="15">
      <c r="A60" s="923" t="s">
        <v>1796</v>
      </c>
      <c r="B60" s="540"/>
      <c r="C60" s="926" t="s">
        <v>1797</v>
      </c>
      <c r="D60" s="708" t="s">
        <v>967</v>
      </c>
      <c r="E60" s="711">
        <v>23</v>
      </c>
      <c r="F60" s="1200"/>
      <c r="G60" s="1201"/>
      <c r="H60" s="273" t="s">
        <v>1798</v>
      </c>
    </row>
    <row r="61" spans="1:8">
      <c r="A61" s="923"/>
      <c r="B61" s="540"/>
      <c r="C61" s="926"/>
      <c r="D61" s="708"/>
      <c r="E61" s="711"/>
      <c r="F61" s="1242"/>
      <c r="G61" s="1242"/>
    </row>
    <row r="62" spans="1:8">
      <c r="A62" s="708"/>
      <c r="B62" s="366" t="s">
        <v>1799</v>
      </c>
      <c r="C62" s="1105" t="s">
        <v>968</v>
      </c>
      <c r="D62" s="708"/>
      <c r="E62" s="709"/>
      <c r="F62" s="1232"/>
      <c r="G62" s="1282"/>
    </row>
    <row r="63" spans="1:8">
      <c r="A63" s="708"/>
      <c r="B63" s="366"/>
      <c r="C63" s="914"/>
      <c r="D63" s="708"/>
      <c r="E63" s="709"/>
      <c r="F63" s="1232"/>
      <c r="G63" s="1282"/>
    </row>
    <row r="64" spans="1:8">
      <c r="A64" s="708"/>
      <c r="B64" s="366" t="s">
        <v>441</v>
      </c>
      <c r="C64" s="927" t="s">
        <v>1800</v>
      </c>
      <c r="D64" s="708"/>
      <c r="E64" s="709"/>
      <c r="F64" s="1232"/>
      <c r="G64" s="1282"/>
    </row>
    <row r="65" spans="1:8">
      <c r="A65" s="708"/>
      <c r="B65" s="366"/>
      <c r="C65" s="928"/>
      <c r="D65" s="708"/>
      <c r="E65" s="709"/>
      <c r="F65" s="1232"/>
      <c r="G65" s="1242"/>
    </row>
    <row r="66" spans="1:8" ht="15">
      <c r="A66" s="923" t="s">
        <v>1801</v>
      </c>
      <c r="B66" s="366"/>
      <c r="C66" s="929" t="s">
        <v>1802</v>
      </c>
      <c r="D66" s="708" t="s">
        <v>967</v>
      </c>
      <c r="E66" s="711">
        <v>12</v>
      </c>
      <c r="F66" s="1232"/>
      <c r="G66" s="1242"/>
      <c r="H66" s="255" t="s">
        <v>1803</v>
      </c>
    </row>
    <row r="67" spans="1:8">
      <c r="A67" s="923"/>
      <c r="B67" s="366"/>
      <c r="C67" s="929"/>
      <c r="D67" s="708"/>
      <c r="E67" s="711"/>
      <c r="F67" s="1232"/>
      <c r="G67" s="1242"/>
    </row>
    <row r="68" spans="1:8">
      <c r="A68" s="708"/>
      <c r="B68" s="366"/>
      <c r="C68" s="927" t="s">
        <v>1804</v>
      </c>
      <c r="D68" s="708"/>
      <c r="E68" s="930"/>
      <c r="F68" s="1232"/>
      <c r="G68" s="1282"/>
    </row>
    <row r="69" spans="1:8">
      <c r="A69" s="708"/>
      <c r="B69" s="367"/>
      <c r="C69" s="281"/>
      <c r="D69" s="708"/>
      <c r="E69" s="930"/>
      <c r="F69" s="1232"/>
      <c r="G69" s="1242"/>
    </row>
    <row r="70" spans="1:8" s="249" customFormat="1" ht="15">
      <c r="A70" s="708" t="s">
        <v>1805</v>
      </c>
      <c r="B70" s="367"/>
      <c r="C70" s="924" t="s">
        <v>1806</v>
      </c>
      <c r="D70" s="708" t="s">
        <v>927</v>
      </c>
      <c r="E70" s="711">
        <f>CEILING(((4.02*3.42)-(0.475*2.12)-(1.6*2.12)),1)</f>
        <v>10</v>
      </c>
      <c r="F70" s="1232"/>
      <c r="G70" s="1242"/>
      <c r="H70" s="256"/>
    </row>
    <row r="71" spans="1:8">
      <c r="A71" s="708"/>
      <c r="B71" s="367"/>
      <c r="C71" s="924"/>
      <c r="D71" s="708"/>
      <c r="E71" s="930"/>
      <c r="F71" s="1232"/>
      <c r="G71" s="1242"/>
    </row>
    <row r="72" spans="1:8" ht="15">
      <c r="A72" s="708" t="s">
        <v>1807</v>
      </c>
      <c r="B72" s="367"/>
      <c r="C72" s="924" t="s">
        <v>1808</v>
      </c>
      <c r="D72" s="708" t="s">
        <v>927</v>
      </c>
      <c r="E72" s="711">
        <v>10</v>
      </c>
      <c r="F72" s="1232"/>
      <c r="G72" s="1242"/>
    </row>
    <row r="73" spans="1:8">
      <c r="A73" s="708"/>
      <c r="B73" s="367"/>
      <c r="C73" s="281"/>
      <c r="D73" s="708"/>
      <c r="E73" s="711"/>
      <c r="F73" s="1232"/>
      <c r="G73" s="1242"/>
    </row>
    <row r="74" spans="1:8" ht="15">
      <c r="A74" s="708" t="s">
        <v>1809</v>
      </c>
      <c r="B74" s="367"/>
      <c r="C74" s="929" t="s">
        <v>1810</v>
      </c>
      <c r="D74" s="708" t="s">
        <v>927</v>
      </c>
      <c r="E74" s="711">
        <v>2</v>
      </c>
      <c r="F74" s="1232"/>
      <c r="G74" s="1242"/>
    </row>
    <row r="75" spans="1:8">
      <c r="A75" s="708"/>
      <c r="B75" s="367"/>
      <c r="C75" s="929"/>
      <c r="D75" s="708"/>
      <c r="E75" s="711"/>
      <c r="F75" s="1232"/>
      <c r="G75" s="1242"/>
    </row>
    <row r="76" spans="1:8">
      <c r="A76" s="708"/>
      <c r="B76" s="366" t="s">
        <v>1811</v>
      </c>
      <c r="C76" s="932" t="s">
        <v>1812</v>
      </c>
      <c r="D76" s="708"/>
      <c r="E76" s="709"/>
      <c r="F76" s="1232"/>
      <c r="G76" s="1282"/>
    </row>
    <row r="77" spans="1:8">
      <c r="A77" s="708"/>
      <c r="B77" s="367"/>
      <c r="C77" s="281"/>
      <c r="D77" s="708"/>
      <c r="E77" s="709"/>
      <c r="F77" s="1232"/>
      <c r="G77" s="1282"/>
    </row>
    <row r="78" spans="1:8" ht="15">
      <c r="A78" s="708" t="s">
        <v>1813</v>
      </c>
      <c r="B78" s="367"/>
      <c r="C78" s="929" t="s">
        <v>1814</v>
      </c>
      <c r="D78" s="708" t="s">
        <v>967</v>
      </c>
      <c r="E78" s="711">
        <f>CEILING(17.2+7,1)</f>
        <v>25</v>
      </c>
      <c r="F78" s="1200"/>
      <c r="G78" s="1201"/>
    </row>
    <row r="79" spans="1:8">
      <c r="A79" s="708"/>
      <c r="B79" s="367"/>
      <c r="C79" s="929"/>
      <c r="D79" s="708"/>
      <c r="E79" s="711"/>
      <c r="F79" s="1200"/>
      <c r="G79" s="1201"/>
    </row>
    <row r="80" spans="1:8">
      <c r="A80" s="708"/>
      <c r="B80" s="367"/>
      <c r="C80" s="929"/>
      <c r="D80" s="708"/>
      <c r="E80" s="711"/>
      <c r="F80" s="1200"/>
      <c r="G80" s="1201"/>
    </row>
    <row r="81" spans="1:8">
      <c r="A81" s="708"/>
      <c r="B81" s="367"/>
      <c r="C81" s="929"/>
      <c r="D81" s="708"/>
      <c r="E81" s="711"/>
      <c r="F81" s="1200"/>
      <c r="G81" s="1201"/>
    </row>
    <row r="82" spans="1:8">
      <c r="A82" s="1570" t="s">
        <v>96</v>
      </c>
      <c r="B82" s="1571"/>
      <c r="C82" s="1571"/>
      <c r="D82" s="1571"/>
      <c r="E82" s="1571"/>
      <c r="F82" s="1514"/>
      <c r="G82" s="1514"/>
    </row>
    <row r="83" spans="1:8">
      <c r="A83" s="1572"/>
      <c r="B83" s="1573"/>
      <c r="C83" s="1573"/>
      <c r="D83" s="1573"/>
      <c r="E83" s="1573"/>
      <c r="F83" s="1514"/>
      <c r="G83" s="1514"/>
    </row>
    <row r="84" spans="1:8">
      <c r="A84" s="708"/>
      <c r="B84" s="366"/>
      <c r="C84" s="929"/>
      <c r="D84" s="708"/>
      <c r="E84" s="930"/>
      <c r="F84" s="1232"/>
      <c r="G84" s="1282"/>
    </row>
    <row r="85" spans="1:8">
      <c r="A85" s="708"/>
      <c r="B85" s="367"/>
      <c r="C85" s="929"/>
      <c r="D85" s="708"/>
      <c r="E85" s="709"/>
      <c r="F85" s="1232"/>
      <c r="G85" s="1282"/>
    </row>
    <row r="86" spans="1:8">
      <c r="A86" s="708"/>
      <c r="B86" s="446" t="s">
        <v>1815</v>
      </c>
      <c r="C86" s="933" t="s">
        <v>763</v>
      </c>
      <c r="D86" s="708"/>
      <c r="E86" s="709"/>
      <c r="F86" s="1232"/>
      <c r="G86" s="1282"/>
    </row>
    <row r="87" spans="1:8">
      <c r="A87" s="708"/>
      <c r="B87" s="446"/>
      <c r="C87" s="934"/>
      <c r="D87" s="708"/>
      <c r="E87" s="709"/>
      <c r="F87" s="1232"/>
      <c r="G87" s="1282"/>
    </row>
    <row r="88" spans="1:8">
      <c r="A88" s="708"/>
      <c r="B88" s="446" t="s">
        <v>1816</v>
      </c>
      <c r="C88" s="911" t="s">
        <v>978</v>
      </c>
      <c r="D88" s="708"/>
      <c r="E88" s="709"/>
      <c r="F88" s="1232"/>
      <c r="G88" s="1282"/>
    </row>
    <row r="89" spans="1:8">
      <c r="A89" s="708"/>
      <c r="B89" s="446"/>
      <c r="C89" s="909"/>
      <c r="D89" s="708"/>
      <c r="E89" s="709"/>
      <c r="F89" s="1232"/>
      <c r="G89" s="1282"/>
    </row>
    <row r="90" spans="1:8" s="249" customFormat="1" ht="42.6" customHeight="1">
      <c r="A90" s="283"/>
      <c r="B90" s="935"/>
      <c r="C90" s="933" t="s">
        <v>1817</v>
      </c>
      <c r="D90" s="283"/>
      <c r="E90" s="362"/>
      <c r="F90" s="1229"/>
      <c r="G90" s="1230"/>
      <c r="H90" s="256"/>
    </row>
    <row r="91" spans="1:8">
      <c r="A91" s="708"/>
      <c r="B91" s="367"/>
      <c r="C91" s="929"/>
      <c r="D91" s="708"/>
      <c r="E91" s="936"/>
      <c r="F91" s="1232"/>
      <c r="G91" s="1282"/>
    </row>
    <row r="92" spans="1:8">
      <c r="A92" s="708" t="s">
        <v>1818</v>
      </c>
      <c r="B92" s="367"/>
      <c r="C92" s="909" t="s">
        <v>1819</v>
      </c>
      <c r="D92" s="708" t="s">
        <v>818</v>
      </c>
      <c r="E92" s="711">
        <f>((0.8^2)+(0.8^2))^0.5</f>
        <v>1.1313708498984762</v>
      </c>
      <c r="F92" s="1200"/>
      <c r="G92" s="1201"/>
      <c r="H92" s="273"/>
    </row>
    <row r="93" spans="1:8">
      <c r="A93" s="708"/>
      <c r="B93" s="367"/>
      <c r="C93" s="909"/>
      <c r="D93" s="708"/>
      <c r="E93" s="711"/>
      <c r="F93" s="1232"/>
      <c r="G93" s="1242"/>
    </row>
    <row r="94" spans="1:8">
      <c r="A94" s="708" t="s">
        <v>1820</v>
      </c>
      <c r="B94" s="367"/>
      <c r="C94" s="926" t="s">
        <v>1821</v>
      </c>
      <c r="D94" s="708" t="s">
        <v>818</v>
      </c>
      <c r="E94" s="711">
        <f>_xlfn.CEILING.MATH((((0.21+0.27+0.475+0.27+1.6+0.21)*2)+(2.54*4))+((3.6+3)*2)+(10),1)</f>
        <v>40</v>
      </c>
      <c r="F94" s="1200"/>
      <c r="G94" s="1201"/>
    </row>
    <row r="95" spans="1:8">
      <c r="A95" s="708"/>
      <c r="B95" s="367"/>
      <c r="C95" s="929"/>
      <c r="D95" s="708"/>
      <c r="E95" s="709"/>
      <c r="F95" s="1232"/>
      <c r="G95" s="1282"/>
    </row>
    <row r="96" spans="1:8">
      <c r="A96" s="708"/>
      <c r="B96" s="367" t="s">
        <v>1822</v>
      </c>
      <c r="C96" s="911" t="s">
        <v>983</v>
      </c>
      <c r="D96" s="708"/>
      <c r="E96" s="709"/>
      <c r="F96" s="1232"/>
      <c r="G96" s="1282"/>
    </row>
    <row r="97" spans="1:8">
      <c r="A97" s="708"/>
      <c r="B97" s="367"/>
      <c r="C97" s="909"/>
      <c r="D97" s="708"/>
      <c r="E97" s="709"/>
      <c r="F97" s="1232"/>
      <c r="G97" s="1282"/>
    </row>
    <row r="98" spans="1:8" ht="38.25">
      <c r="A98" s="708"/>
      <c r="B98" s="367"/>
      <c r="C98" s="911" t="s">
        <v>984</v>
      </c>
      <c r="D98" s="708"/>
      <c r="E98" s="709"/>
      <c r="F98" s="1232"/>
      <c r="G98" s="1282"/>
    </row>
    <row r="99" spans="1:8">
      <c r="A99" s="708"/>
      <c r="B99" s="367"/>
      <c r="C99" s="929"/>
      <c r="D99" s="708"/>
      <c r="E99" s="709"/>
      <c r="F99" s="1232"/>
      <c r="G99" s="1282"/>
    </row>
    <row r="100" spans="1:8">
      <c r="A100" s="708" t="s">
        <v>1823</v>
      </c>
      <c r="B100" s="367"/>
      <c r="C100" s="926" t="s">
        <v>1824</v>
      </c>
      <c r="D100" s="708" t="s">
        <v>818</v>
      </c>
      <c r="E100" s="711">
        <f>(((0.21+0.27+0.475+0.27+1.6+0.21)*2)+(2.54*4))+((3.6+3)*2+(10))</f>
        <v>39.43</v>
      </c>
      <c r="F100" s="1200"/>
      <c r="G100" s="1201"/>
    </row>
    <row r="101" spans="1:8">
      <c r="A101" s="708"/>
      <c r="B101" s="367"/>
      <c r="C101" s="926"/>
      <c r="D101" s="708"/>
      <c r="E101" s="711"/>
      <c r="F101" s="1232"/>
      <c r="G101" s="1242"/>
    </row>
    <row r="102" spans="1:8">
      <c r="A102" s="708"/>
      <c r="B102" s="541" t="s">
        <v>1825</v>
      </c>
      <c r="C102" s="282" t="s">
        <v>1826</v>
      </c>
      <c r="D102" s="708"/>
      <c r="E102" s="711"/>
      <c r="F102" s="1232"/>
      <c r="G102" s="1242"/>
    </row>
    <row r="103" spans="1:8">
      <c r="A103" s="708"/>
      <c r="B103" s="541"/>
      <c r="C103" s="282"/>
      <c r="D103" s="937"/>
      <c r="E103" s="711"/>
      <c r="F103" s="1238"/>
      <c r="G103" s="1242"/>
    </row>
    <row r="104" spans="1:8" s="249" customFormat="1">
      <c r="A104" s="283">
        <v>7.3</v>
      </c>
      <c r="B104" s="418" t="s">
        <v>1827</v>
      </c>
      <c r="C104" s="359" t="s">
        <v>1828</v>
      </c>
      <c r="D104" s="364"/>
      <c r="E104" s="938"/>
      <c r="F104" s="1254"/>
      <c r="G104" s="1230"/>
      <c r="H104" s="256"/>
    </row>
    <row r="105" spans="1:8">
      <c r="A105" s="416"/>
      <c r="B105" s="366"/>
      <c r="C105" s="914"/>
      <c r="D105" s="742"/>
      <c r="E105" s="709"/>
      <c r="F105" s="1232"/>
      <c r="G105" s="1287"/>
    </row>
    <row r="106" spans="1:8">
      <c r="A106" s="939"/>
      <c r="B106" s="367"/>
      <c r="C106" s="916" t="s">
        <v>1829</v>
      </c>
      <c r="D106" s="742"/>
      <c r="E106" s="709"/>
      <c r="F106" s="1238"/>
      <c r="G106" s="1282"/>
    </row>
    <row r="107" spans="1:8" ht="9.75" customHeight="1">
      <c r="A107" s="939"/>
      <c r="B107" s="367"/>
      <c r="C107" s="929"/>
      <c r="D107" s="742"/>
      <c r="E107" s="709"/>
      <c r="F107" s="1238"/>
      <c r="G107" s="1282"/>
    </row>
    <row r="108" spans="1:8" ht="25.5">
      <c r="A108" s="939"/>
      <c r="B108" s="367"/>
      <c r="C108" s="927" t="s">
        <v>1830</v>
      </c>
      <c r="D108" s="742"/>
      <c r="E108" s="709"/>
      <c r="F108" s="1238"/>
      <c r="G108" s="1282"/>
    </row>
    <row r="109" spans="1:8">
      <c r="A109" s="708"/>
      <c r="B109" s="541"/>
      <c r="C109" s="710"/>
      <c r="D109" s="895"/>
      <c r="E109" s="711"/>
      <c r="F109" s="1232"/>
      <c r="G109" s="1242"/>
    </row>
    <row r="110" spans="1:8" ht="24" customHeight="1">
      <c r="A110" s="892" t="s">
        <v>1831</v>
      </c>
      <c r="B110" s="380" t="s">
        <v>1832</v>
      </c>
      <c r="C110" s="893" t="s">
        <v>1833</v>
      </c>
      <c r="D110" s="742" t="s">
        <v>70</v>
      </c>
      <c r="E110" s="711">
        <v>1</v>
      </c>
      <c r="F110" s="1200"/>
      <c r="G110" s="1201"/>
    </row>
    <row r="111" spans="1:8" ht="12.75" customHeight="1">
      <c r="A111" s="892"/>
      <c r="B111" s="380"/>
      <c r="C111" s="893"/>
      <c r="D111" s="742"/>
      <c r="E111" s="711"/>
      <c r="F111" s="1238"/>
      <c r="G111" s="1242"/>
    </row>
    <row r="112" spans="1:8" ht="12.75" customHeight="1">
      <c r="A112" s="892" t="s">
        <v>1834</v>
      </c>
      <c r="B112" s="380" t="s">
        <v>1835</v>
      </c>
      <c r="C112" s="893" t="s">
        <v>1836</v>
      </c>
      <c r="D112" s="742" t="s">
        <v>70</v>
      </c>
      <c r="E112" s="711">
        <v>1</v>
      </c>
      <c r="F112" s="1200"/>
      <c r="G112" s="1201"/>
    </row>
    <row r="113" spans="1:8">
      <c r="A113" s="708"/>
      <c r="B113" s="380"/>
      <c r="C113" s="893"/>
      <c r="D113" s="742"/>
      <c r="E113" s="711"/>
      <c r="F113" s="1238"/>
      <c r="G113" s="1242"/>
    </row>
    <row r="114" spans="1:8" ht="38.25">
      <c r="A114" s="892" t="s">
        <v>1837</v>
      </c>
      <c r="B114" s="380"/>
      <c r="C114" s="893" t="s">
        <v>1838</v>
      </c>
      <c r="D114" s="742" t="s">
        <v>70</v>
      </c>
      <c r="E114" s="711">
        <v>1</v>
      </c>
      <c r="F114" s="1200"/>
      <c r="G114" s="1201"/>
    </row>
    <row r="115" spans="1:8">
      <c r="A115" s="708"/>
      <c r="B115" s="380"/>
      <c r="C115" s="893"/>
      <c r="D115" s="742"/>
      <c r="E115" s="711"/>
      <c r="F115" s="1238"/>
      <c r="G115" s="1242"/>
    </row>
    <row r="116" spans="1:8">
      <c r="A116" s="892" t="s">
        <v>1839</v>
      </c>
      <c r="B116" s="450"/>
      <c r="C116" s="909" t="s">
        <v>1840</v>
      </c>
      <c r="D116" s="742" t="s">
        <v>1841</v>
      </c>
      <c r="E116" s="711">
        <v>3</v>
      </c>
      <c r="F116" s="1200"/>
      <c r="G116" s="1201"/>
    </row>
    <row r="117" spans="1:8">
      <c r="A117" s="708"/>
      <c r="B117" s="450"/>
      <c r="C117" s="909"/>
      <c r="D117" s="742"/>
      <c r="E117" s="711"/>
      <c r="F117" s="1238"/>
      <c r="G117" s="1282"/>
    </row>
    <row r="118" spans="1:8" ht="38.25">
      <c r="A118" s="892" t="s">
        <v>1842</v>
      </c>
      <c r="B118" s="450"/>
      <c r="C118" s="909" t="s">
        <v>1843</v>
      </c>
      <c r="D118" s="742" t="s">
        <v>1841</v>
      </c>
      <c r="E118" s="711">
        <v>1</v>
      </c>
      <c r="F118" s="1200"/>
      <c r="G118" s="1201"/>
    </row>
    <row r="119" spans="1:8">
      <c r="A119" s="892"/>
      <c r="B119" s="450"/>
      <c r="C119" s="653"/>
      <c r="D119" s="742"/>
      <c r="E119" s="711"/>
      <c r="F119" s="1238"/>
      <c r="G119" s="1242"/>
    </row>
    <row r="120" spans="1:8">
      <c r="A120" s="892" t="s">
        <v>1844</v>
      </c>
      <c r="B120" s="450" t="s">
        <v>1845</v>
      </c>
      <c r="C120" s="653" t="s">
        <v>1846</v>
      </c>
      <c r="D120" s="742" t="s">
        <v>70</v>
      </c>
      <c r="E120" s="711">
        <f>E110+E114</f>
        <v>2</v>
      </c>
      <c r="F120" s="1200"/>
      <c r="G120" s="1201"/>
    </row>
    <row r="121" spans="1:8">
      <c r="A121" s="892"/>
      <c r="B121" s="450"/>
      <c r="C121" s="653"/>
      <c r="D121" s="742"/>
      <c r="E121" s="711"/>
      <c r="F121" s="1238"/>
      <c r="G121" s="1242"/>
    </row>
    <row r="122" spans="1:8">
      <c r="A122" s="708" t="s">
        <v>1847</v>
      </c>
      <c r="B122" s="542" t="s">
        <v>1848</v>
      </c>
      <c r="C122" s="679" t="s">
        <v>1849</v>
      </c>
      <c r="D122" s="708" t="s">
        <v>70</v>
      </c>
      <c r="E122" s="711">
        <f>E116</f>
        <v>3</v>
      </c>
      <c r="F122" s="1200"/>
      <c r="G122" s="1201"/>
    </row>
    <row r="123" spans="1:8">
      <c r="A123" s="708"/>
      <c r="B123" s="366"/>
      <c r="C123" s="940"/>
      <c r="D123" s="708"/>
      <c r="E123" s="709"/>
      <c r="F123" s="1232"/>
      <c r="G123" s="1282"/>
    </row>
    <row r="124" spans="1:8" s="245" customFormat="1" ht="14.25" customHeight="1">
      <c r="A124" s="283">
        <v>7.4</v>
      </c>
      <c r="B124" s="492" t="s">
        <v>1850</v>
      </c>
      <c r="C124" s="941" t="s">
        <v>1851</v>
      </c>
      <c r="D124" s="283"/>
      <c r="E124" s="362"/>
      <c r="F124" s="1229"/>
      <c r="G124" s="1230"/>
      <c r="H124" s="247"/>
    </row>
    <row r="125" spans="1:8">
      <c r="A125" s="923"/>
      <c r="B125" s="540"/>
      <c r="C125" s="942"/>
      <c r="D125" s="923"/>
      <c r="E125" s="709"/>
      <c r="F125" s="1232"/>
      <c r="G125" s="1282"/>
    </row>
    <row r="126" spans="1:8" ht="24.75" customHeight="1">
      <c r="A126" s="708" t="s">
        <v>1852</v>
      </c>
      <c r="B126" s="541" t="s">
        <v>1853</v>
      </c>
      <c r="C126" s="710" t="s">
        <v>1854</v>
      </c>
      <c r="D126" s="895" t="s">
        <v>825</v>
      </c>
      <c r="E126" s="711">
        <f>_xlfn.CEILING.MATH(3.12*2.52,5)</f>
        <v>10</v>
      </c>
      <c r="F126" s="1200"/>
      <c r="G126" s="1201"/>
    </row>
    <row r="127" spans="1:8">
      <c r="A127" s="708"/>
      <c r="B127" s="541"/>
      <c r="C127" s="710"/>
      <c r="D127" s="895"/>
      <c r="E127" s="711"/>
      <c r="F127" s="1232"/>
      <c r="G127" s="1242"/>
    </row>
    <row r="128" spans="1:8">
      <c r="A128" s="283"/>
      <c r="B128" s="492"/>
      <c r="C128" s="282" t="s">
        <v>1855</v>
      </c>
      <c r="D128" s="283"/>
      <c r="E128" s="362"/>
      <c r="F128" s="1229"/>
      <c r="G128" s="1230"/>
    </row>
    <row r="129" spans="1:8">
      <c r="A129" s="283"/>
      <c r="B129" s="492"/>
      <c r="C129" s="282"/>
      <c r="D129" s="283"/>
      <c r="E129" s="362"/>
      <c r="F129" s="1229"/>
      <c r="G129" s="1230"/>
    </row>
    <row r="130" spans="1:8" ht="25.5">
      <c r="A130" s="892" t="s">
        <v>1856</v>
      </c>
      <c r="B130" s="367" t="s">
        <v>1857</v>
      </c>
      <c r="C130" s="710" t="s">
        <v>1858</v>
      </c>
      <c r="D130" s="708" t="s">
        <v>967</v>
      </c>
      <c r="E130" s="711">
        <f>_xlfn.CEILING.MATH(((2.54*2)+(3.6*2))*0.23,5)</f>
        <v>5</v>
      </c>
      <c r="F130" s="1200"/>
      <c r="G130" s="1201"/>
    </row>
    <row r="131" spans="1:8" ht="12.75" customHeight="1">
      <c r="A131" s="939"/>
      <c r="B131" s="367"/>
      <c r="C131" s="929"/>
      <c r="D131" s="708"/>
      <c r="E131" s="711"/>
      <c r="F131" s="1232"/>
      <c r="G131" s="1282"/>
    </row>
    <row r="132" spans="1:8" ht="15">
      <c r="A132" s="939" t="s">
        <v>1859</v>
      </c>
      <c r="B132" s="450" t="s">
        <v>1860</v>
      </c>
      <c r="C132" s="929" t="s">
        <v>1861</v>
      </c>
      <c r="D132" s="708" t="s">
        <v>967</v>
      </c>
      <c r="E132" s="943">
        <f>_xlfn.CEILING.MATH(2.54*0.115,5)</f>
        <v>5</v>
      </c>
      <c r="F132" s="1200"/>
      <c r="G132" s="1201"/>
    </row>
    <row r="133" spans="1:8">
      <c r="A133" s="708"/>
      <c r="B133" s="366"/>
      <c r="C133" s="281"/>
      <c r="D133" s="937"/>
      <c r="E133" s="709"/>
      <c r="F133" s="1238"/>
      <c r="G133" s="1282"/>
    </row>
    <row r="134" spans="1:8" s="245" customFormat="1">
      <c r="A134" s="416" t="s">
        <v>1862</v>
      </c>
      <c r="B134" s="944"/>
      <c r="C134" s="594" t="s">
        <v>1863</v>
      </c>
      <c r="D134" s="283"/>
      <c r="E134" s="945"/>
      <c r="F134" s="1302"/>
      <c r="G134" s="1230"/>
      <c r="H134" s="247"/>
    </row>
    <row r="135" spans="1:8">
      <c r="A135" s="892"/>
      <c r="B135" s="367"/>
      <c r="C135" s="909"/>
      <c r="D135" s="742"/>
      <c r="E135" s="711"/>
      <c r="F135" s="1303"/>
      <c r="G135" s="1304"/>
    </row>
    <row r="136" spans="1:8">
      <c r="A136" s="892" t="s">
        <v>1864</v>
      </c>
      <c r="B136" s="367"/>
      <c r="C136" s="909" t="s">
        <v>1865</v>
      </c>
      <c r="D136" s="708" t="s">
        <v>70</v>
      </c>
      <c r="E136" s="711">
        <v>1</v>
      </c>
      <c r="F136" s="1200"/>
      <c r="G136" s="1201"/>
    </row>
    <row r="137" spans="1:8">
      <c r="A137" s="892"/>
      <c r="B137" s="367"/>
      <c r="C137" s="909"/>
      <c r="D137" s="708"/>
      <c r="E137" s="711"/>
      <c r="F137" s="1303"/>
      <c r="G137" s="1304"/>
    </row>
    <row r="138" spans="1:8">
      <c r="A138" s="892" t="s">
        <v>1866</v>
      </c>
      <c r="B138" s="367"/>
      <c r="C138" s="909" t="s">
        <v>1867</v>
      </c>
      <c r="D138" s="708" t="s">
        <v>70</v>
      </c>
      <c r="E138" s="711">
        <v>1</v>
      </c>
      <c r="F138" s="1200"/>
      <c r="G138" s="1201"/>
    </row>
    <row r="139" spans="1:8">
      <c r="A139" s="892"/>
      <c r="B139" s="367"/>
      <c r="C139" s="909"/>
      <c r="D139" s="708"/>
      <c r="E139" s="711"/>
      <c r="F139" s="1303"/>
      <c r="G139" s="1304"/>
    </row>
    <row r="140" spans="1:8">
      <c r="A140" s="892"/>
      <c r="B140" s="1157"/>
      <c r="C140" s="946" t="s">
        <v>1868</v>
      </c>
      <c r="D140" s="947"/>
      <c r="E140" s="658"/>
      <c r="F140" s="1194"/>
      <c r="G140" s="1194"/>
    </row>
    <row r="141" spans="1:8">
      <c r="A141" s="892"/>
      <c r="B141" s="1157"/>
      <c r="C141" s="948"/>
      <c r="D141" s="949"/>
      <c r="E141" s="658"/>
      <c r="F141" s="1194"/>
      <c r="G141" s="1194"/>
    </row>
    <row r="142" spans="1:8">
      <c r="A142" s="892" t="s">
        <v>1869</v>
      </c>
      <c r="B142" s="543"/>
      <c r="C142" s="924" t="s">
        <v>1870</v>
      </c>
      <c r="D142" s="949" t="s">
        <v>335</v>
      </c>
      <c r="E142" s="658">
        <v>1</v>
      </c>
      <c r="F142" s="1200"/>
      <c r="G142" s="1201"/>
      <c r="H142" s="255" t="s">
        <v>1871</v>
      </c>
    </row>
    <row r="143" spans="1:8">
      <c r="A143" s="892"/>
      <c r="B143" s="543"/>
      <c r="C143" s="924"/>
      <c r="D143" s="949"/>
      <c r="E143" s="658"/>
      <c r="F143" s="1194"/>
      <c r="G143" s="1194"/>
    </row>
    <row r="144" spans="1:8">
      <c r="A144" s="892"/>
      <c r="B144" s="543"/>
      <c r="C144" s="924"/>
      <c r="D144" s="949"/>
      <c r="E144" s="658"/>
      <c r="F144" s="1194"/>
      <c r="G144" s="1194"/>
    </row>
    <row r="145" spans="1:8">
      <c r="A145" s="892"/>
      <c r="B145" s="543"/>
      <c r="C145" s="924"/>
      <c r="D145" s="949"/>
      <c r="E145" s="658"/>
      <c r="F145" s="1194"/>
      <c r="G145" s="1194"/>
    </row>
    <row r="146" spans="1:8">
      <c r="A146" s="892"/>
      <c r="B146" s="543"/>
      <c r="C146" s="924"/>
      <c r="D146" s="949"/>
      <c r="E146" s="658"/>
      <c r="F146" s="1194"/>
      <c r="G146" s="1194"/>
    </row>
    <row r="147" spans="1:8">
      <c r="A147" s="892"/>
      <c r="B147" s="543"/>
      <c r="C147" s="924"/>
      <c r="D147" s="949"/>
      <c r="E147" s="658"/>
      <c r="F147" s="1194"/>
      <c r="G147" s="1194"/>
    </row>
    <row r="148" spans="1:8">
      <c r="A148" s="892"/>
      <c r="B148" s="543"/>
      <c r="C148" s="924"/>
      <c r="D148" s="949"/>
      <c r="E148" s="658"/>
      <c r="F148" s="1194"/>
      <c r="G148" s="1194"/>
    </row>
    <row r="149" spans="1:8">
      <c r="A149" s="892"/>
      <c r="B149" s="543"/>
      <c r="C149" s="924"/>
      <c r="D149" s="949"/>
      <c r="E149" s="658"/>
      <c r="F149" s="1194"/>
      <c r="G149" s="1194"/>
    </row>
    <row r="150" spans="1:8">
      <c r="A150" s="283"/>
      <c r="B150" s="492"/>
      <c r="C150" s="282"/>
      <c r="D150" s="283"/>
      <c r="E150" s="362"/>
      <c r="F150" s="1229"/>
      <c r="G150" s="1230"/>
    </row>
    <row r="151" spans="1:8">
      <c r="A151" s="283"/>
      <c r="B151" s="492"/>
      <c r="C151" s="282"/>
      <c r="D151" s="283"/>
      <c r="E151" s="362"/>
      <c r="F151" s="1229"/>
      <c r="G151" s="1230"/>
    </row>
    <row r="152" spans="1:8">
      <c r="A152" s="283"/>
      <c r="B152" s="492"/>
      <c r="C152" s="282"/>
      <c r="D152" s="283"/>
      <c r="E152" s="362"/>
      <c r="F152" s="1229"/>
      <c r="G152" s="1230"/>
    </row>
    <row r="153" spans="1:8" ht="15" customHeight="1">
      <c r="A153" s="1539" t="s">
        <v>1872</v>
      </c>
      <c r="B153" s="1540"/>
      <c r="C153" s="1540"/>
      <c r="D153" s="1540"/>
      <c r="E153" s="1540"/>
      <c r="F153" s="1590"/>
      <c r="G153" s="1549"/>
    </row>
    <row r="154" spans="1:8" s="249" customFormat="1">
      <c r="A154" s="1541"/>
      <c r="B154" s="1542"/>
      <c r="C154" s="1542"/>
      <c r="D154" s="1542"/>
      <c r="E154" s="1542"/>
      <c r="F154" s="1591"/>
      <c r="G154" s="1550"/>
      <c r="H154" s="256"/>
    </row>
  </sheetData>
  <sheetProtection algorithmName="SHA-512" hashValue="CnpiEd15CJh+FxldUFdUsF29C2mCbSQMrIEyT4me7ghvGQqNPdJrJ1JqnDOfJo2lQo5am8NYwgByJ3D8LdxqLQ==" saltValue="asnSdFJ3eBAVXxlwUM8lTw==" spinCount="100000" sheet="1" objects="1" scenarios="1"/>
  <mergeCells count="13">
    <mergeCell ref="A1:G1"/>
    <mergeCell ref="G153:G154"/>
    <mergeCell ref="G82:G83"/>
    <mergeCell ref="A153:F154"/>
    <mergeCell ref="F3:F4"/>
    <mergeCell ref="G3:G4"/>
    <mergeCell ref="A3:A4"/>
    <mergeCell ref="B3:B4"/>
    <mergeCell ref="C3:C4"/>
    <mergeCell ref="D3:D4"/>
    <mergeCell ref="E3:E4"/>
    <mergeCell ref="A82:E83"/>
    <mergeCell ref="F82:F83"/>
  </mergeCells>
  <phoneticPr fontId="38" type="noConversion"/>
  <pageMargins left="0.70866141732283472" right="0.70866141732283472" top="0.86614173228346458" bottom="0.78740157480314965" header="0.31496062992125984" footer="0.19685039370078741"/>
  <pageSetup paperSize="9" scale="67" firstPageNumber="74" orientation="portrait" useFirstPageNumber="1" r:id="rId1"/>
  <headerFooter>
    <oddHeader>&amp;L&amp;G&amp;CCONSTRUCTION OF 20ML CARLSWALD RESERVOIR
SCHEDULE OF QUANTITIES&amp;R&amp;G</oddHeader>
    <oddFooter>&amp;C&amp;G
C.&amp;P</oddFooter>
  </headerFooter>
  <rowBreaks count="1" manualBreakCount="1">
    <brk id="83" max="7" man="1"/>
  </rowBreaks>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6F569-C001-49FE-913F-4CAA8CDCA0D8}">
  <dimension ref="A1:F43"/>
  <sheetViews>
    <sheetView view="pageBreakPreview" zoomScale="90" zoomScaleNormal="90" zoomScaleSheetLayoutView="90" workbookViewId="0">
      <selection activeCell="F41" sqref="F41"/>
    </sheetView>
  </sheetViews>
  <sheetFormatPr defaultColWidth="8.85546875" defaultRowHeight="14.25"/>
  <cols>
    <col min="1" max="1" width="7.7109375" style="94" customWidth="1"/>
    <col min="2" max="2" width="18" style="94" customWidth="1"/>
    <col min="3" max="3" width="16.85546875" style="94" customWidth="1"/>
    <col min="4" max="4" width="16.7109375" style="94" customWidth="1"/>
    <col min="5" max="6" width="20.7109375" style="94" customWidth="1"/>
    <col min="7" max="16384" width="8.85546875" style="35"/>
  </cols>
  <sheetData>
    <row r="1" spans="1:6" ht="15">
      <c r="A1" s="75" t="s">
        <v>16</v>
      </c>
      <c r="B1" s="76"/>
      <c r="C1" s="76" t="s">
        <v>17</v>
      </c>
      <c r="D1" s="76"/>
      <c r="E1" s="77"/>
      <c r="F1" s="78"/>
    </row>
    <row r="2" spans="1:6" ht="15">
      <c r="A2" s="79" t="s">
        <v>18</v>
      </c>
      <c r="B2" s="80"/>
      <c r="C2" s="80" t="s">
        <v>19</v>
      </c>
      <c r="D2" s="80"/>
      <c r="E2" s="81"/>
      <c r="F2" s="82"/>
    </row>
    <row r="3" spans="1:6" ht="15.75" thickBot="1">
      <c r="A3" s="83" t="s">
        <v>20</v>
      </c>
      <c r="B3" s="84"/>
      <c r="C3" s="84" t="s">
        <v>21</v>
      </c>
      <c r="D3" s="84"/>
      <c r="E3" s="85"/>
      <c r="F3" s="86"/>
    </row>
    <row r="4" spans="1:6" ht="15.75" thickBot="1">
      <c r="A4" s="87" t="s">
        <v>22</v>
      </c>
      <c r="B4" s="88"/>
      <c r="C4" s="89"/>
      <c r="D4" s="89"/>
      <c r="E4" s="88"/>
      <c r="F4" s="90">
        <v>13214</v>
      </c>
    </row>
    <row r="5" spans="1:6" ht="15">
      <c r="A5" s="91"/>
      <c r="B5" s="91"/>
      <c r="C5" s="91"/>
      <c r="D5" s="91"/>
      <c r="E5" s="91"/>
      <c r="F5" s="91"/>
    </row>
    <row r="6" spans="1:6" ht="15">
      <c r="A6" s="92" t="s">
        <v>23</v>
      </c>
      <c r="B6" s="91"/>
      <c r="C6" s="91"/>
      <c r="D6" s="91"/>
      <c r="E6" s="91"/>
      <c r="F6" s="126"/>
    </row>
    <row r="7" spans="1:6" ht="15">
      <c r="A7" s="91"/>
      <c r="B7" s="91"/>
      <c r="C7" s="91"/>
      <c r="D7" s="91"/>
      <c r="E7" s="91"/>
      <c r="F7" s="91"/>
    </row>
    <row r="8" spans="1:6" ht="15">
      <c r="A8" s="1454" t="s">
        <v>24</v>
      </c>
      <c r="B8" s="1454"/>
      <c r="C8" s="1454"/>
      <c r="D8" s="1454"/>
      <c r="E8" s="91"/>
      <c r="F8" s="91"/>
    </row>
    <row r="9" spans="1:6">
      <c r="A9" s="93" t="s">
        <v>25</v>
      </c>
      <c r="B9" s="1455" t="s">
        <v>26</v>
      </c>
      <c r="C9" s="1455"/>
      <c r="D9" s="1455"/>
    </row>
    <row r="10" spans="1:6" ht="15">
      <c r="A10" s="95" t="s">
        <v>27</v>
      </c>
      <c r="B10" s="96"/>
      <c r="C10" s="97" t="e">
        <f>'Summary Sheet(OLD)'!C18</f>
        <v>#REF!</v>
      </c>
      <c r="D10" s="98" t="s">
        <v>28</v>
      </c>
      <c r="E10" s="91"/>
    </row>
    <row r="11" spans="1:6">
      <c r="A11" s="99" t="s">
        <v>29</v>
      </c>
      <c r="B11" s="100">
        <v>0.1</v>
      </c>
      <c r="C11" s="668"/>
      <c r="D11" s="101"/>
    </row>
    <row r="12" spans="1:6" ht="15">
      <c r="A12" s="1456" t="s">
        <v>30</v>
      </c>
      <c r="B12" s="1457"/>
      <c r="C12" s="102">
        <v>0.8</v>
      </c>
      <c r="D12" s="103"/>
    </row>
    <row r="13" spans="1:6">
      <c r="A13" s="669"/>
      <c r="B13" s="670"/>
      <c r="C13" s="669"/>
      <c r="D13" s="104"/>
    </row>
    <row r="14" spans="1:6" ht="15">
      <c r="A14" s="105" t="s">
        <v>31</v>
      </c>
      <c r="B14" s="106" t="e">
        <f>CEILING((B11*C12*C10),1)</f>
        <v>#REF!</v>
      </c>
      <c r="C14" s="98" t="s">
        <v>28</v>
      </c>
      <c r="D14" s="103"/>
      <c r="E14" s="91"/>
      <c r="F14" s="91"/>
    </row>
    <row r="15" spans="1:6" ht="15">
      <c r="A15" s="91"/>
      <c r="B15" s="91"/>
      <c r="C15" s="91"/>
      <c r="D15" s="91"/>
      <c r="E15" s="91"/>
      <c r="F15" s="91"/>
    </row>
    <row r="16" spans="1:6" ht="15">
      <c r="A16" s="107" t="s">
        <v>32</v>
      </c>
      <c r="B16" s="1458" t="s">
        <v>33</v>
      </c>
      <c r="C16" s="1459"/>
      <c r="D16" s="1459"/>
      <c r="E16" s="108"/>
      <c r="F16" s="107" t="s">
        <v>34</v>
      </c>
    </row>
    <row r="17" spans="1:6" ht="15">
      <c r="A17" s="1458" t="s">
        <v>35</v>
      </c>
      <c r="B17" s="1459"/>
      <c r="C17" s="1459"/>
      <c r="D17" s="1459"/>
      <c r="E17" s="1459"/>
      <c r="F17" s="1460"/>
    </row>
    <row r="18" spans="1:6">
      <c r="A18" s="109">
        <v>1</v>
      </c>
      <c r="B18" s="1461" t="s">
        <v>36</v>
      </c>
      <c r="C18" s="1462"/>
      <c r="D18" s="1462"/>
      <c r="E18" s="110">
        <v>0.05</v>
      </c>
      <c r="F18" s="111" t="e">
        <f t="shared" ref="F18:F23" si="0">CEILING(E18*$B$14,1)</f>
        <v>#REF!</v>
      </c>
    </row>
    <row r="19" spans="1:6">
      <c r="A19" s="109">
        <v>2</v>
      </c>
      <c r="B19" s="1461" t="s">
        <v>37</v>
      </c>
      <c r="C19" s="1462"/>
      <c r="D19" s="1462"/>
      <c r="E19" s="110">
        <v>0.25</v>
      </c>
      <c r="F19" s="111" t="e">
        <f t="shared" si="0"/>
        <v>#REF!</v>
      </c>
    </row>
    <row r="20" spans="1:6">
      <c r="A20" s="109">
        <v>3</v>
      </c>
      <c r="B20" s="1461" t="s">
        <v>38</v>
      </c>
      <c r="C20" s="1462"/>
      <c r="D20" s="1462"/>
      <c r="E20" s="110">
        <v>0.3</v>
      </c>
      <c r="F20" s="111" t="e">
        <f t="shared" si="0"/>
        <v>#REF!</v>
      </c>
    </row>
    <row r="21" spans="1:6">
      <c r="A21" s="109">
        <v>4</v>
      </c>
      <c r="B21" s="1461" t="s">
        <v>39</v>
      </c>
      <c r="C21" s="1462"/>
      <c r="D21" s="1462"/>
      <c r="E21" s="110">
        <v>0.1</v>
      </c>
      <c r="F21" s="111" t="e">
        <f t="shared" si="0"/>
        <v>#REF!</v>
      </c>
    </row>
    <row r="22" spans="1:6">
      <c r="A22" s="109">
        <v>5</v>
      </c>
      <c r="B22" s="1461" t="s">
        <v>40</v>
      </c>
      <c r="C22" s="1462"/>
      <c r="D22" s="1462"/>
      <c r="E22" s="110">
        <v>0.25</v>
      </c>
      <c r="F22" s="111" t="e">
        <f t="shared" si="0"/>
        <v>#REF!</v>
      </c>
    </row>
    <row r="23" spans="1:6">
      <c r="A23" s="109">
        <v>6</v>
      </c>
      <c r="B23" s="1461" t="s">
        <v>41</v>
      </c>
      <c r="C23" s="1462"/>
      <c r="D23" s="1462"/>
      <c r="E23" s="110">
        <v>0.05</v>
      </c>
      <c r="F23" s="111" t="e">
        <f t="shared" si="0"/>
        <v>#REF!</v>
      </c>
    </row>
    <row r="24" spans="1:6">
      <c r="F24" s="112"/>
    </row>
    <row r="25" spans="1:6" ht="15">
      <c r="A25" s="107"/>
      <c r="B25" s="1452" t="s">
        <v>42</v>
      </c>
      <c r="C25" s="1453"/>
      <c r="D25" s="1453"/>
      <c r="E25" s="108"/>
      <c r="F25" s="113" t="e">
        <f>SUM(F18:F23)</f>
        <v>#REF!</v>
      </c>
    </row>
    <row r="26" spans="1:6" ht="15">
      <c r="A26" s="107"/>
      <c r="B26" s="114"/>
      <c r="C26" s="115"/>
      <c r="D26" s="115"/>
      <c r="E26" s="108"/>
      <c r="F26" s="113"/>
    </row>
    <row r="27" spans="1:6">
      <c r="A27" s="109">
        <v>7</v>
      </c>
      <c r="B27" s="95" t="s">
        <v>43</v>
      </c>
      <c r="C27" s="96"/>
      <c r="D27" s="116" t="s">
        <v>44</v>
      </c>
      <c r="E27" s="117" t="s">
        <v>45</v>
      </c>
      <c r="F27" s="111">
        <f>D27*E27</f>
        <v>750000</v>
      </c>
    </row>
    <row r="28" spans="1:6" ht="15">
      <c r="A28" s="107"/>
      <c r="B28" s="114"/>
      <c r="C28" s="115"/>
      <c r="D28" s="115"/>
      <c r="E28" s="108"/>
      <c r="F28" s="118"/>
    </row>
    <row r="29" spans="1:6" ht="15">
      <c r="A29" s="1458" t="s">
        <v>46</v>
      </c>
      <c r="B29" s="1459"/>
      <c r="C29" s="1459"/>
      <c r="D29" s="1459"/>
      <c r="E29" s="1459"/>
      <c r="F29" s="1460"/>
    </row>
    <row r="30" spans="1:6">
      <c r="A30" s="119">
        <v>8</v>
      </c>
      <c r="B30" s="1461" t="s">
        <v>47</v>
      </c>
      <c r="C30" s="1462"/>
      <c r="D30" s="1462"/>
      <c r="E30" s="120">
        <v>29800</v>
      </c>
      <c r="F30" s="111">
        <f>E30</f>
        <v>29800</v>
      </c>
    </row>
    <row r="31" spans="1:6">
      <c r="A31" s="119">
        <v>9</v>
      </c>
      <c r="B31" s="1461" t="s">
        <v>48</v>
      </c>
      <c r="C31" s="1462"/>
      <c r="D31" s="1462"/>
      <c r="E31" s="120">
        <v>9570.75</v>
      </c>
      <c r="F31" s="111">
        <f>E31</f>
        <v>9570.75</v>
      </c>
    </row>
    <row r="32" spans="1:6">
      <c r="A32" s="119">
        <v>10</v>
      </c>
      <c r="B32" s="121" t="s">
        <v>49</v>
      </c>
      <c r="C32" s="122"/>
      <c r="D32" s="122"/>
      <c r="E32" s="120">
        <v>63550</v>
      </c>
      <c r="F32" s="111">
        <f>E32</f>
        <v>63550</v>
      </c>
    </row>
    <row r="33" spans="1:6">
      <c r="A33" s="119">
        <v>11</v>
      </c>
      <c r="B33" s="121" t="s">
        <v>50</v>
      </c>
      <c r="C33" s="122"/>
      <c r="D33" s="122"/>
      <c r="E33" s="120">
        <v>40476</v>
      </c>
      <c r="F33" s="111">
        <f>E33</f>
        <v>40476</v>
      </c>
    </row>
    <row r="34" spans="1:6">
      <c r="A34" s="119">
        <v>12</v>
      </c>
      <c r="B34" s="121" t="s">
        <v>51</v>
      </c>
      <c r="C34" s="122"/>
      <c r="D34" s="122"/>
      <c r="E34" s="157">
        <v>0.1</v>
      </c>
      <c r="F34" s="111">
        <f>SUM(F30:F33)*E34</f>
        <v>14339.675000000001</v>
      </c>
    </row>
    <row r="35" spans="1:6" ht="15">
      <c r="A35" s="123"/>
      <c r="B35" s="1452" t="s">
        <v>52</v>
      </c>
      <c r="C35" s="1453"/>
      <c r="D35" s="1453"/>
      <c r="E35" s="124"/>
      <c r="F35" s="113">
        <f>CEILING(SUM(F30:F34),1)</f>
        <v>157737</v>
      </c>
    </row>
    <row r="36" spans="1:6" ht="15">
      <c r="A36" s="123"/>
      <c r="B36" s="115"/>
      <c r="C36" s="115"/>
      <c r="D36" s="115"/>
      <c r="E36" s="124"/>
      <c r="F36" s="125"/>
    </row>
    <row r="37" spans="1:6" ht="15">
      <c r="A37" s="123"/>
      <c r="B37" s="115" t="s">
        <v>53</v>
      </c>
      <c r="C37" s="124"/>
      <c r="D37" s="124"/>
      <c r="E37" s="124"/>
      <c r="F37" s="113" t="e">
        <f>F25+F27+F35</f>
        <v>#REF!</v>
      </c>
    </row>
    <row r="38" spans="1:6" ht="15">
      <c r="A38" s="1458" t="s">
        <v>54</v>
      </c>
      <c r="B38" s="1459"/>
      <c r="C38" s="1459"/>
      <c r="D38" s="1459"/>
      <c r="E38" s="1459"/>
      <c r="F38" s="1460"/>
    </row>
    <row r="39" spans="1:6" ht="15">
      <c r="A39" s="109">
        <v>11</v>
      </c>
      <c r="B39" s="1461" t="s">
        <v>55</v>
      </c>
      <c r="C39" s="1462"/>
      <c r="D39" s="1462"/>
      <c r="E39" s="108"/>
      <c r="F39" s="113" t="e">
        <f>'Summary Sheet(OLD)'!C20</f>
        <v>#REF!</v>
      </c>
    </row>
    <row r="40" spans="1:6" ht="15">
      <c r="A40" s="107"/>
      <c r="B40" s="121"/>
      <c r="C40" s="122"/>
      <c r="D40" s="122"/>
      <c r="E40" s="108"/>
      <c r="F40" s="118"/>
    </row>
    <row r="41" spans="1:6" ht="15">
      <c r="A41" s="108"/>
      <c r="B41" s="1452" t="s">
        <v>56</v>
      </c>
      <c r="C41" s="1453"/>
      <c r="D41" s="1453"/>
      <c r="E41" s="108"/>
      <c r="F41" s="113" t="e">
        <f>CEILING(F37+F39,1)</f>
        <v>#REF!</v>
      </c>
    </row>
    <row r="42" spans="1:6">
      <c r="A42" s="104"/>
      <c r="B42" s="1461" t="s">
        <v>57</v>
      </c>
      <c r="C42" s="1462"/>
      <c r="D42" s="1462"/>
      <c r="E42" s="110">
        <v>0.15</v>
      </c>
      <c r="F42" s="111" t="e">
        <f>CEILING(F41*E42,1)</f>
        <v>#REF!</v>
      </c>
    </row>
    <row r="43" spans="1:6" ht="15">
      <c r="A43" s="108"/>
      <c r="B43" s="1452" t="s">
        <v>58</v>
      </c>
      <c r="C43" s="1453"/>
      <c r="D43" s="1453"/>
      <c r="E43" s="108"/>
      <c r="F43" s="113" t="e">
        <f>SUM(F41:F42)</f>
        <v>#REF!</v>
      </c>
    </row>
  </sheetData>
  <mergeCells count="21">
    <mergeCell ref="B41:D41"/>
    <mergeCell ref="B42:D42"/>
    <mergeCell ref="B43:D43"/>
    <mergeCell ref="A29:F29"/>
    <mergeCell ref="B30:D30"/>
    <mergeCell ref="B31:D31"/>
    <mergeCell ref="B35:D35"/>
    <mergeCell ref="A38:F38"/>
    <mergeCell ref="B39:D39"/>
    <mergeCell ref="B25:D25"/>
    <mergeCell ref="A8:D8"/>
    <mergeCell ref="B9:D9"/>
    <mergeCell ref="A12:B12"/>
    <mergeCell ref="B16:D16"/>
    <mergeCell ref="A17:F17"/>
    <mergeCell ref="B18:D18"/>
    <mergeCell ref="B19:D19"/>
    <mergeCell ref="B20:D20"/>
    <mergeCell ref="B21:D21"/>
    <mergeCell ref="B22:D22"/>
    <mergeCell ref="B23:D23"/>
  </mergeCells>
  <pageMargins left="0.7" right="0.7" top="0.75" bottom="0.75" header="0.3" footer="0.3"/>
  <pageSetup paperSize="9" scale="86" orientation="portrait" r:id="rId1"/>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E20F0-FFD9-4C4E-9410-69A4D30CF2F0}">
  <dimension ref="A1:N162"/>
  <sheetViews>
    <sheetView view="pageBreakPreview" topLeftCell="A145" zoomScaleNormal="79" zoomScaleSheetLayoutView="100" zoomScalePageLayoutView="70" workbookViewId="0">
      <selection activeCell="A81" sqref="A81:G82"/>
    </sheetView>
  </sheetViews>
  <sheetFormatPr defaultColWidth="8.85546875" defaultRowHeight="12.75" customHeight="1"/>
  <cols>
    <col min="1" max="1" width="9.5703125" style="422" customWidth="1"/>
    <col min="2" max="2" width="15.28515625" style="496" customWidth="1"/>
    <col min="3" max="3" width="47.7109375" style="422" customWidth="1"/>
    <col min="4" max="4" width="8.7109375" style="422" customWidth="1"/>
    <col min="5" max="5" width="9.7109375" style="422" customWidth="1"/>
    <col min="6" max="6" width="15.42578125" style="445" customWidth="1"/>
    <col min="7" max="7" width="21.42578125" style="445" customWidth="1"/>
    <col min="8" max="14" width="0" style="422" hidden="1" customWidth="1"/>
    <col min="15" max="16384" width="8.85546875" style="422"/>
  </cols>
  <sheetData>
    <row r="1" spans="1:10" s="417" customFormat="1" ht="12.75" customHeight="1">
      <c r="A1" s="1538" t="s">
        <v>1873</v>
      </c>
      <c r="B1" s="1538"/>
      <c r="C1" s="1538"/>
      <c r="D1" s="1538"/>
      <c r="E1" s="1538"/>
      <c r="F1" s="1538"/>
      <c r="G1" s="1538"/>
    </row>
    <row r="2" spans="1:10" s="417" customFormat="1" ht="12.75" customHeight="1">
      <c r="B2" s="555"/>
      <c r="C2" s="294"/>
      <c r="D2" s="294"/>
      <c r="E2" s="294"/>
      <c r="F2" s="365"/>
      <c r="G2" s="553"/>
    </row>
    <row r="3" spans="1:10" s="245" customFormat="1">
      <c r="A3" s="1578" t="s">
        <v>322</v>
      </c>
      <c r="B3" s="1578" t="s">
        <v>323</v>
      </c>
      <c r="C3" s="1580" t="s">
        <v>33</v>
      </c>
      <c r="D3" s="1582" t="s">
        <v>324</v>
      </c>
      <c r="E3" s="1584" t="s">
        <v>325</v>
      </c>
      <c r="F3" s="1574" t="s">
        <v>326</v>
      </c>
      <c r="G3" s="1576" t="s">
        <v>327</v>
      </c>
      <c r="H3" s="674"/>
      <c r="I3" s="674"/>
      <c r="J3" s="674"/>
    </row>
    <row r="4" spans="1:10" s="245" customFormat="1">
      <c r="A4" s="1579"/>
      <c r="B4" s="1579"/>
      <c r="C4" s="1581"/>
      <c r="D4" s="1583"/>
      <c r="E4" s="1585"/>
      <c r="F4" s="1575"/>
      <c r="G4" s="1577"/>
      <c r="H4" s="674"/>
      <c r="I4" s="674"/>
      <c r="J4" s="674"/>
    </row>
    <row r="5" spans="1:10" s="417" customFormat="1" ht="12.75" customHeight="1">
      <c r="A5" s="354"/>
      <c r="B5" s="418"/>
      <c r="C5" s="419"/>
      <c r="D5" s="420"/>
      <c r="E5" s="421"/>
      <c r="F5" s="1305"/>
      <c r="G5" s="1305"/>
    </row>
    <row r="6" spans="1:10" s="290" customFormat="1">
      <c r="A6" s="748"/>
      <c r="B6" s="1099"/>
      <c r="C6" s="238" t="s">
        <v>1873</v>
      </c>
      <c r="D6" s="749"/>
      <c r="E6" s="749"/>
      <c r="F6" s="1227"/>
      <c r="G6" s="1228"/>
      <c r="J6" s="255"/>
    </row>
    <row r="7" spans="1:10" s="246" customFormat="1">
      <c r="A7" s="895"/>
      <c r="B7" s="450"/>
      <c r="C7" s="909"/>
      <c r="D7" s="896"/>
      <c r="E7" s="910"/>
      <c r="F7" s="1242"/>
      <c r="G7" s="1242"/>
      <c r="H7" s="255"/>
      <c r="I7" s="679"/>
      <c r="J7" s="679"/>
    </row>
    <row r="8" spans="1:10" s="417" customFormat="1" ht="12.75" customHeight="1">
      <c r="A8" s="358">
        <v>8.1</v>
      </c>
      <c r="B8" s="418" t="s">
        <v>1874</v>
      </c>
      <c r="C8" s="481" t="s">
        <v>820</v>
      </c>
      <c r="D8" s="492"/>
      <c r="E8" s="493"/>
      <c r="F8" s="1306"/>
      <c r="G8" s="1306"/>
    </row>
    <row r="9" spans="1:10" ht="12.75" customHeight="1">
      <c r="A9" s="895"/>
      <c r="B9" s="541"/>
      <c r="C9" s="376"/>
      <c r="D9" s="541"/>
      <c r="E9" s="372"/>
      <c r="F9" s="1307"/>
      <c r="G9" s="1307"/>
    </row>
    <row r="10" spans="1:10" ht="12.75" customHeight="1">
      <c r="A10" s="895"/>
      <c r="B10" s="380" t="s">
        <v>413</v>
      </c>
      <c r="C10" s="950" t="s">
        <v>652</v>
      </c>
      <c r="D10" s="380"/>
      <c r="E10" s="372"/>
      <c r="F10" s="1307"/>
      <c r="G10" s="1307"/>
    </row>
    <row r="11" spans="1:10" ht="12.75" customHeight="1">
      <c r="A11" s="895"/>
      <c r="B11" s="380"/>
      <c r="C11" s="387"/>
      <c r="D11" s="380"/>
      <c r="E11" s="372"/>
      <c r="F11" s="1307"/>
      <c r="G11" s="1307"/>
    </row>
    <row r="12" spans="1:10" ht="38.25">
      <c r="A12" s="895"/>
      <c r="B12" s="380" t="s">
        <v>1875</v>
      </c>
      <c r="C12" s="950" t="s">
        <v>1772</v>
      </c>
      <c r="D12" s="380"/>
      <c r="E12" s="372"/>
      <c r="F12" s="1307"/>
      <c r="G12" s="1307"/>
    </row>
    <row r="13" spans="1:10" ht="12.75" customHeight="1">
      <c r="A13" s="895"/>
      <c r="B13" s="380"/>
      <c r="C13" s="387"/>
      <c r="D13" s="380"/>
      <c r="E13" s="372"/>
      <c r="F13" s="1307"/>
      <c r="G13" s="1307"/>
    </row>
    <row r="14" spans="1:10" ht="16.5">
      <c r="A14" s="895" t="s">
        <v>1876</v>
      </c>
      <c r="B14" s="380"/>
      <c r="C14" s="387" t="s">
        <v>1877</v>
      </c>
      <c r="D14" s="380" t="s">
        <v>574</v>
      </c>
      <c r="E14" s="372">
        <f>_xlfn.CEILING.MATH((((3.42*3.42)-(2.12*2.12))*1.215)*'[1]Cost Summary &amp; Master Rates'!C23,5)*1.5</f>
        <v>7.5</v>
      </c>
      <c r="F14" s="1200"/>
      <c r="G14" s="1201"/>
    </row>
    <row r="15" spans="1:10" ht="16.5">
      <c r="A15" s="895"/>
      <c r="B15" s="380"/>
      <c r="C15" s="387"/>
      <c r="D15" s="380"/>
      <c r="E15" s="372"/>
      <c r="F15" s="1307"/>
      <c r="G15" s="1307"/>
    </row>
    <row r="16" spans="1:10" ht="16.5">
      <c r="A16" s="708" t="s">
        <v>1878</v>
      </c>
      <c r="B16" s="380"/>
      <c r="C16" s="909" t="s">
        <v>1155</v>
      </c>
      <c r="D16" s="896" t="s">
        <v>574</v>
      </c>
      <c r="E16" s="897">
        <v>1.5</v>
      </c>
      <c r="F16" s="1200"/>
      <c r="G16" s="1201"/>
    </row>
    <row r="17" spans="1:14" ht="12.75" customHeight="1">
      <c r="A17" s="708"/>
      <c r="B17" s="380"/>
      <c r="C17" s="387"/>
      <c r="D17" s="380"/>
      <c r="E17" s="372"/>
      <c r="F17" s="1307"/>
      <c r="G17" s="1307"/>
    </row>
    <row r="18" spans="1:14" ht="12.75" customHeight="1">
      <c r="A18" s="708"/>
      <c r="B18" s="899" t="s">
        <v>1065</v>
      </c>
      <c r="C18" s="430" t="s">
        <v>1713</v>
      </c>
      <c r="D18" s="366"/>
      <c r="E18" s="366"/>
      <c r="F18" s="1269"/>
      <c r="G18" s="1307"/>
    </row>
    <row r="19" spans="1:14" ht="12.75" customHeight="1">
      <c r="A19" s="708"/>
      <c r="B19" s="367"/>
      <c r="C19" s="375"/>
      <c r="D19" s="366"/>
      <c r="E19" s="366"/>
      <c r="F19" s="1269"/>
      <c r="G19" s="1307"/>
    </row>
    <row r="20" spans="1:14" ht="12.75" customHeight="1">
      <c r="A20" s="708" t="s">
        <v>1799</v>
      </c>
      <c r="B20" s="367"/>
      <c r="C20" s="375" t="s">
        <v>1294</v>
      </c>
      <c r="D20" s="366" t="s">
        <v>917</v>
      </c>
      <c r="E20" s="366">
        <f>_xlfn.CEILING.MATH((((3.42*3.42)-(2.12*2.12))*1.215)*'[1]Cost Summary &amp; Master Rates'!C24,5)*1.5</f>
        <v>7.5</v>
      </c>
      <c r="F20" s="1200"/>
      <c r="G20" s="1201"/>
    </row>
    <row r="21" spans="1:14" ht="12.75" customHeight="1">
      <c r="A21" s="708"/>
      <c r="B21" s="367"/>
      <c r="C21" s="375"/>
      <c r="D21" s="366"/>
      <c r="E21" s="366"/>
      <c r="F21" s="1269"/>
      <c r="G21" s="1307"/>
    </row>
    <row r="22" spans="1:14" ht="12.75" customHeight="1">
      <c r="A22" s="748" t="s">
        <v>1879</v>
      </c>
      <c r="B22" s="367"/>
      <c r="C22" s="375" t="s">
        <v>1297</v>
      </c>
      <c r="D22" s="366" t="s">
        <v>917</v>
      </c>
      <c r="E22" s="366">
        <f>_xlfn.CEILING.MATH((((3.42*3.42)-(2.12*2.12))*1.215)*'[1]Cost Summary &amp; Master Rates'!C25,5)*1.2</f>
        <v>6</v>
      </c>
      <c r="F22" s="1200"/>
      <c r="G22" s="1201"/>
    </row>
    <row r="23" spans="1:14" ht="12.75" customHeight="1">
      <c r="A23" s="708"/>
      <c r="B23" s="367"/>
      <c r="C23" s="375"/>
      <c r="D23" s="366"/>
      <c r="E23" s="366"/>
      <c r="F23" s="1269"/>
      <c r="G23" s="1307"/>
    </row>
    <row r="24" spans="1:14" s="290" customFormat="1" ht="25.5">
      <c r="A24" s="748" t="s">
        <v>1880</v>
      </c>
      <c r="B24" s="1031"/>
      <c r="C24" s="667" t="s">
        <v>1881</v>
      </c>
      <c r="D24" s="659" t="s">
        <v>574</v>
      </c>
      <c r="E24" s="754">
        <v>5.5</v>
      </c>
      <c r="F24" s="1200"/>
      <c r="G24" s="1201"/>
      <c r="H24" s="273" t="s">
        <v>1779</v>
      </c>
      <c r="I24" s="255"/>
    </row>
    <row r="25" spans="1:14" ht="12.75" customHeight="1">
      <c r="A25" s="708"/>
      <c r="B25" s="367"/>
      <c r="C25" s="375"/>
      <c r="D25" s="366"/>
      <c r="E25" s="366"/>
      <c r="F25" s="1269"/>
      <c r="G25" s="1307"/>
      <c r="N25" s="423" t="s">
        <v>1882</v>
      </c>
    </row>
    <row r="26" spans="1:14" s="290" customFormat="1">
      <c r="A26" s="336" t="s">
        <v>1883</v>
      </c>
      <c r="B26" s="324" t="s">
        <v>844</v>
      </c>
      <c r="C26" s="325" t="s">
        <v>845</v>
      </c>
      <c r="D26" s="659" t="s">
        <v>846</v>
      </c>
      <c r="E26" s="754">
        <v>250</v>
      </c>
      <c r="F26" s="1200"/>
      <c r="G26" s="1201"/>
      <c r="H26" s="353"/>
      <c r="I26" s="255"/>
    </row>
    <row r="27" spans="1:14" s="290" customFormat="1">
      <c r="A27" s="1156"/>
      <c r="B27" s="324"/>
      <c r="C27" s="325"/>
      <c r="D27" s="659"/>
      <c r="E27" s="754"/>
      <c r="F27" s="1265"/>
      <c r="G27" s="1194"/>
      <c r="H27" s="353"/>
      <c r="I27" s="255"/>
    </row>
    <row r="28" spans="1:14" s="417" customFormat="1" ht="12.75" customHeight="1">
      <c r="A28" s="283" t="s">
        <v>1884</v>
      </c>
      <c r="B28" s="492" t="s">
        <v>953</v>
      </c>
      <c r="C28" s="951" t="s">
        <v>1092</v>
      </c>
      <c r="D28" s="418"/>
      <c r="E28" s="418"/>
      <c r="F28" s="1308"/>
      <c r="G28" s="1306"/>
      <c r="K28" s="417">
        <f>965+250</f>
        <v>1215</v>
      </c>
    </row>
    <row r="29" spans="1:14" ht="12.75" customHeight="1">
      <c r="A29" s="892"/>
      <c r="B29" s="366"/>
      <c r="C29" s="375"/>
      <c r="D29" s="366"/>
      <c r="E29" s="366"/>
      <c r="F29" s="1269"/>
      <c r="G29" s="1307"/>
    </row>
    <row r="30" spans="1:14" ht="12.75" customHeight="1">
      <c r="A30" s="892"/>
      <c r="B30" s="366">
        <v>8.1999999999999993</v>
      </c>
      <c r="C30" s="951" t="s">
        <v>955</v>
      </c>
      <c r="D30" s="366"/>
      <c r="E30" s="366"/>
      <c r="F30" s="1269"/>
      <c r="G30" s="1307"/>
    </row>
    <row r="31" spans="1:14" ht="12.75" customHeight="1">
      <c r="A31" s="892"/>
      <c r="B31" s="366"/>
      <c r="C31" s="376"/>
      <c r="D31" s="366"/>
      <c r="E31" s="366"/>
      <c r="F31" s="1269"/>
      <c r="G31" s="1307"/>
    </row>
    <row r="32" spans="1:14" ht="12.75" customHeight="1">
      <c r="A32" s="895"/>
      <c r="B32" s="366" t="s">
        <v>815</v>
      </c>
      <c r="C32" s="430" t="s">
        <v>1782</v>
      </c>
      <c r="D32" s="371"/>
      <c r="E32" s="424"/>
      <c r="F32" s="1307"/>
      <c r="G32" s="1307"/>
    </row>
    <row r="33" spans="1:10" ht="12.75" customHeight="1">
      <c r="A33" s="895"/>
      <c r="B33" s="366"/>
      <c r="C33" s="431"/>
      <c r="D33" s="371"/>
      <c r="E33" s="424"/>
      <c r="F33" s="1307"/>
      <c r="G33" s="1307"/>
    </row>
    <row r="34" spans="1:10" ht="12.75" customHeight="1">
      <c r="A34" s="895"/>
      <c r="B34" s="366"/>
      <c r="C34" s="481" t="s">
        <v>1094</v>
      </c>
      <c r="D34" s="371"/>
      <c r="E34" s="424"/>
      <c r="F34" s="1307"/>
      <c r="G34" s="1307"/>
      <c r="J34" s="422">
        <f>2.12+0.21+0.21</f>
        <v>2.54</v>
      </c>
    </row>
    <row r="35" spans="1:10" ht="12.75" customHeight="1">
      <c r="A35" s="895"/>
      <c r="B35" s="366"/>
      <c r="C35" s="376"/>
      <c r="D35" s="371"/>
      <c r="E35" s="424"/>
      <c r="F35" s="1307"/>
      <c r="G35" s="1307"/>
      <c r="J35" s="422">
        <f>J34*4</f>
        <v>10.16</v>
      </c>
    </row>
    <row r="36" spans="1:10" ht="12.75" customHeight="1">
      <c r="A36" s="895" t="s">
        <v>815</v>
      </c>
      <c r="B36" s="371"/>
      <c r="C36" s="584" t="s">
        <v>1784</v>
      </c>
      <c r="D36" s="371" t="s">
        <v>825</v>
      </c>
      <c r="E36" s="372">
        <f>_xlfn.CEILING.MATH((3.42+2.12)*2*0.25,5)</f>
        <v>5</v>
      </c>
      <c r="F36" s="1307"/>
      <c r="G36" s="1242"/>
    </row>
    <row r="37" spans="1:10" ht="12.75" customHeight="1">
      <c r="A37" s="895"/>
      <c r="B37" s="371"/>
      <c r="C37" s="584"/>
      <c r="D37" s="371"/>
      <c r="E37" s="372"/>
      <c r="F37" s="1307"/>
      <c r="G37" s="1307"/>
    </row>
    <row r="38" spans="1:10" ht="12.75" customHeight="1">
      <c r="A38" s="895" t="s">
        <v>994</v>
      </c>
      <c r="B38" s="371"/>
      <c r="C38" s="921" t="s">
        <v>1788</v>
      </c>
      <c r="D38" s="895" t="s">
        <v>825</v>
      </c>
      <c r="E38" s="897">
        <v>2</v>
      </c>
      <c r="F38" s="1282"/>
      <c r="G38" s="1242"/>
    </row>
    <row r="39" spans="1:10" ht="12.75" customHeight="1">
      <c r="A39" s="892"/>
      <c r="B39" s="366"/>
      <c r="C39" s="431"/>
      <c r="D39" s="366"/>
      <c r="E39" s="368"/>
      <c r="F39" s="1269"/>
      <c r="G39" s="1307"/>
    </row>
    <row r="40" spans="1:10" ht="12.75" customHeight="1">
      <c r="A40" s="922"/>
      <c r="B40" s="366"/>
      <c r="C40" s="481" t="s">
        <v>1506</v>
      </c>
      <c r="D40" s="366"/>
      <c r="E40" s="368"/>
      <c r="F40" s="1269"/>
      <c r="G40" s="1307"/>
    </row>
    <row r="41" spans="1:10" ht="12.75" customHeight="1">
      <c r="A41" s="895"/>
      <c r="B41" s="371"/>
      <c r="C41" s="584"/>
      <c r="D41" s="371"/>
      <c r="E41" s="372"/>
      <c r="F41" s="1269"/>
      <c r="G41" s="1307"/>
    </row>
    <row r="42" spans="1:10" ht="12.75" customHeight="1">
      <c r="A42" s="895" t="s">
        <v>1726</v>
      </c>
      <c r="B42" s="371"/>
      <c r="C42" s="952" t="s">
        <v>1790</v>
      </c>
      <c r="D42" s="895" t="s">
        <v>825</v>
      </c>
      <c r="E42" s="897">
        <f>4*4</f>
        <v>16</v>
      </c>
      <c r="F42" s="1309"/>
      <c r="G42" s="1242"/>
    </row>
    <row r="43" spans="1:10" ht="12.75" customHeight="1">
      <c r="A43" s="895"/>
      <c r="B43" s="371"/>
      <c r="C43" s="952"/>
      <c r="D43" s="895"/>
      <c r="E43" s="897"/>
      <c r="F43" s="1309"/>
      <c r="G43" s="1310"/>
    </row>
    <row r="44" spans="1:10" ht="12.75" customHeight="1">
      <c r="A44" s="922"/>
      <c r="B44" s="366" t="s">
        <v>1114</v>
      </c>
      <c r="C44" s="359" t="s">
        <v>1115</v>
      </c>
      <c r="D44" s="708"/>
      <c r="E44" s="711"/>
      <c r="F44" s="1309"/>
      <c r="G44" s="1309"/>
    </row>
    <row r="45" spans="1:10" ht="12.75" customHeight="1">
      <c r="A45" s="953"/>
      <c r="B45" s="954"/>
      <c r="C45" s="710"/>
      <c r="D45" s="780"/>
      <c r="E45" s="955"/>
      <c r="F45" s="1310"/>
      <c r="G45" s="1310"/>
    </row>
    <row r="46" spans="1:10" ht="12.75" customHeight="1">
      <c r="A46" s="953" t="s">
        <v>1005</v>
      </c>
      <c r="B46" s="954"/>
      <c r="C46" s="710" t="s">
        <v>1885</v>
      </c>
      <c r="D46" s="780" t="s">
        <v>818</v>
      </c>
      <c r="E46" s="955">
        <f>CEILING(2.54*4,1)</f>
        <v>11</v>
      </c>
      <c r="F46" s="1310"/>
      <c r="G46" s="1242"/>
    </row>
    <row r="47" spans="1:10" ht="12.75" customHeight="1">
      <c r="A47" s="953"/>
      <c r="B47" s="954"/>
      <c r="C47" s="710"/>
      <c r="D47" s="780"/>
      <c r="E47" s="955"/>
      <c r="F47" s="1310"/>
      <c r="G47" s="1310"/>
    </row>
    <row r="48" spans="1:10" ht="12.75" customHeight="1">
      <c r="A48" s="895" t="s">
        <v>1114</v>
      </c>
      <c r="B48" s="371"/>
      <c r="C48" s="952" t="s">
        <v>1886</v>
      </c>
      <c r="D48" s="895" t="s">
        <v>818</v>
      </c>
      <c r="E48" s="897">
        <f>4*4</f>
        <v>16</v>
      </c>
      <c r="F48" s="1310"/>
      <c r="G48" s="1242"/>
    </row>
    <row r="49" spans="1:10" ht="12.75" customHeight="1">
      <c r="A49" s="895"/>
      <c r="B49" s="371"/>
      <c r="C49" s="584"/>
      <c r="D49" s="371"/>
      <c r="E49" s="424"/>
      <c r="F49" s="1307"/>
      <c r="G49" s="1311"/>
    </row>
    <row r="50" spans="1:10" ht="12.75" customHeight="1">
      <c r="A50" s="1158"/>
      <c r="B50" s="1159" t="s">
        <v>1507</v>
      </c>
      <c r="C50" s="850" t="s">
        <v>1124</v>
      </c>
      <c r="D50" s="371"/>
      <c r="E50" s="424"/>
      <c r="F50" s="1307"/>
      <c r="G50" s="1311"/>
    </row>
    <row r="51" spans="1:10" ht="12.75" customHeight="1">
      <c r="A51" s="1158"/>
      <c r="B51" s="1159"/>
      <c r="C51" s="956"/>
      <c r="D51" s="371"/>
      <c r="E51" s="424"/>
      <c r="F51" s="1307"/>
      <c r="G51" s="1311"/>
    </row>
    <row r="52" spans="1:10" ht="12.75" customHeight="1">
      <c r="A52" s="1158"/>
      <c r="B52" s="1159" t="s">
        <v>1887</v>
      </c>
      <c r="C52" s="957" t="s">
        <v>1888</v>
      </c>
      <c r="D52" s="371"/>
      <c r="E52" s="424"/>
      <c r="F52" s="1307"/>
      <c r="G52" s="1311"/>
    </row>
    <row r="53" spans="1:10" ht="12.75" customHeight="1">
      <c r="A53" s="1158"/>
      <c r="B53" s="1159"/>
      <c r="C53" s="958"/>
      <c r="D53" s="371"/>
      <c r="E53" s="424"/>
      <c r="F53" s="1307"/>
      <c r="G53" s="1311"/>
    </row>
    <row r="54" spans="1:10" ht="12.75" customHeight="1">
      <c r="A54" s="1158"/>
      <c r="B54" s="1159"/>
      <c r="C54" s="957" t="s">
        <v>1889</v>
      </c>
      <c r="D54" s="371"/>
      <c r="E54" s="424"/>
      <c r="F54" s="1307"/>
      <c r="G54" s="1311"/>
    </row>
    <row r="55" spans="1:10" ht="12.75" customHeight="1">
      <c r="A55" s="1158"/>
      <c r="B55" s="1159"/>
      <c r="C55" s="956"/>
      <c r="D55" s="371"/>
      <c r="E55" s="424"/>
      <c r="F55" s="1307"/>
      <c r="G55" s="1307"/>
    </row>
    <row r="56" spans="1:10" ht="12.75" customHeight="1">
      <c r="A56" s="1158" t="s">
        <v>1123</v>
      </c>
      <c r="B56" s="1159"/>
      <c r="C56" s="956" t="s">
        <v>1890</v>
      </c>
      <c r="D56" s="371" t="s">
        <v>70</v>
      </c>
      <c r="E56" s="424">
        <v>4</v>
      </c>
      <c r="F56" s="1307"/>
      <c r="G56" s="1242"/>
    </row>
    <row r="57" spans="1:10" ht="12.75" customHeight="1">
      <c r="A57" s="895"/>
      <c r="B57" s="371"/>
      <c r="C57" s="584"/>
      <c r="D57" s="371"/>
      <c r="E57" s="424"/>
      <c r="F57" s="1307"/>
      <c r="G57" s="1311"/>
    </row>
    <row r="58" spans="1:10" s="290" customFormat="1" ht="12.75" customHeight="1">
      <c r="A58" s="753"/>
      <c r="B58" s="998" t="s">
        <v>1128</v>
      </c>
      <c r="C58" s="533" t="s">
        <v>1129</v>
      </c>
      <c r="D58" s="658"/>
      <c r="E58" s="754"/>
      <c r="F58" s="1227"/>
      <c r="G58" s="1194"/>
      <c r="J58" s="255"/>
    </row>
    <row r="59" spans="1:10" s="290" customFormat="1" ht="12.75" customHeight="1">
      <c r="A59" s="753"/>
      <c r="B59" s="998"/>
      <c r="C59" s="760"/>
      <c r="D59" s="658"/>
      <c r="E59" s="754"/>
      <c r="F59" s="1227"/>
      <c r="G59" s="1194"/>
      <c r="J59" s="255"/>
    </row>
    <row r="60" spans="1:10" s="290" customFormat="1" ht="12.75" customHeight="1">
      <c r="A60" s="753" t="s">
        <v>1753</v>
      </c>
      <c r="B60" s="998"/>
      <c r="C60" s="760" t="s">
        <v>1891</v>
      </c>
      <c r="D60" s="658" t="s">
        <v>818</v>
      </c>
      <c r="E60" s="754">
        <f>_xlfn.CEILING.MATH((3.5*3.5*2),5)</f>
        <v>25</v>
      </c>
      <c r="F60" s="1227"/>
      <c r="G60" s="1242"/>
      <c r="J60" s="255"/>
    </row>
    <row r="61" spans="1:10" ht="12.75" customHeight="1">
      <c r="A61" s="708"/>
      <c r="B61" s="366"/>
      <c r="C61" s="959"/>
      <c r="D61" s="366"/>
      <c r="E61" s="368"/>
      <c r="F61" s="1269"/>
      <c r="G61" s="1312"/>
    </row>
    <row r="62" spans="1:10" ht="12.75" customHeight="1">
      <c r="A62" s="708"/>
      <c r="B62" s="366" t="s">
        <v>363</v>
      </c>
      <c r="C62" s="621" t="s">
        <v>964</v>
      </c>
      <c r="D62" s="366"/>
      <c r="E62" s="368"/>
      <c r="F62" s="1269"/>
      <c r="G62" s="1312"/>
    </row>
    <row r="63" spans="1:10" ht="12.75" customHeight="1">
      <c r="A63" s="708"/>
      <c r="B63" s="366"/>
      <c r="C63" s="959"/>
      <c r="D63" s="366"/>
      <c r="E63" s="368"/>
      <c r="F63" s="1269"/>
      <c r="G63" s="1312"/>
    </row>
    <row r="64" spans="1:10" ht="12.75" customHeight="1">
      <c r="A64" s="708" t="s">
        <v>1892</v>
      </c>
      <c r="B64" s="366"/>
      <c r="C64" s="431" t="s">
        <v>1795</v>
      </c>
      <c r="D64" s="366" t="s">
        <v>1619</v>
      </c>
      <c r="E64" s="368">
        <f>_xlfn.CEILING.MATH(2.54*2.54,5)</f>
        <v>10</v>
      </c>
      <c r="F64" s="1200"/>
      <c r="G64" s="1201"/>
    </row>
    <row r="65" spans="1:10" ht="12.75" customHeight="1">
      <c r="A65" s="708"/>
      <c r="B65" s="366"/>
      <c r="C65" s="431"/>
      <c r="D65" s="366"/>
      <c r="E65" s="368"/>
      <c r="F65" s="1269"/>
      <c r="G65" s="1307"/>
    </row>
    <row r="66" spans="1:10" ht="12.75" customHeight="1">
      <c r="A66" s="708" t="s">
        <v>1893</v>
      </c>
      <c r="B66" s="366"/>
      <c r="C66" s="960" t="s">
        <v>1797</v>
      </c>
      <c r="D66" s="366" t="s">
        <v>1619</v>
      </c>
      <c r="E66" s="368">
        <v>16</v>
      </c>
      <c r="F66" s="1200"/>
      <c r="G66" s="1201"/>
      <c r="I66" s="422">
        <f>3.42*4*0.21</f>
        <v>2.8727999999999998</v>
      </c>
    </row>
    <row r="67" spans="1:10" ht="12.75" customHeight="1">
      <c r="A67" s="708"/>
      <c r="B67" s="366"/>
      <c r="C67" s="961"/>
      <c r="D67" s="366"/>
      <c r="E67" s="368"/>
      <c r="F67" s="1269"/>
      <c r="G67" s="1307"/>
    </row>
    <row r="68" spans="1:10" ht="12.75" customHeight="1">
      <c r="A68" s="708"/>
      <c r="B68" s="366" t="s">
        <v>1799</v>
      </c>
      <c r="C68" s="1139" t="s">
        <v>968</v>
      </c>
      <c r="D68" s="366"/>
      <c r="E68" s="366"/>
      <c r="F68" s="1269"/>
      <c r="G68" s="1269"/>
    </row>
    <row r="69" spans="1:10" s="290" customFormat="1" ht="12.75" customHeight="1">
      <c r="A69" s="753"/>
      <c r="B69" s="998"/>
      <c r="C69" s="760"/>
      <c r="D69" s="658"/>
      <c r="E69" s="754"/>
      <c r="F69" s="1227"/>
      <c r="G69" s="1194"/>
      <c r="J69" s="255"/>
    </row>
    <row r="70" spans="1:10" s="290" customFormat="1" ht="12.75" customHeight="1">
      <c r="A70" s="753"/>
      <c r="B70" s="998" t="s">
        <v>1138</v>
      </c>
      <c r="C70" s="533" t="s">
        <v>1139</v>
      </c>
      <c r="D70" s="658"/>
      <c r="E70" s="754"/>
      <c r="F70" s="1227"/>
      <c r="G70" s="1194"/>
      <c r="J70" s="255"/>
    </row>
    <row r="71" spans="1:10" s="290" customFormat="1" ht="12.75" customHeight="1">
      <c r="A71" s="753"/>
      <c r="B71" s="998"/>
      <c r="C71" s="760"/>
      <c r="D71" s="658"/>
      <c r="E71" s="754"/>
      <c r="F71" s="1227"/>
      <c r="G71" s="1194"/>
      <c r="J71" s="255"/>
    </row>
    <row r="72" spans="1:10" s="290" customFormat="1">
      <c r="A72" s="753" t="s">
        <v>1894</v>
      </c>
      <c r="B72" s="998" t="s">
        <v>441</v>
      </c>
      <c r="C72" s="767" t="s">
        <v>1895</v>
      </c>
      <c r="D72" s="658" t="s">
        <v>825</v>
      </c>
      <c r="E72" s="754">
        <f>_xlfn.CEILING.MATH(0.7*2.6*4,5)</f>
        <v>10</v>
      </c>
      <c r="F72" s="1227"/>
      <c r="G72" s="1242"/>
      <c r="H72" s="290">
        <f>(3382.3775-2789.868)</f>
        <v>592.50950000000012</v>
      </c>
      <c r="J72" s="273" t="s">
        <v>1896</v>
      </c>
    </row>
    <row r="73" spans="1:10" ht="12.75" customHeight="1">
      <c r="A73" s="962"/>
      <c r="B73" s="427"/>
      <c r="C73" s="428"/>
      <c r="D73" s="366"/>
      <c r="E73" s="429"/>
      <c r="F73" s="1313"/>
      <c r="G73" s="1313"/>
    </row>
    <row r="74" spans="1:10" ht="12.75" customHeight="1">
      <c r="A74" s="708"/>
      <c r="B74" s="366"/>
      <c r="C74" s="430" t="s">
        <v>1897</v>
      </c>
      <c r="D74" s="366"/>
      <c r="E74" s="366"/>
      <c r="F74" s="1269"/>
      <c r="G74" s="1269"/>
    </row>
    <row r="75" spans="1:10" ht="12.75" customHeight="1">
      <c r="A75" s="708"/>
      <c r="B75" s="366"/>
      <c r="C75" s="430"/>
      <c r="D75" s="366"/>
      <c r="E75" s="366"/>
      <c r="F75" s="1269"/>
      <c r="G75" s="1269"/>
    </row>
    <row r="76" spans="1:10" ht="12.75" customHeight="1">
      <c r="A76" s="708" t="s">
        <v>1681</v>
      </c>
      <c r="B76" s="367"/>
      <c r="C76" s="376" t="s">
        <v>1898</v>
      </c>
      <c r="D76" s="366" t="s">
        <v>917</v>
      </c>
      <c r="E76" s="963">
        <f>_xlfn.CEILING.MATH(((3.42*3.42)-(2.12*2.12))*0.25,5)</f>
        <v>5</v>
      </c>
      <c r="F76" s="1269"/>
      <c r="G76" s="1242"/>
    </row>
    <row r="77" spans="1:10" ht="12.75" customHeight="1">
      <c r="A77" s="708"/>
      <c r="B77" s="1159"/>
      <c r="C77" s="956"/>
      <c r="D77" s="371"/>
      <c r="E77" s="424"/>
      <c r="F77" s="1307"/>
      <c r="G77" s="1314"/>
    </row>
    <row r="78" spans="1:10" ht="12.75" customHeight="1">
      <c r="A78" s="708" t="s">
        <v>1761</v>
      </c>
      <c r="B78" s="1159"/>
      <c r="C78" s="929" t="s">
        <v>1810</v>
      </c>
      <c r="D78" s="708" t="s">
        <v>927</v>
      </c>
      <c r="E78" s="711">
        <v>2</v>
      </c>
      <c r="F78" s="1232"/>
      <c r="G78" s="1242"/>
    </row>
    <row r="79" spans="1:10" ht="12.75" customHeight="1">
      <c r="A79" s="708"/>
      <c r="B79" s="386"/>
      <c r="C79" s="929"/>
      <c r="D79" s="708"/>
      <c r="E79" s="711"/>
      <c r="F79" s="1232"/>
      <c r="G79" s="1242"/>
    </row>
    <row r="80" spans="1:10" ht="12.75" customHeight="1">
      <c r="A80" s="708"/>
      <c r="B80" s="366"/>
      <c r="C80" s="430"/>
      <c r="D80" s="366"/>
      <c r="E80" s="366"/>
      <c r="F80" s="1269"/>
      <c r="G80" s="1269"/>
    </row>
    <row r="81" spans="1:7" ht="12.75" customHeight="1">
      <c r="A81" s="1570" t="s">
        <v>96</v>
      </c>
      <c r="B81" s="1571"/>
      <c r="C81" s="1571"/>
      <c r="D81" s="1571"/>
      <c r="E81" s="1571"/>
      <c r="F81" s="1514"/>
      <c r="G81" s="1514"/>
    </row>
    <row r="82" spans="1:7" ht="12.75" customHeight="1">
      <c r="A82" s="1572"/>
      <c r="B82" s="1573"/>
      <c r="C82" s="1573"/>
      <c r="D82" s="1573"/>
      <c r="E82" s="1573"/>
      <c r="F82" s="1514"/>
      <c r="G82" s="1514"/>
    </row>
    <row r="83" spans="1:7" ht="14.45" customHeight="1">
      <c r="A83" s="931"/>
      <c r="B83" s="425"/>
      <c r="C83" s="332" t="s">
        <v>220</v>
      </c>
      <c r="D83" s="369"/>
      <c r="E83" s="426"/>
      <c r="F83" s="1315"/>
      <c r="G83" s="1315"/>
    </row>
    <row r="84" spans="1:7" ht="12.75" customHeight="1">
      <c r="A84" s="708"/>
      <c r="B84" s="366"/>
      <c r="C84" s="430"/>
      <c r="D84" s="366"/>
      <c r="E84" s="366"/>
      <c r="F84" s="1269"/>
      <c r="G84" s="1269"/>
    </row>
    <row r="85" spans="1:7" ht="12.75" customHeight="1">
      <c r="A85" s="962"/>
      <c r="B85" s="427"/>
      <c r="C85" s="428"/>
      <c r="D85" s="366"/>
      <c r="E85" s="429"/>
      <c r="F85" s="1313"/>
      <c r="G85" s="1313"/>
    </row>
    <row r="86" spans="1:7" ht="12.75" customHeight="1">
      <c r="A86" s="708" t="s">
        <v>1899</v>
      </c>
      <c r="B86" s="367"/>
      <c r="C86" s="376" t="s">
        <v>1808</v>
      </c>
      <c r="D86" s="366" t="s">
        <v>917</v>
      </c>
      <c r="E86" s="963">
        <f>_xlfn.CEILING.MATH(2.54*2.54*0.125,2)</f>
        <v>2</v>
      </c>
      <c r="F86" s="1269"/>
      <c r="G86" s="1242"/>
    </row>
    <row r="87" spans="1:7" ht="12.75" customHeight="1">
      <c r="A87" s="708"/>
      <c r="B87" s="367"/>
      <c r="C87" s="964"/>
      <c r="D87" s="366"/>
      <c r="E87" s="366"/>
      <c r="F87" s="1269"/>
      <c r="G87" s="1269"/>
    </row>
    <row r="88" spans="1:7" ht="12.75" customHeight="1">
      <c r="A88" s="708" t="s">
        <v>1900</v>
      </c>
      <c r="B88" s="367"/>
      <c r="C88" s="431" t="s">
        <v>1901</v>
      </c>
      <c r="D88" s="366" t="s">
        <v>917</v>
      </c>
      <c r="E88" s="963">
        <f>_xlfn.CEILING.MATH(4*4*0.175,5)*0.7</f>
        <v>3.5</v>
      </c>
      <c r="F88" s="1269"/>
      <c r="G88" s="1242"/>
    </row>
    <row r="89" spans="1:7" ht="12.75" customHeight="1">
      <c r="A89" s="892"/>
      <c r="B89" s="366"/>
      <c r="C89" s="458"/>
      <c r="D89" s="366"/>
      <c r="E89" s="366"/>
      <c r="F89" s="1269"/>
      <c r="G89" s="1307"/>
    </row>
    <row r="90" spans="1:7" ht="12.75" customHeight="1">
      <c r="A90" s="708"/>
      <c r="B90" s="366" t="s">
        <v>1811</v>
      </c>
      <c r="C90" s="448" t="s">
        <v>1812</v>
      </c>
      <c r="D90" s="366"/>
      <c r="E90" s="366"/>
      <c r="F90" s="1269"/>
      <c r="G90" s="1269"/>
    </row>
    <row r="91" spans="1:7" ht="12.75" customHeight="1">
      <c r="A91" s="708"/>
      <c r="B91" s="366"/>
      <c r="C91" s="448"/>
      <c r="D91" s="366"/>
      <c r="E91" s="366"/>
      <c r="F91" s="1269"/>
      <c r="G91" s="1269"/>
    </row>
    <row r="92" spans="1:7" ht="12.75" customHeight="1">
      <c r="A92" s="708" t="s">
        <v>1902</v>
      </c>
      <c r="B92" s="367"/>
      <c r="C92" s="431" t="s">
        <v>1903</v>
      </c>
      <c r="D92" s="366" t="s">
        <v>1619</v>
      </c>
      <c r="E92" s="963">
        <f>_xlfn.CEILING.MATH(2.54*2.54,5)</f>
        <v>10</v>
      </c>
      <c r="F92" s="1200"/>
      <c r="G92" s="1201"/>
    </row>
    <row r="93" spans="1:7" ht="12.75" customHeight="1">
      <c r="A93" s="708"/>
      <c r="B93" s="367"/>
      <c r="C93" s="431"/>
      <c r="D93" s="366"/>
      <c r="E93" s="366"/>
      <c r="F93" s="1269"/>
      <c r="G93" s="1269"/>
    </row>
    <row r="94" spans="1:7" ht="12.75" customHeight="1">
      <c r="A94" s="708" t="s">
        <v>1904</v>
      </c>
      <c r="B94" s="367"/>
      <c r="C94" s="431" t="s">
        <v>1155</v>
      </c>
      <c r="D94" s="366" t="s">
        <v>1619</v>
      </c>
      <c r="E94" s="963">
        <v>16</v>
      </c>
      <c r="F94" s="1200"/>
      <c r="G94" s="1201"/>
    </row>
    <row r="95" spans="1:7" ht="12.75" customHeight="1">
      <c r="A95" s="708"/>
      <c r="B95" s="367"/>
      <c r="C95" s="431"/>
      <c r="D95" s="366"/>
      <c r="E95" s="366"/>
      <c r="F95" s="1269"/>
      <c r="G95" s="1269"/>
    </row>
    <row r="96" spans="1:7" ht="12.75" customHeight="1">
      <c r="A96" s="708"/>
      <c r="B96" s="446" t="s">
        <v>976</v>
      </c>
      <c r="C96" s="965" t="s">
        <v>763</v>
      </c>
      <c r="D96" s="366"/>
      <c r="E96" s="429"/>
      <c r="F96" s="1269"/>
      <c r="G96" s="1269"/>
    </row>
    <row r="97" spans="1:7" ht="12.75" customHeight="1">
      <c r="A97" s="708"/>
      <c r="B97" s="446"/>
      <c r="C97" s="447"/>
      <c r="D97" s="366"/>
      <c r="E97" s="429"/>
      <c r="F97" s="1269"/>
      <c r="G97" s="1269"/>
    </row>
    <row r="98" spans="1:7" ht="25.5">
      <c r="A98" s="708" t="s">
        <v>1905</v>
      </c>
      <c r="B98" s="446"/>
      <c r="C98" s="447" t="s">
        <v>1906</v>
      </c>
      <c r="D98" s="366" t="s">
        <v>818</v>
      </c>
      <c r="E98" s="368">
        <f>_xlfn.CEILING.MATH(3*3,5)</f>
        <v>10</v>
      </c>
      <c r="F98" s="1200"/>
      <c r="G98" s="1201"/>
    </row>
    <row r="99" spans="1:7" ht="12.75" customHeight="1">
      <c r="A99" s="708"/>
      <c r="B99" s="446"/>
      <c r="C99" s="447"/>
      <c r="D99" s="366"/>
      <c r="E99" s="429"/>
      <c r="F99" s="1269"/>
      <c r="G99" s="1269"/>
    </row>
    <row r="100" spans="1:7" ht="12.75" customHeight="1">
      <c r="A100" s="708"/>
      <c r="B100" s="446" t="s">
        <v>1816</v>
      </c>
      <c r="C100" s="950" t="s">
        <v>978</v>
      </c>
      <c r="D100" s="366"/>
      <c r="E100" s="429"/>
      <c r="F100" s="1269"/>
      <c r="G100" s="1269"/>
    </row>
    <row r="101" spans="1:7" ht="12.75" customHeight="1">
      <c r="A101" s="708"/>
      <c r="B101" s="446"/>
      <c r="C101" s="387"/>
      <c r="D101" s="366"/>
      <c r="E101" s="429"/>
      <c r="F101" s="1269"/>
      <c r="G101" s="1269"/>
    </row>
    <row r="102" spans="1:7" ht="38.25">
      <c r="A102" s="708"/>
      <c r="B102" s="446"/>
      <c r="C102" s="965" t="s">
        <v>979</v>
      </c>
      <c r="D102" s="366"/>
      <c r="E102" s="429"/>
      <c r="F102" s="1269"/>
      <c r="G102" s="1269"/>
    </row>
    <row r="103" spans="1:7" ht="12.75" customHeight="1">
      <c r="A103" s="708"/>
      <c r="B103" s="367"/>
      <c r="C103" s="431"/>
      <c r="D103" s="366"/>
      <c r="E103" s="368"/>
      <c r="F103" s="1269"/>
      <c r="G103" s="1269"/>
    </row>
    <row r="104" spans="1:7" ht="12.75" customHeight="1">
      <c r="A104" s="708" t="s">
        <v>1853</v>
      </c>
      <c r="B104" s="367"/>
      <c r="C104" s="387" t="s">
        <v>1907</v>
      </c>
      <c r="D104" s="366" t="s">
        <v>818</v>
      </c>
      <c r="E104" s="368">
        <f>_xlfn.CEILING.MATH(((0.5^2)+(0.5^2))^0.5,5)</f>
        <v>5</v>
      </c>
      <c r="F104" s="1200"/>
      <c r="G104" s="1201"/>
    </row>
    <row r="105" spans="1:7" ht="12.75" customHeight="1">
      <c r="A105" s="708"/>
      <c r="B105" s="367"/>
      <c r="C105" s="431"/>
      <c r="D105" s="366"/>
      <c r="E105" s="368"/>
      <c r="F105" s="1269"/>
      <c r="G105" s="1269"/>
    </row>
    <row r="106" spans="1:7" ht="12.75" customHeight="1">
      <c r="A106" s="708" t="s">
        <v>1908</v>
      </c>
      <c r="B106" s="367"/>
      <c r="C106" s="959" t="s">
        <v>1821</v>
      </c>
      <c r="D106" s="366" t="s">
        <v>818</v>
      </c>
      <c r="E106" s="368">
        <f>_xlfn.CEILING.MATH((2.54*4)+(3*4)+(10),5)</f>
        <v>35</v>
      </c>
      <c r="F106" s="1200"/>
      <c r="G106" s="1201"/>
    </row>
    <row r="107" spans="1:7" ht="12.75" customHeight="1">
      <c r="A107" s="708"/>
      <c r="B107" s="367"/>
      <c r="C107" s="431"/>
      <c r="D107" s="366"/>
      <c r="E107" s="368"/>
      <c r="F107" s="1269"/>
      <c r="G107" s="1269"/>
    </row>
    <row r="108" spans="1:7" ht="12.75" customHeight="1">
      <c r="A108" s="708"/>
      <c r="B108" s="367" t="s">
        <v>1822</v>
      </c>
      <c r="C108" s="950" t="s">
        <v>983</v>
      </c>
      <c r="D108" s="366"/>
      <c r="E108" s="368"/>
      <c r="F108" s="1269"/>
      <c r="G108" s="1269"/>
    </row>
    <row r="109" spans="1:7" ht="12.75" customHeight="1">
      <c r="A109" s="708"/>
      <c r="B109" s="367"/>
      <c r="C109" s="387"/>
      <c r="D109" s="366"/>
      <c r="E109" s="368"/>
      <c r="F109" s="1269"/>
      <c r="G109" s="1269"/>
    </row>
    <row r="110" spans="1:7" ht="38.25">
      <c r="A110" s="708"/>
      <c r="B110" s="367"/>
      <c r="C110" s="950" t="s">
        <v>984</v>
      </c>
      <c r="D110" s="366"/>
      <c r="E110" s="368"/>
      <c r="F110" s="1269"/>
      <c r="G110" s="1269"/>
    </row>
    <row r="111" spans="1:7" ht="12.75" customHeight="1">
      <c r="A111" s="708"/>
      <c r="B111" s="367"/>
      <c r="C111" s="431"/>
      <c r="D111" s="366"/>
      <c r="E111" s="368"/>
      <c r="F111" s="1269"/>
      <c r="G111" s="1269"/>
    </row>
    <row r="112" spans="1:7" ht="12.75" customHeight="1">
      <c r="A112" s="708" t="s">
        <v>1909</v>
      </c>
      <c r="B112" s="367"/>
      <c r="C112" s="959" t="s">
        <v>1824</v>
      </c>
      <c r="D112" s="366" t="s">
        <v>818</v>
      </c>
      <c r="E112" s="368">
        <f>(((3-0.46))*4)+(3*4)+(10)</f>
        <v>32.159999999999997</v>
      </c>
      <c r="F112" s="1200"/>
      <c r="G112" s="1201"/>
    </row>
    <row r="113" spans="1:7" ht="12.75" customHeight="1">
      <c r="A113" s="708"/>
      <c r="B113" s="367"/>
      <c r="C113" s="375"/>
      <c r="D113" s="366"/>
      <c r="E113" s="368"/>
      <c r="F113" s="1269"/>
      <c r="G113" s="1269"/>
    </row>
    <row r="114" spans="1:7" ht="12.75" customHeight="1">
      <c r="A114" s="708"/>
      <c r="B114" s="541"/>
      <c r="C114" s="430" t="s">
        <v>1826</v>
      </c>
      <c r="D114" s="366"/>
      <c r="E114" s="368"/>
      <c r="F114" s="1269"/>
      <c r="G114" s="1269"/>
    </row>
    <row r="115" spans="1:7" ht="12.75" customHeight="1">
      <c r="A115" s="708"/>
      <c r="B115" s="366"/>
      <c r="C115" s="431"/>
      <c r="D115" s="366"/>
      <c r="E115" s="368"/>
      <c r="F115" s="1269"/>
      <c r="G115" s="1269"/>
    </row>
    <row r="116" spans="1:7" s="417" customFormat="1" ht="12.75" customHeight="1">
      <c r="A116" s="283">
        <v>8.3000000000000007</v>
      </c>
      <c r="B116" s="492" t="s">
        <v>1850</v>
      </c>
      <c r="C116" s="966" t="s">
        <v>1910</v>
      </c>
      <c r="D116" s="418"/>
      <c r="E116" s="967"/>
      <c r="F116" s="1308"/>
      <c r="G116" s="1308"/>
    </row>
    <row r="117" spans="1:7" ht="12.75" customHeight="1">
      <c r="A117" s="708"/>
      <c r="B117" s="366"/>
      <c r="C117" s="431"/>
      <c r="D117" s="366"/>
      <c r="E117" s="368"/>
      <c r="F117" s="1269"/>
      <c r="G117" s="1269"/>
    </row>
    <row r="118" spans="1:7" ht="25.5">
      <c r="A118" s="708">
        <v>8.31</v>
      </c>
      <c r="B118" s="541" t="s">
        <v>1911</v>
      </c>
      <c r="C118" s="431" t="s">
        <v>1854</v>
      </c>
      <c r="D118" s="371" t="s">
        <v>825</v>
      </c>
      <c r="E118" s="368">
        <f>_xlfn.CEILING.MATH(2.54*2.54,5)</f>
        <v>10</v>
      </c>
      <c r="F118" s="1200"/>
      <c r="G118" s="1201"/>
    </row>
    <row r="119" spans="1:7" ht="12.75" customHeight="1">
      <c r="A119" s="708"/>
      <c r="B119" s="366"/>
      <c r="C119" s="431"/>
      <c r="D119" s="366"/>
      <c r="E119" s="368"/>
      <c r="F119" s="1269"/>
      <c r="G119" s="1269"/>
    </row>
    <row r="120" spans="1:7" ht="12.75" customHeight="1">
      <c r="A120" s="708" t="s">
        <v>363</v>
      </c>
      <c r="B120" s="366"/>
      <c r="C120" s="431" t="s">
        <v>1912</v>
      </c>
      <c r="D120" s="371" t="s">
        <v>825</v>
      </c>
      <c r="E120" s="368">
        <f>_xlfn.CEILING.MATH(0.23*3*4,5)</f>
        <v>5</v>
      </c>
      <c r="F120" s="1200"/>
      <c r="G120" s="1201"/>
    </row>
    <row r="121" spans="1:7" ht="12.75" customHeight="1">
      <c r="A121" s="708"/>
      <c r="B121" s="366"/>
      <c r="C121" s="431"/>
      <c r="D121" s="366"/>
      <c r="E121" s="368"/>
      <c r="F121" s="1269"/>
      <c r="G121" s="1269"/>
    </row>
    <row r="122" spans="1:7" s="417" customFormat="1" ht="12.75" customHeight="1">
      <c r="A122" s="283">
        <v>8.4</v>
      </c>
      <c r="B122" s="492" t="s">
        <v>1825</v>
      </c>
      <c r="C122" s="430" t="s">
        <v>1913</v>
      </c>
      <c r="D122" s="418"/>
      <c r="E122" s="967"/>
      <c r="F122" s="1308"/>
      <c r="G122" s="1308"/>
    </row>
    <row r="123" spans="1:7" ht="12.75" customHeight="1">
      <c r="A123" s="708"/>
      <c r="B123" s="367"/>
      <c r="C123" s="968"/>
      <c r="D123" s="366"/>
      <c r="E123" s="368"/>
      <c r="F123" s="1269"/>
      <c r="G123" s="1269"/>
    </row>
    <row r="124" spans="1:7" ht="28.9" customHeight="1">
      <c r="A124" s="892" t="s">
        <v>431</v>
      </c>
      <c r="B124" s="367" t="s">
        <v>1857</v>
      </c>
      <c r="C124" s="431" t="s">
        <v>1914</v>
      </c>
      <c r="D124" s="366" t="s">
        <v>1619</v>
      </c>
      <c r="E124" s="368">
        <f>CEILING((3*3)-(2.54*2.54),5)</f>
        <v>5</v>
      </c>
      <c r="F124" s="1200"/>
      <c r="G124" s="1201"/>
    </row>
    <row r="125" spans="1:7" ht="12.75" customHeight="1">
      <c r="A125" s="896"/>
      <c r="B125" s="367"/>
      <c r="C125" s="431"/>
      <c r="D125" s="366"/>
      <c r="F125" s="1269"/>
      <c r="G125" s="1269"/>
    </row>
    <row r="126" spans="1:7" ht="12.75" customHeight="1">
      <c r="A126" s="896"/>
      <c r="B126" s="367" t="s">
        <v>1827</v>
      </c>
      <c r="C126" s="951" t="s">
        <v>1915</v>
      </c>
      <c r="D126" s="537"/>
      <c r="E126" s="429"/>
      <c r="F126" s="1316"/>
      <c r="G126" s="1269"/>
    </row>
    <row r="127" spans="1:7" ht="12.75" customHeight="1">
      <c r="A127" s="896"/>
      <c r="B127" s="367"/>
      <c r="C127" s="431"/>
      <c r="D127" s="537"/>
      <c r="E127" s="429"/>
      <c r="F127" s="1316"/>
      <c r="G127" s="1269"/>
    </row>
    <row r="128" spans="1:7" ht="12.75" customHeight="1">
      <c r="A128" s="896"/>
      <c r="B128" s="367" t="s">
        <v>1916</v>
      </c>
      <c r="C128" s="951" t="s">
        <v>1829</v>
      </c>
      <c r="D128" s="537"/>
      <c r="E128" s="429"/>
      <c r="F128" s="1316"/>
      <c r="G128" s="1269"/>
    </row>
    <row r="129" spans="1:8" ht="12.75" customHeight="1">
      <c r="A129" s="896"/>
      <c r="B129" s="367"/>
      <c r="C129" s="375"/>
      <c r="D129" s="537"/>
      <c r="E129" s="429"/>
      <c r="F129" s="1316"/>
      <c r="G129" s="1269"/>
    </row>
    <row r="130" spans="1:8" ht="25.5">
      <c r="A130" s="896"/>
      <c r="B130" s="367"/>
      <c r="C130" s="430" t="s">
        <v>1917</v>
      </c>
      <c r="D130" s="537"/>
      <c r="E130" s="429"/>
      <c r="F130" s="1316"/>
      <c r="G130" s="1269"/>
    </row>
    <row r="131" spans="1:8" ht="12.75" customHeight="1">
      <c r="A131" s="892"/>
      <c r="B131" s="380"/>
      <c r="C131" s="431"/>
      <c r="D131" s="537"/>
      <c r="E131" s="429"/>
      <c r="F131" s="1316"/>
      <c r="G131" s="1269"/>
    </row>
    <row r="132" spans="1:8" s="246" customFormat="1" ht="24" customHeight="1">
      <c r="A132" s="892" t="s">
        <v>441</v>
      </c>
      <c r="B132" s="380" t="s">
        <v>1832</v>
      </c>
      <c r="C132" s="893" t="s">
        <v>1918</v>
      </c>
      <c r="D132" s="742" t="s">
        <v>70</v>
      </c>
      <c r="E132" s="711">
        <v>1</v>
      </c>
      <c r="F132" s="1200"/>
      <c r="G132" s="1201"/>
      <c r="H132" s="255"/>
    </row>
    <row r="133" spans="1:8" s="246" customFormat="1" ht="12.75" customHeight="1">
      <c r="A133" s="892"/>
      <c r="B133" s="380"/>
      <c r="C133" s="893"/>
      <c r="D133" s="742"/>
      <c r="E133" s="711"/>
      <c r="F133" s="1238"/>
      <c r="G133" s="1242"/>
      <c r="H133" s="255"/>
    </row>
    <row r="134" spans="1:8" s="246" customFormat="1" ht="12.75" customHeight="1">
      <c r="A134" s="892" t="s">
        <v>969</v>
      </c>
      <c r="B134" s="380" t="s">
        <v>1835</v>
      </c>
      <c r="C134" s="893" t="s">
        <v>1836</v>
      </c>
      <c r="D134" s="742" t="s">
        <v>70</v>
      </c>
      <c r="E134" s="711">
        <v>1</v>
      </c>
      <c r="F134" s="1200"/>
      <c r="G134" s="1201"/>
      <c r="H134" s="255"/>
    </row>
    <row r="135" spans="1:8" ht="12.75" customHeight="1">
      <c r="A135" s="892"/>
      <c r="B135" s="380"/>
      <c r="C135" s="387"/>
      <c r="D135" s="537"/>
      <c r="E135" s="368"/>
      <c r="F135" s="1316"/>
      <c r="G135" s="1307"/>
    </row>
    <row r="136" spans="1:8" ht="12.75" customHeight="1">
      <c r="A136" s="892"/>
      <c r="B136" s="380"/>
      <c r="C136" s="387"/>
      <c r="D136" s="537"/>
      <c r="E136" s="368"/>
      <c r="F136" s="1316"/>
      <c r="G136" s="1307"/>
    </row>
    <row r="137" spans="1:8" ht="12.75" customHeight="1">
      <c r="A137" s="892"/>
      <c r="B137" s="380"/>
      <c r="C137" s="387"/>
      <c r="D137" s="537"/>
      <c r="E137" s="368"/>
      <c r="F137" s="1316"/>
      <c r="G137" s="1307"/>
    </row>
    <row r="138" spans="1:8" ht="12.75" customHeight="1">
      <c r="A138" s="892"/>
      <c r="B138" s="380"/>
      <c r="C138" s="387"/>
      <c r="D138" s="537"/>
      <c r="E138" s="368"/>
      <c r="F138" s="1316"/>
      <c r="G138" s="1307"/>
    </row>
    <row r="139" spans="1:8" ht="12.75" customHeight="1">
      <c r="A139" s="892"/>
      <c r="B139" s="380"/>
      <c r="C139" s="387"/>
      <c r="D139" s="537"/>
      <c r="E139" s="368"/>
      <c r="F139" s="1316"/>
      <c r="G139" s="1307"/>
    </row>
    <row r="140" spans="1:8" ht="12.75" customHeight="1">
      <c r="A140" s="892"/>
      <c r="B140" s="380"/>
      <c r="C140" s="387"/>
      <c r="D140" s="537"/>
      <c r="E140" s="368"/>
      <c r="F140" s="1316"/>
      <c r="G140" s="1307"/>
    </row>
    <row r="141" spans="1:8" ht="12.75" customHeight="1">
      <c r="A141" s="892"/>
      <c r="B141" s="380"/>
      <c r="C141" s="387"/>
      <c r="D141" s="537"/>
      <c r="E141" s="368"/>
      <c r="F141" s="1316"/>
      <c r="G141" s="1307"/>
    </row>
    <row r="142" spans="1:8" ht="12.75" customHeight="1">
      <c r="A142" s="892"/>
      <c r="B142" s="380"/>
      <c r="C142" s="387"/>
      <c r="D142" s="537"/>
      <c r="E142" s="368"/>
      <c r="F142" s="1316"/>
      <c r="G142" s="1307"/>
    </row>
    <row r="143" spans="1:8" ht="12.75" customHeight="1">
      <c r="A143" s="892"/>
      <c r="B143" s="380"/>
      <c r="C143" s="387"/>
      <c r="D143" s="537"/>
      <c r="E143" s="368"/>
      <c r="F143" s="1316"/>
      <c r="G143" s="1307"/>
    </row>
    <row r="144" spans="1:8" ht="12.75" customHeight="1">
      <c r="A144" s="892"/>
      <c r="B144" s="380"/>
      <c r="C144" s="387"/>
      <c r="D144" s="537"/>
      <c r="E144" s="368"/>
      <c r="F144" s="1316"/>
      <c r="G144" s="1307"/>
    </row>
    <row r="145" spans="1:7" ht="12.75" customHeight="1">
      <c r="A145" s="892"/>
      <c r="B145" s="380"/>
      <c r="C145" s="387"/>
      <c r="D145" s="537"/>
      <c r="E145" s="368"/>
      <c r="F145" s="1316"/>
      <c r="G145" s="1307"/>
    </row>
    <row r="146" spans="1:7" ht="12.75" customHeight="1">
      <c r="A146" s="892"/>
      <c r="B146" s="380"/>
      <c r="C146" s="387"/>
      <c r="D146" s="537"/>
      <c r="E146" s="368"/>
      <c r="F146" s="1316"/>
      <c r="G146" s="1307"/>
    </row>
    <row r="147" spans="1:7" ht="12.75" customHeight="1">
      <c r="A147" s="892"/>
      <c r="B147" s="380"/>
      <c r="C147" s="387"/>
      <c r="D147" s="537"/>
      <c r="E147" s="368"/>
      <c r="F147" s="1316"/>
      <c r="G147" s="1307"/>
    </row>
    <row r="148" spans="1:7" ht="12.75" customHeight="1">
      <c r="A148" s="892"/>
      <c r="B148" s="380"/>
      <c r="C148" s="387"/>
      <c r="D148" s="537"/>
      <c r="E148" s="368"/>
      <c r="F148" s="1316"/>
      <c r="G148" s="1307"/>
    </row>
    <row r="149" spans="1:7" ht="12.75" customHeight="1">
      <c r="A149" s="892"/>
      <c r="B149" s="380"/>
      <c r="C149" s="387"/>
      <c r="D149" s="537"/>
      <c r="E149" s="368"/>
      <c r="F149" s="1316"/>
      <c r="G149" s="1307"/>
    </row>
    <row r="150" spans="1:7" ht="12.75" customHeight="1">
      <c r="A150" s="892"/>
      <c r="B150" s="380"/>
      <c r="C150" s="387"/>
      <c r="D150" s="537"/>
      <c r="E150" s="368"/>
      <c r="F150" s="1316"/>
      <c r="G150" s="1307"/>
    </row>
    <row r="151" spans="1:7" ht="12.75" customHeight="1">
      <c r="A151" s="892"/>
      <c r="B151" s="380"/>
      <c r="C151" s="387"/>
      <c r="D151" s="537"/>
      <c r="E151" s="368"/>
      <c r="F151" s="1316"/>
      <c r="G151" s="1307"/>
    </row>
    <row r="152" spans="1:7" ht="12.75" customHeight="1">
      <c r="A152" s="892"/>
      <c r="B152" s="380"/>
      <c r="C152" s="387"/>
      <c r="D152" s="537"/>
      <c r="E152" s="368"/>
      <c r="F152" s="1316"/>
      <c r="G152" s="1307"/>
    </row>
    <row r="153" spans="1:7" ht="12.75" customHeight="1">
      <c r="A153" s="1594" t="s">
        <v>1919</v>
      </c>
      <c r="B153" s="1595"/>
      <c r="C153" s="1595"/>
      <c r="D153" s="1595"/>
      <c r="E153" s="1595"/>
      <c r="F153" s="1596"/>
      <c r="G153" s="1592"/>
    </row>
    <row r="154" spans="1:7" s="417" customFormat="1" ht="12.75" customHeight="1">
      <c r="A154" s="1597"/>
      <c r="B154" s="1598"/>
      <c r="C154" s="1598"/>
      <c r="D154" s="1598"/>
      <c r="E154" s="1598"/>
      <c r="F154" s="1599"/>
      <c r="G154" s="1593"/>
    </row>
    <row r="155" spans="1:7" ht="12.75" customHeight="1">
      <c r="A155" s="969"/>
      <c r="B155" s="544"/>
      <c r="C155" s="432"/>
      <c r="D155" s="433"/>
      <c r="E155" s="433"/>
      <c r="F155" s="434"/>
      <c r="G155" s="434"/>
    </row>
    <row r="156" spans="1:7" ht="12.75" customHeight="1">
      <c r="A156" s="969"/>
      <c r="B156" s="436"/>
      <c r="C156" s="432"/>
      <c r="D156" s="433"/>
      <c r="E156" s="433"/>
      <c r="F156" s="434"/>
      <c r="G156" s="434"/>
    </row>
    <row r="157" spans="1:7" ht="12.75" customHeight="1">
      <c r="A157" s="969"/>
      <c r="B157" s="544"/>
      <c r="C157" s="432"/>
      <c r="D157" s="433"/>
      <c r="E157" s="433"/>
      <c r="F157" s="434"/>
      <c r="G157" s="434"/>
    </row>
    <row r="158" spans="1:7" ht="12.75" customHeight="1">
      <c r="A158" s="969"/>
      <c r="B158" s="436"/>
      <c r="C158" s="432"/>
      <c r="D158" s="433"/>
      <c r="E158" s="433"/>
      <c r="F158" s="434"/>
      <c r="G158" s="434"/>
    </row>
    <row r="159" spans="1:7" ht="12.75" customHeight="1">
      <c r="A159" s="969"/>
      <c r="B159" s="436"/>
      <c r="C159" s="435"/>
      <c r="D159" s="433"/>
      <c r="E159" s="433"/>
      <c r="F159" s="434"/>
      <c r="G159" s="434"/>
    </row>
    <row r="160" spans="1:7" ht="12.75" customHeight="1">
      <c r="A160" s="969"/>
      <c r="B160" s="436"/>
      <c r="C160" s="437"/>
      <c r="D160" s="386"/>
      <c r="E160" s="438"/>
      <c r="F160" s="439"/>
      <c r="G160" s="439"/>
    </row>
    <row r="161" spans="1:7" ht="12.75" customHeight="1">
      <c r="A161" s="970"/>
      <c r="B161" s="440"/>
      <c r="C161" s="441"/>
      <c r="D161" s="394"/>
      <c r="E161" s="442"/>
      <c r="F161" s="443"/>
      <c r="G161" s="443"/>
    </row>
    <row r="162" spans="1:7" ht="12.75" customHeight="1">
      <c r="A162" s="970"/>
      <c r="B162" s="440"/>
      <c r="C162" s="444"/>
      <c r="D162" s="394"/>
      <c r="E162" s="442"/>
      <c r="F162" s="443"/>
      <c r="G162" s="443"/>
    </row>
  </sheetData>
  <sheetProtection algorithmName="SHA-512" hashValue="/0wjHgtsZ7jbFRb0+qvvtP4cCUPX6DQACfW7VD4626hAM2neTCVWyS/QUA/kVnlNi7mqkRrG9frpXIqVagCLfQ==" saltValue="cGsGIKBLKgsOy5CYcxvPow==" spinCount="100000" sheet="1" objects="1" scenarios="1"/>
  <mergeCells count="13">
    <mergeCell ref="A1:G1"/>
    <mergeCell ref="G153:G154"/>
    <mergeCell ref="F3:F4"/>
    <mergeCell ref="G3:G4"/>
    <mergeCell ref="A153:F154"/>
    <mergeCell ref="A3:A4"/>
    <mergeCell ref="B3:B4"/>
    <mergeCell ref="C3:C4"/>
    <mergeCell ref="D3:D4"/>
    <mergeCell ref="E3:E4"/>
    <mergeCell ref="A81:E82"/>
    <mergeCell ref="F81:F82"/>
    <mergeCell ref="G81:G82"/>
  </mergeCells>
  <phoneticPr fontId="38" type="noConversion"/>
  <pageMargins left="0.70866141732283472" right="0.70866141732283472" top="0.86614173228346458" bottom="0.78740157480314965" header="0.31496062992125984" footer="0.19685039370078741"/>
  <pageSetup paperSize="9" scale="67" firstPageNumber="76" orientation="portrait" useFirstPageNumber="1" r:id="rId1"/>
  <headerFooter>
    <oddHeader>&amp;L&amp;G&amp;CCONSTRUCTION OF 20ML CARLSWALD RESERVOIR
SCHEDULE OF QUANTITIES&amp;R&amp;G</oddHeader>
    <oddFooter>&amp;C&amp;G
C.&amp;P</oddFooter>
  </headerFooter>
  <rowBreaks count="1" manualBreakCount="1">
    <brk id="82" max="6" man="1"/>
  </rowBreaks>
  <colBreaks count="1" manualBreakCount="1">
    <brk id="7" max="1048575" man="1"/>
  </colBreaks>
  <legacyDrawing r:id="rId2"/>
  <legacyDrawingHF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E4658-6BF9-4B15-8C0D-7113A8DA9DD9}">
  <dimension ref="A1:L278"/>
  <sheetViews>
    <sheetView view="pageBreakPreview" topLeftCell="A213" zoomScale="85" zoomScaleNormal="79" zoomScaleSheetLayoutView="85" zoomScalePageLayoutView="80" workbookViewId="0">
      <selection activeCell="C212" sqref="C212"/>
    </sheetView>
  </sheetViews>
  <sheetFormatPr defaultColWidth="8.85546875" defaultRowHeight="12.75"/>
  <cols>
    <col min="1" max="1" width="9.5703125" style="253" customWidth="1"/>
    <col min="2" max="2" width="15.28515625" style="508" customWidth="1"/>
    <col min="3" max="3" width="47.7109375" style="306" customWidth="1"/>
    <col min="4" max="4" width="8.7109375" style="245" customWidth="1"/>
    <col min="5" max="5" width="9.7109375" style="388" customWidth="1"/>
    <col min="6" max="6" width="15.42578125" style="391" customWidth="1"/>
    <col min="7" max="7" width="21.42578125" style="392" customWidth="1"/>
    <col min="8" max="8" width="0" style="245" hidden="1" customWidth="1"/>
    <col min="9" max="16384" width="8.85546875" style="245"/>
  </cols>
  <sheetData>
    <row r="1" spans="1:10" ht="15" customHeight="1">
      <c r="A1" s="1589" t="s">
        <v>292</v>
      </c>
      <c r="B1" s="1589"/>
      <c r="C1" s="1589"/>
      <c r="D1" s="1589"/>
      <c r="E1" s="1589"/>
      <c r="F1" s="1589"/>
      <c r="G1" s="1589"/>
      <c r="H1" s="674"/>
      <c r="I1" s="674"/>
      <c r="J1" s="674"/>
    </row>
    <row r="2" spans="1:10">
      <c r="A2" s="312"/>
      <c r="B2" s="312"/>
      <c r="C2" s="312"/>
      <c r="D2" s="312"/>
      <c r="E2" s="312"/>
      <c r="F2" s="365"/>
      <c r="G2" s="556"/>
      <c r="H2" s="674"/>
      <c r="I2" s="674"/>
      <c r="J2" s="674"/>
    </row>
    <row r="3" spans="1:10">
      <c r="A3" s="1578" t="s">
        <v>322</v>
      </c>
      <c r="B3" s="1578" t="s">
        <v>323</v>
      </c>
      <c r="C3" s="1580" t="s">
        <v>33</v>
      </c>
      <c r="D3" s="1582" t="s">
        <v>324</v>
      </c>
      <c r="E3" s="1584" t="s">
        <v>325</v>
      </c>
      <c r="F3" s="1574" t="s">
        <v>326</v>
      </c>
      <c r="G3" s="1576" t="s">
        <v>327</v>
      </c>
      <c r="H3" s="674"/>
      <c r="I3" s="674"/>
      <c r="J3" s="674"/>
    </row>
    <row r="4" spans="1:10">
      <c r="A4" s="1579"/>
      <c r="B4" s="1579"/>
      <c r="C4" s="1581"/>
      <c r="D4" s="1583"/>
      <c r="E4" s="1585"/>
      <c r="F4" s="1575"/>
      <c r="G4" s="1577"/>
      <c r="H4" s="674"/>
      <c r="I4" s="674"/>
      <c r="J4" s="674"/>
    </row>
    <row r="5" spans="1:10">
      <c r="A5" s="371"/>
      <c r="B5" s="380"/>
      <c r="C5" s="387"/>
      <c r="D5" s="380"/>
      <c r="E5" s="372"/>
      <c r="F5" s="1307"/>
      <c r="G5" s="1307"/>
      <c r="H5" s="674"/>
      <c r="I5" s="674"/>
      <c r="J5" s="674"/>
    </row>
    <row r="6" spans="1:10" s="290" customFormat="1">
      <c r="A6" s="748"/>
      <c r="B6" s="1099"/>
      <c r="C6" s="238" t="s">
        <v>292</v>
      </c>
      <c r="D6" s="749"/>
      <c r="E6" s="749"/>
      <c r="F6" s="1227"/>
      <c r="G6" s="1228"/>
      <c r="J6" s="255"/>
    </row>
    <row r="7" spans="1:10" s="246" customFormat="1">
      <c r="A7" s="895"/>
      <c r="B7" s="450"/>
      <c r="C7" s="451"/>
      <c r="D7" s="896"/>
      <c r="E7" s="910"/>
      <c r="F7" s="1242"/>
      <c r="G7" s="1242"/>
      <c r="H7" s="255"/>
      <c r="I7" s="679"/>
      <c r="J7" s="679"/>
    </row>
    <row r="8" spans="1:10" s="248" customFormat="1" ht="21" customHeight="1">
      <c r="A8" s="373">
        <v>9.1</v>
      </c>
      <c r="B8" s="492" t="s">
        <v>1874</v>
      </c>
      <c r="C8" s="481" t="s">
        <v>820</v>
      </c>
      <c r="D8" s="492"/>
      <c r="E8" s="493"/>
      <c r="F8" s="1306"/>
      <c r="G8" s="1306"/>
    </row>
    <row r="9" spans="1:10">
      <c r="A9" s="371"/>
      <c r="B9" s="380"/>
      <c r="C9" s="387"/>
      <c r="D9" s="380"/>
      <c r="E9" s="372"/>
      <c r="F9" s="1307"/>
      <c r="G9" s="1307"/>
      <c r="H9" s="674"/>
      <c r="I9" s="674"/>
      <c r="J9" s="674"/>
    </row>
    <row r="10" spans="1:10">
      <c r="A10" s="371"/>
      <c r="B10" s="380" t="s">
        <v>1420</v>
      </c>
      <c r="C10" s="950" t="s">
        <v>652</v>
      </c>
      <c r="D10" s="380"/>
      <c r="E10" s="372"/>
      <c r="F10" s="1307"/>
      <c r="G10" s="1307"/>
      <c r="H10" s="674"/>
      <c r="I10" s="674"/>
      <c r="J10" s="674"/>
    </row>
    <row r="11" spans="1:10">
      <c r="A11" s="371"/>
      <c r="B11" s="380"/>
      <c r="C11" s="387"/>
      <c r="D11" s="380"/>
      <c r="E11" s="372"/>
      <c r="F11" s="1307"/>
      <c r="G11" s="1307"/>
      <c r="H11" s="674"/>
      <c r="I11" s="674"/>
      <c r="J11" s="674"/>
    </row>
    <row r="12" spans="1:10" ht="33" customHeight="1">
      <c r="A12" s="371"/>
      <c r="B12" s="380" t="s">
        <v>1708</v>
      </c>
      <c r="C12" s="950" t="s">
        <v>1772</v>
      </c>
      <c r="D12" s="380"/>
      <c r="E12" s="372"/>
      <c r="F12" s="1307"/>
      <c r="G12" s="1307"/>
      <c r="H12" s="674"/>
      <c r="I12" s="674"/>
      <c r="J12" s="674"/>
    </row>
    <row r="13" spans="1:10">
      <c r="A13" s="366"/>
      <c r="B13" s="382"/>
      <c r="C13" s="971"/>
      <c r="D13" s="366"/>
      <c r="E13" s="368"/>
      <c r="F13" s="1295"/>
      <c r="G13" s="1307"/>
      <c r="H13" s="674"/>
      <c r="I13" s="674"/>
      <c r="J13" s="674"/>
    </row>
    <row r="14" spans="1:10" s="290" customFormat="1">
      <c r="A14" s="748" t="s">
        <v>1920</v>
      </c>
      <c r="B14" s="1031"/>
      <c r="C14" s="1141" t="s">
        <v>1062</v>
      </c>
      <c r="D14" s="749" t="s">
        <v>574</v>
      </c>
      <c r="E14" s="754">
        <f>_xlfn.CEILING.MATH((12.6*12.6*2),5)</f>
        <v>320</v>
      </c>
      <c r="F14" s="1231"/>
      <c r="G14" s="1194"/>
      <c r="H14" s="255"/>
      <c r="I14" s="273"/>
    </row>
    <row r="15" spans="1:10" s="290" customFormat="1">
      <c r="A15" s="366"/>
      <c r="B15" s="1031"/>
      <c r="C15" s="1141"/>
      <c r="D15" s="749"/>
      <c r="E15" s="754"/>
      <c r="F15" s="1231"/>
      <c r="G15" s="1194"/>
      <c r="H15" s="255"/>
      <c r="I15" s="255"/>
    </row>
    <row r="16" spans="1:10" s="290" customFormat="1">
      <c r="A16" s="748" t="s">
        <v>1921</v>
      </c>
      <c r="B16" s="1031"/>
      <c r="C16" s="1141" t="s">
        <v>1064</v>
      </c>
      <c r="D16" s="749" t="s">
        <v>574</v>
      </c>
      <c r="E16" s="754">
        <f>_xlfn.CEILING.MATH((12.6*12.6*1.65),5)</f>
        <v>265</v>
      </c>
      <c r="F16" s="1231"/>
      <c r="G16" s="1194"/>
      <c r="H16" s="255"/>
      <c r="I16" s="255"/>
    </row>
    <row r="17" spans="1:9" s="290" customFormat="1">
      <c r="A17" s="748"/>
      <c r="B17" s="1031"/>
      <c r="C17" s="1141"/>
      <c r="D17" s="749"/>
      <c r="E17" s="754"/>
      <c r="F17" s="1231"/>
      <c r="G17" s="1194"/>
      <c r="H17" s="255"/>
      <c r="I17" s="255"/>
    </row>
    <row r="18" spans="1:9" s="290" customFormat="1">
      <c r="A18" s="748"/>
      <c r="B18" s="331" t="s">
        <v>1065</v>
      </c>
      <c r="C18" s="499" t="s">
        <v>1922</v>
      </c>
      <c r="D18" s="749"/>
      <c r="E18" s="754"/>
      <c r="F18" s="1231"/>
      <c r="G18" s="1194"/>
      <c r="H18" s="255"/>
      <c r="I18" s="255"/>
    </row>
    <row r="19" spans="1:9">
      <c r="A19" s="366"/>
      <c r="B19" s="367"/>
      <c r="C19" s="375"/>
      <c r="D19" s="366"/>
      <c r="E19" s="368"/>
      <c r="F19" s="1295"/>
      <c r="G19" s="1307"/>
      <c r="H19" s="674"/>
      <c r="I19" s="674"/>
    </row>
    <row r="20" spans="1:9" ht="15">
      <c r="A20" s="366" t="s">
        <v>1923</v>
      </c>
      <c r="B20" s="367"/>
      <c r="C20" s="375" t="s">
        <v>1924</v>
      </c>
      <c r="D20" s="366" t="s">
        <v>917</v>
      </c>
      <c r="E20" s="368">
        <v>280</v>
      </c>
      <c r="F20" s="1295"/>
      <c r="G20" s="1307"/>
      <c r="H20" s="393" t="s">
        <v>1925</v>
      </c>
      <c r="I20" s="674"/>
    </row>
    <row r="21" spans="1:9">
      <c r="A21" s="366"/>
      <c r="B21" s="367"/>
      <c r="C21" s="375"/>
      <c r="D21" s="366"/>
      <c r="E21" s="368"/>
      <c r="F21" s="1295"/>
      <c r="G21" s="1307"/>
      <c r="H21" s="674"/>
      <c r="I21" s="674"/>
    </row>
    <row r="22" spans="1:9" ht="15">
      <c r="A22" s="366" t="s">
        <v>1926</v>
      </c>
      <c r="B22" s="367"/>
      <c r="C22" s="375" t="s">
        <v>1294</v>
      </c>
      <c r="D22" s="366" t="s">
        <v>917</v>
      </c>
      <c r="E22" s="368">
        <f>120+2.5</f>
        <v>122.5</v>
      </c>
      <c r="F22" s="1295"/>
      <c r="G22" s="1307"/>
      <c r="H22" s="674"/>
      <c r="I22" s="674"/>
    </row>
    <row r="23" spans="1:9">
      <c r="A23" s="366"/>
      <c r="B23" s="367"/>
      <c r="C23" s="375"/>
      <c r="D23" s="366"/>
      <c r="E23" s="368"/>
      <c r="F23" s="1295"/>
      <c r="G23" s="1307"/>
      <c r="H23" s="674"/>
      <c r="I23" s="674"/>
    </row>
    <row r="24" spans="1:9" ht="15">
      <c r="A24" s="366" t="s">
        <v>1927</v>
      </c>
      <c r="B24" s="367"/>
      <c r="C24" s="375" t="s">
        <v>1297</v>
      </c>
      <c r="D24" s="366" t="s">
        <v>917</v>
      </c>
      <c r="E24" s="368">
        <f>132+0.8</f>
        <v>132.80000000000001</v>
      </c>
      <c r="F24" s="1295"/>
      <c r="G24" s="1307"/>
      <c r="H24" s="674"/>
      <c r="I24" s="674"/>
    </row>
    <row r="25" spans="1:9">
      <c r="A25" s="366"/>
      <c r="B25" s="367"/>
      <c r="C25" s="375"/>
      <c r="D25" s="366"/>
      <c r="E25" s="368"/>
      <c r="F25" s="1295"/>
      <c r="G25" s="1307"/>
      <c r="H25" s="674"/>
      <c r="I25" s="674"/>
    </row>
    <row r="26" spans="1:9" s="290" customFormat="1" ht="25.5">
      <c r="A26" s="366" t="s">
        <v>1928</v>
      </c>
      <c r="B26" s="1031"/>
      <c r="C26" s="411" t="s">
        <v>1929</v>
      </c>
      <c r="D26" s="659"/>
      <c r="E26" s="754"/>
      <c r="F26" s="1191"/>
      <c r="G26" s="1194"/>
      <c r="H26" s="273" t="s">
        <v>1779</v>
      </c>
      <c r="I26" s="255"/>
    </row>
    <row r="27" spans="1:9">
      <c r="A27" s="366"/>
      <c r="B27" s="367"/>
      <c r="C27" s="375"/>
      <c r="D27" s="366"/>
      <c r="E27" s="368"/>
      <c r="F27" s="1295"/>
      <c r="G27" s="1307"/>
      <c r="H27" s="247"/>
      <c r="I27" s="674"/>
    </row>
    <row r="28" spans="1:9" s="173" customFormat="1">
      <c r="A28" s="366" t="s">
        <v>1930</v>
      </c>
      <c r="B28" s="366" t="s">
        <v>929</v>
      </c>
      <c r="C28" s="375" t="s">
        <v>845</v>
      </c>
      <c r="D28" s="665" t="s">
        <v>846</v>
      </c>
      <c r="E28" s="368">
        <v>250</v>
      </c>
      <c r="F28" s="1295"/>
      <c r="G28" s="1307"/>
      <c r="I28" s="233"/>
    </row>
    <row r="29" spans="1:9" s="173" customFormat="1">
      <c r="A29" s="366"/>
      <c r="B29" s="545"/>
      <c r="C29" s="546"/>
      <c r="D29" s="665"/>
      <c r="E29" s="415"/>
      <c r="F29" s="1317"/>
      <c r="G29" s="1318"/>
      <c r="I29" s="233"/>
    </row>
    <row r="30" spans="1:9">
      <c r="A30" s="366"/>
      <c r="B30" s="382" t="s">
        <v>1082</v>
      </c>
      <c r="C30" s="972" t="s">
        <v>1931</v>
      </c>
      <c r="D30" s="366"/>
      <c r="E30" s="368"/>
      <c r="F30" s="1295"/>
      <c r="G30" s="1307"/>
      <c r="H30" s="674"/>
      <c r="I30" s="674"/>
    </row>
    <row r="31" spans="1:9">
      <c r="A31" s="366"/>
      <c r="B31" s="382"/>
      <c r="C31" s="971"/>
      <c r="D31" s="366"/>
      <c r="E31" s="368"/>
      <c r="F31" s="1295"/>
      <c r="G31" s="1307"/>
      <c r="H31" s="674"/>
      <c r="I31" s="674"/>
    </row>
    <row r="32" spans="1:9" ht="25.5">
      <c r="A32" s="366"/>
      <c r="B32" s="1155" t="s">
        <v>1932</v>
      </c>
      <c r="C32" s="879" t="s">
        <v>1478</v>
      </c>
      <c r="D32" s="366"/>
      <c r="E32" s="368"/>
      <c r="F32" s="1295"/>
      <c r="G32" s="1307"/>
      <c r="H32" s="674"/>
      <c r="I32" s="674"/>
    </row>
    <row r="33" spans="1:12">
      <c r="A33" s="366"/>
      <c r="B33" s="382"/>
      <c r="C33" s="971"/>
      <c r="D33" s="366"/>
      <c r="E33" s="368"/>
      <c r="F33" s="1295"/>
      <c r="G33" s="1307"/>
      <c r="H33" s="674"/>
      <c r="I33" s="674"/>
      <c r="J33" s="674"/>
      <c r="K33" s="674"/>
      <c r="L33" s="674"/>
    </row>
    <row r="34" spans="1:12">
      <c r="A34" s="366" t="s">
        <v>1933</v>
      </c>
      <c r="B34" s="382"/>
      <c r="C34" s="971" t="s">
        <v>1934</v>
      </c>
      <c r="D34" s="366" t="s">
        <v>1319</v>
      </c>
      <c r="E34" s="368">
        <v>2</v>
      </c>
      <c r="F34" s="1295"/>
      <c r="G34" s="1307"/>
      <c r="H34" s="674"/>
      <c r="I34" s="674"/>
      <c r="J34" s="674"/>
      <c r="K34" s="674"/>
      <c r="L34" s="674"/>
    </row>
    <row r="35" spans="1:12">
      <c r="A35" s="366"/>
      <c r="B35" s="367"/>
      <c r="C35" s="375"/>
      <c r="D35" s="366"/>
      <c r="E35" s="368"/>
      <c r="F35" s="1295"/>
      <c r="G35" s="1307"/>
      <c r="H35" s="674"/>
      <c r="I35" s="674"/>
      <c r="J35" s="674"/>
      <c r="K35" s="674"/>
      <c r="L35" s="674"/>
    </row>
    <row r="36" spans="1:12">
      <c r="A36" s="366" t="s">
        <v>1935</v>
      </c>
      <c r="B36" s="367"/>
      <c r="C36" s="971" t="s">
        <v>1936</v>
      </c>
      <c r="D36" s="366" t="s">
        <v>1319</v>
      </c>
      <c r="E36" s="368">
        <v>2</v>
      </c>
      <c r="F36" s="1295"/>
      <c r="G36" s="1307"/>
      <c r="H36" s="674"/>
      <c r="I36" s="674"/>
      <c r="J36" s="674"/>
      <c r="K36" s="674"/>
      <c r="L36" s="674"/>
    </row>
    <row r="37" spans="1:12" s="290" customFormat="1">
      <c r="A37" s="328"/>
      <c r="B37" s="999"/>
      <c r="C37" s="1135"/>
      <c r="D37" s="535"/>
      <c r="E37" s="536"/>
      <c r="F37" s="1165"/>
      <c r="G37" s="1264"/>
      <c r="H37" s="255"/>
      <c r="I37" s="255"/>
    </row>
    <row r="38" spans="1:12" s="294" customFormat="1">
      <c r="A38" s="659"/>
      <c r="B38" s="316" t="s">
        <v>1076</v>
      </c>
      <c r="C38" s="552" t="s">
        <v>1077</v>
      </c>
      <c r="D38" s="757"/>
      <c r="E38" s="307"/>
      <c r="F38" s="1235"/>
      <c r="G38" s="1236"/>
      <c r="J38" s="409"/>
    </row>
    <row r="39" spans="1:12">
      <c r="A39" s="366"/>
      <c r="B39" s="367"/>
      <c r="C39" s="375"/>
      <c r="D39" s="366"/>
      <c r="E39" s="368"/>
      <c r="F39" s="1295"/>
      <c r="G39" s="1307"/>
      <c r="H39" s="674"/>
      <c r="I39" s="674"/>
      <c r="J39" s="674"/>
      <c r="K39" s="674"/>
      <c r="L39" s="674"/>
    </row>
    <row r="40" spans="1:12" s="502" customFormat="1" ht="12.75" customHeight="1">
      <c r="A40" s="328"/>
      <c r="B40" s="1018" t="s">
        <v>1078</v>
      </c>
      <c r="C40" s="1143" t="s">
        <v>1358</v>
      </c>
      <c r="D40" s="589"/>
      <c r="E40" s="589"/>
      <c r="F40" s="1285"/>
      <c r="G40" s="1190"/>
      <c r="L40" s="503"/>
    </row>
    <row r="41" spans="1:12" s="502" customFormat="1" ht="12.75" customHeight="1">
      <c r="A41" s="328"/>
      <c r="B41" s="1018"/>
      <c r="C41" s="1044"/>
      <c r="D41" s="589"/>
      <c r="E41" s="589"/>
      <c r="F41" s="1285"/>
      <c r="G41" s="1190"/>
      <c r="L41" s="503"/>
    </row>
    <row r="42" spans="1:12" s="502" customFormat="1" ht="37.5" customHeight="1">
      <c r="A42" s="328" t="s">
        <v>1937</v>
      </c>
      <c r="B42" s="1018"/>
      <c r="C42" s="590" t="s">
        <v>1938</v>
      </c>
      <c r="D42" s="589" t="s">
        <v>335</v>
      </c>
      <c r="E42" s="589">
        <v>1</v>
      </c>
      <c r="F42" s="1288"/>
      <c r="G42" s="1187"/>
      <c r="H42" s="602" t="s">
        <v>1316</v>
      </c>
    </row>
    <row r="43" spans="1:12">
      <c r="A43" s="366"/>
      <c r="B43" s="367"/>
      <c r="C43" s="375"/>
      <c r="D43" s="366"/>
      <c r="E43" s="368"/>
      <c r="F43" s="1295"/>
      <c r="G43" s="1307"/>
      <c r="H43" s="674"/>
      <c r="I43" s="674"/>
      <c r="J43" s="674"/>
      <c r="K43" s="674"/>
      <c r="L43" s="674"/>
    </row>
    <row r="44" spans="1:12" s="248" customFormat="1" ht="27" customHeight="1">
      <c r="A44" s="538" t="s">
        <v>1939</v>
      </c>
      <c r="B44" s="492" t="s">
        <v>953</v>
      </c>
      <c r="C44" s="951" t="s">
        <v>1092</v>
      </c>
      <c r="D44" s="418"/>
      <c r="E44" s="967"/>
      <c r="F44" s="1319"/>
      <c r="G44" s="1306"/>
    </row>
    <row r="45" spans="1:12">
      <c r="A45" s="367"/>
      <c r="B45" s="366"/>
      <c r="C45" s="375"/>
      <c r="D45" s="366"/>
      <c r="E45" s="368"/>
      <c r="F45" s="1295"/>
      <c r="G45" s="1307"/>
      <c r="H45" s="674"/>
      <c r="I45" s="674"/>
      <c r="J45" s="674"/>
      <c r="K45" s="674"/>
      <c r="L45" s="674"/>
    </row>
    <row r="46" spans="1:12">
      <c r="A46" s="367"/>
      <c r="B46" s="366">
        <v>8.1999999999999993</v>
      </c>
      <c r="C46" s="1160" t="s">
        <v>955</v>
      </c>
      <c r="D46" s="366"/>
      <c r="E46" s="368"/>
      <c r="F46" s="1295"/>
      <c r="G46" s="1307"/>
      <c r="H46" s="674"/>
      <c r="I46" s="674"/>
      <c r="J46" s="674"/>
      <c r="K46" s="674"/>
      <c r="L46" s="674"/>
    </row>
    <row r="47" spans="1:12">
      <c r="A47" s="367"/>
      <c r="B47" s="366"/>
      <c r="C47" s="376"/>
      <c r="D47" s="366"/>
      <c r="E47" s="368"/>
      <c r="F47" s="1295"/>
      <c r="G47" s="1307"/>
      <c r="H47" s="674"/>
      <c r="I47" s="674"/>
      <c r="J47" s="674"/>
      <c r="K47" s="674"/>
      <c r="L47" s="674"/>
    </row>
    <row r="48" spans="1:12">
      <c r="A48" s="367"/>
      <c r="B48" s="366"/>
      <c r="C48" s="973" t="s">
        <v>1093</v>
      </c>
      <c r="D48" s="366"/>
      <c r="E48" s="368"/>
      <c r="F48" s="1295"/>
      <c r="G48" s="1307"/>
      <c r="H48" s="674"/>
      <c r="I48" s="674"/>
      <c r="J48" s="674"/>
      <c r="K48" s="674"/>
      <c r="L48" s="674"/>
    </row>
    <row r="49" spans="1:9">
      <c r="A49" s="367"/>
      <c r="B49" s="366"/>
      <c r="C49" s="881"/>
      <c r="D49" s="366"/>
      <c r="E49" s="368"/>
      <c r="F49" s="1295"/>
      <c r="G49" s="1307"/>
      <c r="H49" s="674"/>
      <c r="I49" s="674"/>
    </row>
    <row r="50" spans="1:9">
      <c r="A50" s="367"/>
      <c r="B50" s="366"/>
      <c r="C50" s="879" t="s">
        <v>1094</v>
      </c>
      <c r="D50" s="366"/>
      <c r="E50" s="368"/>
      <c r="F50" s="1295"/>
      <c r="G50" s="1307"/>
      <c r="H50" s="674"/>
      <c r="I50" s="674"/>
    </row>
    <row r="51" spans="1:9">
      <c r="A51" s="371"/>
      <c r="B51" s="366"/>
      <c r="C51" s="376"/>
      <c r="D51" s="371"/>
      <c r="E51" s="372"/>
      <c r="F51" s="1320"/>
      <c r="G51" s="1307"/>
      <c r="H51" s="674"/>
      <c r="I51" s="674"/>
    </row>
    <row r="52" spans="1:9">
      <c r="A52" s="371" t="s">
        <v>1940</v>
      </c>
      <c r="B52" s="371"/>
      <c r="C52" s="584" t="s">
        <v>1941</v>
      </c>
      <c r="D52" s="371" t="s">
        <v>825</v>
      </c>
      <c r="E52" s="372">
        <v>320</v>
      </c>
      <c r="F52" s="1320"/>
      <c r="G52" s="1307"/>
      <c r="H52" s="372">
        <f>_xlfn.CEILING.MATH(12.6*6.275*4)</f>
        <v>317</v>
      </c>
      <c r="I52" s="674"/>
    </row>
    <row r="53" spans="1:9">
      <c r="A53" s="371"/>
      <c r="B53" s="371"/>
      <c r="C53" s="584"/>
      <c r="D53" s="371"/>
      <c r="E53" s="372"/>
      <c r="F53" s="1295"/>
      <c r="G53" s="1307"/>
      <c r="H53" s="674"/>
      <c r="I53" s="674"/>
    </row>
    <row r="54" spans="1:9">
      <c r="A54" s="371" t="s">
        <v>1942</v>
      </c>
      <c r="B54" s="366"/>
      <c r="C54" s="431" t="s">
        <v>1943</v>
      </c>
      <c r="D54" s="371" t="s">
        <v>825</v>
      </c>
      <c r="E54" s="372">
        <f>4+4</f>
        <v>8</v>
      </c>
      <c r="F54" s="1295"/>
      <c r="G54" s="1307"/>
      <c r="H54" s="674">
        <f>1.2*0.7*4</f>
        <v>3.36</v>
      </c>
      <c r="I54" s="674"/>
    </row>
    <row r="55" spans="1:9">
      <c r="A55" s="371"/>
      <c r="B55" s="366"/>
      <c r="C55" s="376"/>
      <c r="D55" s="366"/>
      <c r="E55" s="368"/>
      <c r="F55" s="1295"/>
      <c r="G55" s="1307"/>
      <c r="H55" s="674"/>
      <c r="I55" s="674"/>
    </row>
    <row r="56" spans="1:9">
      <c r="A56" s="371" t="s">
        <v>1944</v>
      </c>
      <c r="B56" s="366"/>
      <c r="C56" s="584" t="s">
        <v>1945</v>
      </c>
      <c r="D56" s="371" t="s">
        <v>825</v>
      </c>
      <c r="E56" s="368">
        <f>CEILING(12*6.275*4,1)</f>
        <v>302</v>
      </c>
      <c r="F56" s="1295"/>
      <c r="G56" s="1307"/>
      <c r="H56" s="674"/>
      <c r="I56" s="674"/>
    </row>
    <row r="57" spans="1:9">
      <c r="A57" s="371"/>
      <c r="B57" s="366"/>
      <c r="C57" s="376"/>
      <c r="D57" s="366"/>
      <c r="E57" s="368"/>
      <c r="F57" s="1295"/>
      <c r="G57" s="1307"/>
      <c r="H57" s="674"/>
      <c r="I57" s="674"/>
    </row>
    <row r="58" spans="1:9">
      <c r="A58" s="371" t="s">
        <v>1946</v>
      </c>
      <c r="B58" s="366"/>
      <c r="C58" s="376" t="s">
        <v>1947</v>
      </c>
      <c r="D58" s="371" t="s">
        <v>825</v>
      </c>
      <c r="E58" s="368">
        <f>_xlfn.CEILING.MATH(((8.5+11*0.3)),5)</f>
        <v>15</v>
      </c>
      <c r="F58" s="1295"/>
      <c r="G58" s="1307"/>
      <c r="H58" s="368">
        <f>4.569+(0.25*4.569)</f>
        <v>5.7112499999999997</v>
      </c>
      <c r="I58" s="247"/>
    </row>
    <row r="59" spans="1:9">
      <c r="A59" s="371"/>
      <c r="B59" s="366"/>
      <c r="C59" s="376"/>
      <c r="D59" s="366"/>
      <c r="E59" s="368"/>
      <c r="F59" s="1295"/>
      <c r="G59" s="1307"/>
      <c r="H59" s="674"/>
      <c r="I59" s="247"/>
    </row>
    <row r="60" spans="1:9">
      <c r="A60" s="371" t="s">
        <v>1948</v>
      </c>
      <c r="B60" s="366"/>
      <c r="C60" s="376" t="s">
        <v>1949</v>
      </c>
      <c r="D60" s="371" t="s">
        <v>825</v>
      </c>
      <c r="E60" s="368">
        <v>5</v>
      </c>
      <c r="F60" s="1295"/>
      <c r="G60" s="1307"/>
      <c r="H60" s="368">
        <f>_xlfn.CEILING.MATH(1*0.185*14)</f>
        <v>3</v>
      </c>
      <c r="I60" s="674"/>
    </row>
    <row r="61" spans="1:9">
      <c r="A61" s="371"/>
      <c r="B61" s="366"/>
      <c r="C61" s="376"/>
      <c r="D61" s="366"/>
      <c r="E61" s="368"/>
      <c r="F61" s="1295"/>
      <c r="G61" s="1307"/>
      <c r="H61" s="674"/>
      <c r="I61" s="674"/>
    </row>
    <row r="62" spans="1:9">
      <c r="A62" s="371" t="s">
        <v>1950</v>
      </c>
      <c r="B62" s="366"/>
      <c r="C62" s="376" t="s">
        <v>1951</v>
      </c>
      <c r="D62" s="371" t="s">
        <v>825</v>
      </c>
      <c r="E62" s="368">
        <v>5</v>
      </c>
      <c r="F62" s="1295"/>
      <c r="G62" s="1307"/>
      <c r="H62" s="674"/>
      <c r="I62" s="674"/>
    </row>
    <row r="63" spans="1:9">
      <c r="A63" s="371"/>
      <c r="B63" s="366"/>
      <c r="C63" s="376"/>
      <c r="D63" s="371"/>
      <c r="E63" s="368"/>
      <c r="F63" s="1295"/>
      <c r="G63" s="1307"/>
      <c r="H63" s="674"/>
      <c r="I63" s="674"/>
    </row>
    <row r="64" spans="1:9">
      <c r="A64" s="367" t="s">
        <v>1952</v>
      </c>
      <c r="B64" s="366"/>
      <c r="C64" s="376" t="s">
        <v>1953</v>
      </c>
      <c r="D64" s="371" t="s">
        <v>825</v>
      </c>
      <c r="E64" s="368">
        <f>_xlfn.CEILING.MATH(((0.4*4.95*2)+(0.3*4.95*2))*8,1)*1.2</f>
        <v>67.2</v>
      </c>
      <c r="F64" s="1295"/>
      <c r="G64" s="1307"/>
      <c r="H64" s="674"/>
      <c r="I64" s="674"/>
    </row>
    <row r="65" spans="1:9">
      <c r="A65" s="367"/>
      <c r="B65" s="366"/>
      <c r="C65" s="376"/>
      <c r="D65" s="371"/>
      <c r="E65" s="368"/>
      <c r="F65" s="1295"/>
      <c r="G65" s="1307"/>
      <c r="H65" s="674"/>
      <c r="I65" s="674"/>
    </row>
    <row r="66" spans="1:9">
      <c r="A66" s="367" t="s">
        <v>1954</v>
      </c>
      <c r="B66" s="366"/>
      <c r="C66" s="376" t="s">
        <v>1164</v>
      </c>
      <c r="D66" s="371" t="s">
        <v>825</v>
      </c>
      <c r="E66" s="368">
        <f>(13.6+15.3)*0.7*4</f>
        <v>80.919999999999987</v>
      </c>
      <c r="F66" s="1295"/>
      <c r="G66" s="1307"/>
      <c r="H66" s="674">
        <f>(12.6*0.6*4)+(12*0.6*4)</f>
        <v>59.039999999999992</v>
      </c>
      <c r="I66" s="674"/>
    </row>
    <row r="67" spans="1:9">
      <c r="A67" s="371"/>
      <c r="B67" s="366"/>
      <c r="C67" s="376"/>
      <c r="D67" s="366"/>
      <c r="E67" s="368"/>
      <c r="F67" s="1295"/>
      <c r="G67" s="1307"/>
      <c r="H67" s="674"/>
      <c r="I67" s="674"/>
    </row>
    <row r="68" spans="1:9">
      <c r="A68" s="367" t="s">
        <v>1955</v>
      </c>
      <c r="B68" s="366"/>
      <c r="C68" s="376" t="s">
        <v>1956</v>
      </c>
      <c r="D68" s="371" t="s">
        <v>825</v>
      </c>
      <c r="E68" s="368">
        <f>(13.6+15.3)*0.7*8</f>
        <v>161.83999999999997</v>
      </c>
      <c r="F68" s="1295"/>
      <c r="G68" s="1307"/>
      <c r="H68" s="674">
        <f>(12.63*0.6*8)</f>
        <v>60.624000000000002</v>
      </c>
      <c r="I68" s="674"/>
    </row>
    <row r="69" spans="1:9">
      <c r="A69" s="371"/>
      <c r="B69" s="366"/>
      <c r="C69" s="376"/>
      <c r="D69" s="366"/>
      <c r="E69" s="368"/>
      <c r="F69" s="1295"/>
      <c r="G69" s="1307"/>
      <c r="H69" s="674"/>
      <c r="I69" s="674"/>
    </row>
    <row r="70" spans="1:9">
      <c r="A70" s="367" t="s">
        <v>1957</v>
      </c>
      <c r="B70" s="366"/>
      <c r="C70" s="376" t="s">
        <v>1958</v>
      </c>
      <c r="D70" s="371" t="s">
        <v>825</v>
      </c>
      <c r="E70" s="368">
        <f>(14.1+16.8)*0.25*2</f>
        <v>15.45</v>
      </c>
      <c r="F70" s="1295"/>
      <c r="G70" s="1307"/>
      <c r="H70" s="674">
        <f>_xlfn.CEILING.MATH(13.63*0.45*4,1)</f>
        <v>25</v>
      </c>
      <c r="I70" s="674"/>
    </row>
    <row r="71" spans="1:9">
      <c r="A71" s="371"/>
      <c r="B71" s="366"/>
      <c r="C71" s="376"/>
      <c r="D71" s="366"/>
      <c r="E71" s="368"/>
      <c r="F71" s="1295"/>
      <c r="G71" s="1307"/>
      <c r="H71" s="674"/>
      <c r="I71" s="674"/>
    </row>
    <row r="72" spans="1:9">
      <c r="A72" s="367" t="s">
        <v>1959</v>
      </c>
      <c r="B72" s="366"/>
      <c r="C72" s="376" t="s">
        <v>1456</v>
      </c>
      <c r="D72" s="371" t="s">
        <v>825</v>
      </c>
      <c r="E72" s="368">
        <v>14</v>
      </c>
      <c r="F72" s="1295"/>
      <c r="G72" s="1307"/>
      <c r="H72" s="674">
        <f>_xlfn.CEILING.MATH(((0.65*0.6*2)+(0.25*0.65*2))*12,1)</f>
        <v>14</v>
      </c>
      <c r="I72" s="674"/>
    </row>
    <row r="73" spans="1:9">
      <c r="A73" s="367"/>
      <c r="B73" s="366"/>
      <c r="C73" s="376"/>
      <c r="D73" s="371"/>
      <c r="E73" s="368"/>
      <c r="F73" s="1295"/>
      <c r="G73" s="1307"/>
      <c r="H73" s="674"/>
      <c r="I73" s="674"/>
    </row>
    <row r="74" spans="1:9">
      <c r="A74" s="367"/>
      <c r="B74" s="366"/>
      <c r="C74" s="376"/>
      <c r="D74" s="371"/>
      <c r="E74" s="368"/>
      <c r="F74" s="1295"/>
      <c r="G74" s="1307"/>
      <c r="H74" s="674"/>
      <c r="I74" s="674"/>
    </row>
    <row r="75" spans="1:9">
      <c r="A75" s="367"/>
      <c r="B75" s="366"/>
      <c r="C75" s="376"/>
      <c r="D75" s="371"/>
      <c r="E75" s="368"/>
      <c r="F75" s="1295"/>
      <c r="G75" s="1307"/>
      <c r="H75" s="674"/>
      <c r="I75" s="674"/>
    </row>
    <row r="76" spans="1:9">
      <c r="A76" s="367"/>
      <c r="B76" s="366"/>
      <c r="C76" s="376"/>
      <c r="D76" s="371"/>
      <c r="E76" s="368"/>
      <c r="F76" s="1295"/>
      <c r="G76" s="1307"/>
      <c r="H76" s="674"/>
      <c r="I76" s="674"/>
    </row>
    <row r="77" spans="1:9">
      <c r="A77" s="367"/>
      <c r="B77" s="366"/>
      <c r="C77" s="376"/>
      <c r="D77" s="371"/>
      <c r="E77" s="368"/>
      <c r="F77" s="1295"/>
      <c r="G77" s="1307"/>
      <c r="H77" s="674"/>
      <c r="I77" s="674"/>
    </row>
    <row r="78" spans="1:9">
      <c r="A78" s="367"/>
      <c r="B78" s="366"/>
      <c r="C78" s="376"/>
      <c r="D78" s="371"/>
      <c r="E78" s="368"/>
      <c r="F78" s="1295"/>
      <c r="G78" s="1307"/>
      <c r="H78" s="674"/>
      <c r="I78" s="674"/>
    </row>
    <row r="79" spans="1:9">
      <c r="A79" s="1570" t="s">
        <v>96</v>
      </c>
      <c r="B79" s="1571"/>
      <c r="C79" s="1571"/>
      <c r="D79" s="1571"/>
      <c r="E79" s="1571"/>
      <c r="F79" s="1514"/>
      <c r="G79" s="1514"/>
      <c r="H79" s="674"/>
      <c r="I79" s="674"/>
    </row>
    <row r="80" spans="1:9">
      <c r="A80" s="1572"/>
      <c r="B80" s="1573"/>
      <c r="C80" s="1573"/>
      <c r="D80" s="1573"/>
      <c r="E80" s="1573"/>
      <c r="F80" s="1514"/>
      <c r="G80" s="1514"/>
      <c r="H80" s="674"/>
      <c r="I80" s="674"/>
    </row>
    <row r="81" spans="1:10">
      <c r="A81" s="371"/>
      <c r="B81" s="371"/>
      <c r="C81" s="377" t="s">
        <v>220</v>
      </c>
      <c r="D81" s="369"/>
      <c r="E81" s="370"/>
      <c r="F81" s="1315"/>
      <c r="G81" s="1321"/>
      <c r="H81" s="674"/>
      <c r="I81" s="674"/>
      <c r="J81" s="674"/>
    </row>
    <row r="82" spans="1:10">
      <c r="A82" s="371"/>
      <c r="B82" s="366"/>
      <c r="C82" s="609"/>
      <c r="D82" s="371"/>
      <c r="E82" s="368"/>
      <c r="F82" s="1295"/>
      <c r="G82" s="1307"/>
      <c r="H82" s="674"/>
      <c r="I82" s="674"/>
      <c r="J82" s="674"/>
    </row>
    <row r="83" spans="1:10">
      <c r="A83" s="899"/>
      <c r="B83" s="366"/>
      <c r="C83" s="879" t="s">
        <v>1506</v>
      </c>
      <c r="D83" s="371"/>
      <c r="E83" s="368"/>
      <c r="F83" s="1295"/>
      <c r="G83" s="1307"/>
      <c r="H83" s="674"/>
      <c r="I83" s="674"/>
      <c r="J83" s="674"/>
    </row>
    <row r="84" spans="1:10">
      <c r="A84" s="371" t="s">
        <v>1960</v>
      </c>
      <c r="B84" s="371"/>
      <c r="C84" s="584" t="s">
        <v>1961</v>
      </c>
      <c r="D84" s="371" t="s">
        <v>825</v>
      </c>
      <c r="E84" s="372">
        <v>25</v>
      </c>
      <c r="F84" s="1295"/>
      <c r="G84" s="1307"/>
      <c r="H84" s="674">
        <f>_xlfn.CEILING.MATH((3.36*1.2)+(13.2*1.5),1)</f>
        <v>24</v>
      </c>
      <c r="I84" s="674"/>
      <c r="J84" s="674"/>
    </row>
    <row r="85" spans="1:10">
      <c r="A85" s="371"/>
      <c r="B85" s="371"/>
      <c r="C85" s="584"/>
      <c r="D85" s="371"/>
      <c r="E85" s="372"/>
      <c r="F85" s="1295"/>
      <c r="G85" s="1307"/>
      <c r="H85" s="674"/>
      <c r="I85" s="674"/>
      <c r="J85" s="674"/>
    </row>
    <row r="86" spans="1:10">
      <c r="A86" s="371" t="s">
        <v>1962</v>
      </c>
      <c r="B86" s="371"/>
      <c r="C86" s="584" t="s">
        <v>1963</v>
      </c>
      <c r="D86" s="371" t="s">
        <v>825</v>
      </c>
      <c r="E86" s="372">
        <v>15</v>
      </c>
      <c r="F86" s="1295"/>
      <c r="G86" s="1307"/>
      <c r="H86" s="674">
        <f>_xlfn.CEILING.MATH(0.23*12.6*4)</f>
        <v>12</v>
      </c>
      <c r="I86" s="674"/>
      <c r="J86" s="674"/>
    </row>
    <row r="87" spans="1:10">
      <c r="A87" s="371"/>
      <c r="B87" s="371"/>
      <c r="C87" s="584"/>
      <c r="D87" s="371"/>
      <c r="E87" s="372"/>
      <c r="F87" s="1295"/>
      <c r="G87" s="1307"/>
      <c r="H87" s="674"/>
      <c r="I87" s="674"/>
      <c r="J87" s="674"/>
    </row>
    <row r="88" spans="1:10">
      <c r="A88" s="371" t="s">
        <v>1964</v>
      </c>
      <c r="B88" s="371"/>
      <c r="C88" s="584" t="s">
        <v>1965</v>
      </c>
      <c r="D88" s="371" t="s">
        <v>825</v>
      </c>
      <c r="E88" s="372">
        <v>15</v>
      </c>
      <c r="F88" s="1295"/>
      <c r="G88" s="1307"/>
      <c r="H88" s="674">
        <f>_xlfn.CEILING.MATH(0.23*12.6*4)</f>
        <v>12</v>
      </c>
      <c r="I88" s="674"/>
      <c r="J88" s="674"/>
    </row>
    <row r="89" spans="1:10">
      <c r="A89" s="371"/>
      <c r="B89" s="371"/>
      <c r="C89" s="584"/>
      <c r="D89" s="366"/>
      <c r="E89" s="372"/>
      <c r="F89" s="1295"/>
      <c r="G89" s="1307"/>
      <c r="H89" s="674"/>
      <c r="I89" s="674"/>
      <c r="J89" s="674"/>
    </row>
    <row r="90" spans="1:10">
      <c r="A90" s="371" t="s">
        <v>1966</v>
      </c>
      <c r="B90" s="371"/>
      <c r="C90" s="584" t="s">
        <v>1967</v>
      </c>
      <c r="D90" s="371" t="s">
        <v>825</v>
      </c>
      <c r="E90" s="372">
        <f>15.1*16.8</f>
        <v>253.68</v>
      </c>
      <c r="F90" s="1295"/>
      <c r="G90" s="1307"/>
      <c r="H90" s="674">
        <f>_xlfn.CEILING.MATH(13.63*13.63,1)</f>
        <v>186</v>
      </c>
      <c r="I90" s="674"/>
      <c r="J90" s="674"/>
    </row>
    <row r="91" spans="1:10">
      <c r="A91" s="371"/>
      <c r="B91" s="371"/>
      <c r="C91" s="584"/>
      <c r="D91" s="371"/>
      <c r="E91" s="372"/>
      <c r="F91" s="1295"/>
      <c r="G91" s="1307"/>
      <c r="H91" s="674"/>
      <c r="I91" s="674"/>
      <c r="J91" s="674"/>
    </row>
    <row r="92" spans="1:10">
      <c r="A92" s="371"/>
      <c r="B92" s="371"/>
      <c r="C92" s="879" t="s">
        <v>1968</v>
      </c>
      <c r="D92" s="371"/>
      <c r="E92" s="372"/>
      <c r="F92" s="1295"/>
      <c r="G92" s="1307"/>
      <c r="H92" s="674"/>
      <c r="I92" s="674"/>
      <c r="J92" s="674"/>
    </row>
    <row r="93" spans="1:10">
      <c r="A93" s="371"/>
      <c r="B93" s="371"/>
      <c r="C93" s="974"/>
      <c r="D93" s="371"/>
      <c r="E93" s="372"/>
      <c r="F93" s="1295"/>
      <c r="G93" s="1307"/>
      <c r="H93" s="674">
        <f>CEILING(0.5*4.7*2.875,1)</f>
        <v>7</v>
      </c>
      <c r="I93" s="674"/>
      <c r="J93" s="674"/>
    </row>
    <row r="94" spans="1:10">
      <c r="A94" s="371" t="s">
        <v>1969</v>
      </c>
      <c r="B94" s="371"/>
      <c r="C94" s="975" t="s">
        <v>1970</v>
      </c>
      <c r="D94" s="371" t="s">
        <v>825</v>
      </c>
      <c r="E94" s="372">
        <v>7</v>
      </c>
      <c r="F94" s="1295"/>
      <c r="G94" s="1307"/>
      <c r="H94" s="674"/>
      <c r="I94" s="674"/>
      <c r="J94" s="674"/>
    </row>
    <row r="95" spans="1:10">
      <c r="A95" s="371"/>
      <c r="B95" s="371"/>
      <c r="C95" s="974"/>
      <c r="D95" s="371"/>
      <c r="E95" s="372"/>
      <c r="F95" s="1295"/>
      <c r="G95" s="1307"/>
      <c r="H95" s="674"/>
      <c r="I95" s="674"/>
      <c r="J95" s="674"/>
    </row>
    <row r="96" spans="1:10" s="290" customFormat="1" ht="12.75" customHeight="1">
      <c r="A96" s="753"/>
      <c r="B96" s="1074" t="s">
        <v>1128</v>
      </c>
      <c r="C96" s="850" t="s">
        <v>1129</v>
      </c>
      <c r="D96" s="658"/>
      <c r="E96" s="754"/>
      <c r="F96" s="1227"/>
      <c r="G96" s="1194"/>
      <c r="J96" s="255"/>
    </row>
    <row r="97" spans="1:10" s="290" customFormat="1" ht="12.75" customHeight="1">
      <c r="A97" s="659"/>
      <c r="B97" s="566"/>
      <c r="C97" s="534"/>
      <c r="D97" s="658"/>
      <c r="E97" s="754"/>
      <c r="F97" s="1227"/>
      <c r="G97" s="1194"/>
      <c r="J97" s="255"/>
    </row>
    <row r="98" spans="1:10" s="290" customFormat="1" ht="12.75" customHeight="1">
      <c r="A98" s="659" t="s">
        <v>1971</v>
      </c>
      <c r="B98" s="566"/>
      <c r="C98" s="534" t="s">
        <v>1891</v>
      </c>
      <c r="D98" s="658" t="s">
        <v>818</v>
      </c>
      <c r="E98" s="754">
        <f>_xlfn.CEILING.MATH((14.1+16.8)*4,5)</f>
        <v>125</v>
      </c>
      <c r="F98" s="1227"/>
      <c r="G98" s="1194"/>
      <c r="J98" s="255"/>
    </row>
    <row r="99" spans="1:10" s="290" customFormat="1" ht="12.75" customHeight="1">
      <c r="A99" s="659"/>
      <c r="B99" s="566"/>
      <c r="C99" s="534"/>
      <c r="D99" s="658"/>
      <c r="E99" s="754"/>
      <c r="F99" s="1227"/>
      <c r="G99" s="1194"/>
      <c r="J99" s="255"/>
    </row>
    <row r="100" spans="1:10">
      <c r="A100" s="371"/>
      <c r="B100" s="976">
        <v>8.4</v>
      </c>
      <c r="C100" s="879" t="s">
        <v>968</v>
      </c>
      <c r="D100" s="382"/>
      <c r="E100" s="372"/>
      <c r="F100" s="1322"/>
      <c r="G100" s="1323"/>
      <c r="H100" s="674"/>
      <c r="I100" s="674"/>
      <c r="J100" s="674"/>
    </row>
    <row r="101" spans="1:10">
      <c r="A101" s="371"/>
      <c r="B101" s="382"/>
      <c r="C101" s="378"/>
      <c r="D101" s="382"/>
      <c r="E101" s="372"/>
      <c r="F101" s="1322"/>
      <c r="G101" s="1323"/>
      <c r="H101" s="674"/>
      <c r="I101" s="674"/>
      <c r="J101" s="674"/>
    </row>
    <row r="102" spans="1:10">
      <c r="A102" s="371"/>
      <c r="B102" s="382" t="s">
        <v>969</v>
      </c>
      <c r="C102" s="879" t="s">
        <v>1139</v>
      </c>
      <c r="D102" s="382"/>
      <c r="E102" s="372"/>
      <c r="F102" s="1322"/>
      <c r="G102" s="1323"/>
      <c r="H102" s="674"/>
      <c r="I102" s="674"/>
      <c r="J102" s="674"/>
    </row>
    <row r="103" spans="1:10">
      <c r="A103" s="371"/>
      <c r="B103" s="382"/>
      <c r="C103" s="378"/>
      <c r="D103" s="382"/>
      <c r="E103" s="372"/>
      <c r="F103" s="1322"/>
      <c r="G103" s="1323"/>
      <c r="H103" s="674"/>
      <c r="I103" s="674"/>
      <c r="J103" s="674"/>
    </row>
    <row r="104" spans="1:10" s="306" customFormat="1">
      <c r="A104" s="371" t="s">
        <v>1972</v>
      </c>
      <c r="B104" s="382"/>
      <c r="C104" s="585" t="s">
        <v>1973</v>
      </c>
      <c r="D104" s="371" t="s">
        <v>825</v>
      </c>
      <c r="E104" s="372">
        <f>_xlfn.CEILING.MATH(12.6*12.6,5)</f>
        <v>160</v>
      </c>
      <c r="F104" s="1320"/>
      <c r="G104" s="1307"/>
    </row>
    <row r="105" spans="1:10">
      <c r="A105" s="371"/>
      <c r="B105" s="382"/>
      <c r="C105" s="378"/>
      <c r="D105" s="382"/>
      <c r="E105" s="372"/>
      <c r="F105" s="1322"/>
      <c r="G105" s="1323"/>
      <c r="H105" s="674"/>
      <c r="I105" s="674"/>
      <c r="J105" s="674"/>
    </row>
    <row r="106" spans="1:10">
      <c r="A106" s="371"/>
      <c r="B106" s="382" t="s">
        <v>969</v>
      </c>
      <c r="C106" s="879" t="s">
        <v>1139</v>
      </c>
      <c r="D106" s="382"/>
      <c r="E106" s="372"/>
      <c r="F106" s="1322"/>
      <c r="G106" s="1323"/>
      <c r="H106" s="674"/>
      <c r="I106" s="674"/>
      <c r="J106" s="674"/>
    </row>
    <row r="107" spans="1:10">
      <c r="A107" s="371"/>
      <c r="B107" s="382"/>
      <c r="C107" s="384"/>
      <c r="D107" s="382"/>
      <c r="E107" s="372"/>
      <c r="F107" s="1322"/>
      <c r="G107" s="1323"/>
      <c r="H107" s="674"/>
      <c r="I107" s="674"/>
      <c r="J107" s="674"/>
    </row>
    <row r="108" spans="1:10">
      <c r="A108" s="371" t="s">
        <v>1974</v>
      </c>
      <c r="B108" s="382"/>
      <c r="C108" s="384" t="s">
        <v>1975</v>
      </c>
      <c r="D108" s="371" t="s">
        <v>825</v>
      </c>
      <c r="E108" s="372">
        <f>_xlfn.CEILING.MATH(12.6*12.6,5)</f>
        <v>160</v>
      </c>
      <c r="F108" s="1320"/>
      <c r="G108" s="1307"/>
      <c r="H108" s="674"/>
      <c r="I108" s="674"/>
      <c r="J108" s="674"/>
    </row>
    <row r="109" spans="1:10">
      <c r="A109" s="371"/>
      <c r="B109" s="382"/>
      <c r="C109" s="975"/>
      <c r="D109" s="394"/>
      <c r="E109" s="372"/>
      <c r="F109" s="1320"/>
      <c r="G109" s="1307"/>
      <c r="H109" s="674"/>
      <c r="I109" s="674"/>
      <c r="J109" s="674"/>
    </row>
    <row r="110" spans="1:10">
      <c r="A110" s="371"/>
      <c r="B110" s="382"/>
      <c r="C110" s="977" t="s">
        <v>1153</v>
      </c>
      <c r="D110" s="394"/>
      <c r="E110" s="372"/>
      <c r="F110" s="1320"/>
      <c r="G110" s="1307"/>
      <c r="H110" s="674"/>
      <c r="I110" s="674"/>
      <c r="J110" s="674"/>
    </row>
    <row r="111" spans="1:10">
      <c r="A111" s="371"/>
      <c r="B111" s="382"/>
      <c r="C111" s="975"/>
      <c r="D111" s="394"/>
      <c r="E111" s="372"/>
      <c r="F111" s="1320"/>
      <c r="G111" s="1307"/>
      <c r="H111" s="674"/>
      <c r="I111" s="674"/>
      <c r="J111" s="674"/>
    </row>
    <row r="112" spans="1:10">
      <c r="A112" s="371" t="s">
        <v>1976</v>
      </c>
      <c r="B112" s="380"/>
      <c r="C112" s="585" t="s">
        <v>1977</v>
      </c>
      <c r="D112" s="382" t="s">
        <v>574</v>
      </c>
      <c r="E112" s="372">
        <f>_xlfn.CEILING.MATH(3.35*0.08*12.7*4,5)</f>
        <v>15</v>
      </c>
      <c r="F112" s="1320"/>
      <c r="G112" s="1307"/>
      <c r="H112" s="393" t="s">
        <v>1978</v>
      </c>
      <c r="I112" s="674"/>
      <c r="J112" s="674"/>
    </row>
    <row r="113" spans="1:8">
      <c r="A113" s="371"/>
      <c r="B113" s="380"/>
      <c r="C113" s="585"/>
      <c r="D113" s="379"/>
      <c r="E113" s="372"/>
      <c r="F113" s="1320"/>
      <c r="G113" s="1307"/>
      <c r="H113" s="674"/>
    </row>
    <row r="114" spans="1:8">
      <c r="A114" s="371"/>
      <c r="B114" s="382" t="s">
        <v>969</v>
      </c>
      <c r="C114" s="879" t="s">
        <v>1156</v>
      </c>
      <c r="D114" s="379"/>
      <c r="E114" s="372"/>
      <c r="F114" s="1320"/>
      <c r="G114" s="1307"/>
      <c r="H114" s="674"/>
    </row>
    <row r="115" spans="1:8">
      <c r="A115" s="371"/>
      <c r="B115" s="380"/>
      <c r="C115" s="585"/>
      <c r="D115" s="379"/>
      <c r="E115" s="372"/>
      <c r="F115" s="1320"/>
      <c r="G115" s="1307"/>
      <c r="H115" s="674"/>
    </row>
    <row r="116" spans="1:8">
      <c r="A116" s="371" t="s">
        <v>1979</v>
      </c>
      <c r="B116" s="380"/>
      <c r="C116" s="585" t="s">
        <v>1980</v>
      </c>
      <c r="D116" s="382" t="s">
        <v>574</v>
      </c>
      <c r="E116" s="372">
        <f>_xlfn.CEILING.MATH(12.6*12.6*0.5,5)</f>
        <v>80</v>
      </c>
      <c r="F116" s="1320"/>
      <c r="G116" s="1307"/>
      <c r="H116" s="674">
        <f>_xlfn.CEILING.MATH(12.6*12.6*0.3+((23.532*0.3)),1)</f>
        <v>55</v>
      </c>
    </row>
    <row r="117" spans="1:8">
      <c r="A117" s="371"/>
      <c r="B117" s="380"/>
      <c r="C117" s="585"/>
      <c r="D117" s="379"/>
      <c r="E117" s="372"/>
      <c r="F117" s="1320"/>
      <c r="G117" s="1307"/>
      <c r="H117" s="674"/>
    </row>
    <row r="118" spans="1:8">
      <c r="A118" s="371" t="s">
        <v>1981</v>
      </c>
      <c r="B118" s="380"/>
      <c r="C118" s="585" t="s">
        <v>1454</v>
      </c>
      <c r="D118" s="382" t="s">
        <v>574</v>
      </c>
      <c r="E118" s="372">
        <f>_xlfn.CEILING.MATH(4*0.3*12.6*4,5)</f>
        <v>65</v>
      </c>
      <c r="F118" s="1320"/>
      <c r="G118" s="1307"/>
      <c r="H118" s="674">
        <f>_xlfn.CEILING.MATH(3.2*12.6*0.3*4,1)</f>
        <v>49</v>
      </c>
    </row>
    <row r="119" spans="1:8">
      <c r="A119" s="371"/>
      <c r="B119" s="380"/>
      <c r="C119" s="381"/>
      <c r="D119" s="382"/>
      <c r="E119" s="372"/>
      <c r="F119" s="1320"/>
      <c r="G119" s="1307"/>
      <c r="H119" s="674"/>
    </row>
    <row r="120" spans="1:8">
      <c r="A120" s="371" t="s">
        <v>1982</v>
      </c>
      <c r="B120" s="380"/>
      <c r="C120" s="585" t="s">
        <v>1456</v>
      </c>
      <c r="D120" s="382" t="s">
        <v>574</v>
      </c>
      <c r="E120" s="372">
        <f>_xlfn.CEILING.MATH(0.6*0.6*0.3*12,5)</f>
        <v>5</v>
      </c>
      <c r="F120" s="1320"/>
      <c r="G120" s="1307"/>
      <c r="H120" s="674">
        <f>_xlfn.CEILING.MATH(0.6*0.6*0.3*12)</f>
        <v>2</v>
      </c>
    </row>
    <row r="121" spans="1:8">
      <c r="A121" s="371"/>
      <c r="B121" s="380"/>
      <c r="C121" s="585"/>
      <c r="D121" s="379"/>
      <c r="E121" s="372"/>
      <c r="F121" s="1320"/>
      <c r="G121" s="1307"/>
      <c r="H121" s="674"/>
    </row>
    <row r="122" spans="1:8">
      <c r="A122" s="371" t="s">
        <v>1983</v>
      </c>
      <c r="B122" s="380"/>
      <c r="C122" s="585" t="s">
        <v>1984</v>
      </c>
      <c r="D122" s="382" t="s">
        <v>574</v>
      </c>
      <c r="E122" s="372">
        <f>_xlfn.CEILING.MATH(((8.5*1.2)+(12.2*1.5))*0.5,5)</f>
        <v>15</v>
      </c>
      <c r="F122" s="1320"/>
      <c r="G122" s="1307"/>
      <c r="H122" s="674">
        <f>((3.4*1.2)+(13*1.5))*0.3</f>
        <v>7.073999999999999</v>
      </c>
    </row>
    <row r="123" spans="1:8">
      <c r="A123" s="371"/>
      <c r="B123" s="380"/>
      <c r="C123" s="585"/>
      <c r="D123" s="379"/>
      <c r="E123" s="372"/>
      <c r="F123" s="1320"/>
      <c r="G123" s="1307"/>
      <c r="H123" s="674"/>
    </row>
    <row r="124" spans="1:8">
      <c r="A124" s="371" t="s">
        <v>1985</v>
      </c>
      <c r="B124" s="380"/>
      <c r="C124" s="585" t="s">
        <v>1986</v>
      </c>
      <c r="D124" s="382" t="s">
        <v>574</v>
      </c>
      <c r="E124" s="372">
        <v>2</v>
      </c>
      <c r="F124" s="1320"/>
      <c r="G124" s="1307"/>
      <c r="H124" s="674"/>
    </row>
    <row r="125" spans="1:8">
      <c r="A125" s="371"/>
      <c r="B125" s="380"/>
      <c r="C125" s="381"/>
      <c r="D125" s="382"/>
      <c r="E125" s="372"/>
      <c r="F125" s="1320"/>
      <c r="G125" s="1307"/>
      <c r="H125" s="674"/>
    </row>
    <row r="126" spans="1:8">
      <c r="A126" s="371" t="s">
        <v>1987</v>
      </c>
      <c r="B126" s="380"/>
      <c r="C126" s="585" t="s">
        <v>1953</v>
      </c>
      <c r="D126" s="382" t="s">
        <v>574</v>
      </c>
      <c r="E126" s="372">
        <f>_xlfn.CEILING.MATH(0.4*2.5*0.3*8,5)</f>
        <v>5</v>
      </c>
      <c r="F126" s="1320"/>
      <c r="G126" s="1307"/>
      <c r="H126" s="674">
        <f>0.4*0.3*2.4*8</f>
        <v>2.3039999999999998</v>
      </c>
    </row>
    <row r="127" spans="1:8">
      <c r="A127" s="371"/>
      <c r="B127" s="380"/>
      <c r="C127" s="585"/>
      <c r="D127" s="379"/>
      <c r="E127" s="372"/>
      <c r="F127" s="1320"/>
      <c r="G127" s="1307"/>
      <c r="H127" s="674"/>
    </row>
    <row r="128" spans="1:8">
      <c r="A128" s="371" t="s">
        <v>1988</v>
      </c>
      <c r="B128" s="380"/>
      <c r="C128" s="585" t="s">
        <v>1989</v>
      </c>
      <c r="D128" s="382" t="s">
        <v>574</v>
      </c>
      <c r="E128" s="372">
        <f>ROUNDUP((12.6+15.3)*0.7*0.25*2,0)</f>
        <v>10</v>
      </c>
      <c r="F128" s="1320"/>
      <c r="G128" s="1307"/>
      <c r="H128" s="674"/>
    </row>
    <row r="129" spans="1:8">
      <c r="A129" s="371"/>
      <c r="B129" s="380"/>
      <c r="C129" s="585"/>
      <c r="D129" s="379"/>
      <c r="E129" s="372"/>
      <c r="F129" s="1320"/>
      <c r="G129" s="1307"/>
      <c r="H129" s="674"/>
    </row>
    <row r="130" spans="1:8">
      <c r="A130" s="371" t="s">
        <v>1990</v>
      </c>
      <c r="B130" s="380"/>
      <c r="C130" s="585" t="s">
        <v>1991</v>
      </c>
      <c r="D130" s="382" t="s">
        <v>574</v>
      </c>
      <c r="E130" s="372">
        <f>ROUNDUP((12.6+15.3)*0.7*0.25*4,0)</f>
        <v>20</v>
      </c>
      <c r="F130" s="1320"/>
      <c r="G130" s="1307"/>
      <c r="H130" s="674"/>
    </row>
    <row r="131" spans="1:8">
      <c r="A131" s="371"/>
      <c r="B131" s="371"/>
      <c r="C131" s="978"/>
      <c r="D131" s="366"/>
      <c r="E131" s="368"/>
      <c r="F131" s="1313"/>
      <c r="G131" s="1324"/>
      <c r="H131" s="674"/>
    </row>
    <row r="132" spans="1:8">
      <c r="A132" s="371" t="s">
        <v>1992</v>
      </c>
      <c r="B132" s="380"/>
      <c r="C132" s="585" t="s">
        <v>1993</v>
      </c>
      <c r="D132" s="382" t="s">
        <v>574</v>
      </c>
      <c r="E132" s="372">
        <f>14.15*16.8*0.25</f>
        <v>59.430000000000007</v>
      </c>
      <c r="F132" s="1320"/>
      <c r="G132" s="1307"/>
      <c r="H132" s="674"/>
    </row>
    <row r="133" spans="1:8">
      <c r="A133" s="371"/>
      <c r="B133" s="380"/>
      <c r="C133" s="585"/>
      <c r="D133" s="379"/>
      <c r="E133" s="372"/>
      <c r="F133" s="1320"/>
      <c r="G133" s="1307"/>
      <c r="H133" s="674">
        <f>_xlfn.CEILING.MATH(13.7*13.7*0.3,1)</f>
        <v>57</v>
      </c>
    </row>
    <row r="134" spans="1:8">
      <c r="A134" s="371" t="s">
        <v>1994</v>
      </c>
      <c r="B134" s="380"/>
      <c r="C134" s="585" t="s">
        <v>1995</v>
      </c>
      <c r="D134" s="382" t="s">
        <v>574</v>
      </c>
      <c r="E134" s="372">
        <f>_xlfn.CEILING.MATH(0.6*0.6*0.5,5)</f>
        <v>5</v>
      </c>
      <c r="F134" s="1320"/>
      <c r="G134" s="1307"/>
      <c r="H134" s="674"/>
    </row>
    <row r="135" spans="1:8">
      <c r="A135" s="371"/>
      <c r="B135" s="380"/>
      <c r="C135" s="585"/>
      <c r="D135" s="383"/>
      <c r="E135" s="372"/>
      <c r="F135" s="1320"/>
      <c r="G135" s="1307"/>
      <c r="H135" s="674"/>
    </row>
    <row r="136" spans="1:8">
      <c r="A136" s="371" t="s">
        <v>1996</v>
      </c>
      <c r="B136" s="366">
        <v>8.3000000000000007</v>
      </c>
      <c r="C136" s="879" t="s">
        <v>958</v>
      </c>
      <c r="D136" s="382"/>
      <c r="E136" s="372"/>
      <c r="F136" s="1320"/>
      <c r="G136" s="1325"/>
      <c r="H136" s="674"/>
    </row>
    <row r="137" spans="1:8">
      <c r="A137" s="371"/>
      <c r="B137" s="380"/>
      <c r="C137" s="585"/>
      <c r="D137" s="379"/>
      <c r="E137" s="372"/>
      <c r="F137" s="1320"/>
      <c r="G137" s="1307"/>
      <c r="H137" s="674"/>
    </row>
    <row r="138" spans="1:8">
      <c r="A138" s="371" t="s">
        <v>1997</v>
      </c>
      <c r="B138" s="366" t="s">
        <v>331</v>
      </c>
      <c r="C138" s="1046" t="s">
        <v>1998</v>
      </c>
      <c r="D138" s="382" t="s">
        <v>961</v>
      </c>
      <c r="E138" s="372">
        <f>_xlfn.CEILING.MATH(2.75+1.965+1.05+1.5+0.065+4.5+0.462+0.5,5)</f>
        <v>15</v>
      </c>
      <c r="F138" s="1320"/>
      <c r="G138" s="1325"/>
      <c r="H138" s="674"/>
    </row>
    <row r="139" spans="1:8">
      <c r="A139" s="371"/>
      <c r="B139" s="366"/>
      <c r="C139" s="1046"/>
      <c r="D139" s="383"/>
      <c r="E139" s="372"/>
      <c r="F139" s="1320"/>
      <c r="G139" s="1325"/>
      <c r="H139" s="674"/>
    </row>
    <row r="140" spans="1:8">
      <c r="A140" s="371" t="s">
        <v>1999</v>
      </c>
      <c r="B140" s="979"/>
      <c r="C140" s="385" t="s">
        <v>2000</v>
      </c>
      <c r="D140" s="382" t="s">
        <v>961</v>
      </c>
      <c r="E140" s="660">
        <f>_xlfn.CEILING.MATH(0.15+0.1+0.06+0.5,5)</f>
        <v>5</v>
      </c>
      <c r="F140" s="1282"/>
      <c r="G140" s="1326"/>
      <c r="H140" s="674"/>
    </row>
    <row r="141" spans="1:8">
      <c r="A141" s="371"/>
      <c r="B141" s="382"/>
      <c r="C141" s="971"/>
      <c r="D141" s="379"/>
      <c r="E141" s="372"/>
      <c r="F141" s="1320"/>
      <c r="G141" s="1307"/>
      <c r="H141" s="674"/>
    </row>
    <row r="142" spans="1:8">
      <c r="A142" s="371"/>
      <c r="B142" s="382" t="s">
        <v>480</v>
      </c>
      <c r="C142" s="879" t="s">
        <v>973</v>
      </c>
      <c r="D142" s="379"/>
      <c r="E142" s="372"/>
      <c r="F142" s="1320"/>
      <c r="G142" s="1307"/>
      <c r="H142" s="674"/>
    </row>
    <row r="143" spans="1:8">
      <c r="A143" s="371"/>
      <c r="B143" s="380"/>
      <c r="C143" s="585"/>
      <c r="D143" s="379"/>
      <c r="E143" s="372"/>
      <c r="F143" s="1320"/>
      <c r="G143" s="1307"/>
      <c r="H143" s="674"/>
    </row>
    <row r="144" spans="1:8">
      <c r="A144" s="371"/>
      <c r="B144" s="366" t="s">
        <v>1170</v>
      </c>
      <c r="C144" s="879" t="s">
        <v>1171</v>
      </c>
      <c r="D144" s="379"/>
      <c r="E144" s="372"/>
      <c r="F144" s="1320"/>
      <c r="G144" s="1307"/>
      <c r="H144" s="674"/>
    </row>
    <row r="145" spans="1:7">
      <c r="A145" s="371"/>
      <c r="B145" s="380"/>
      <c r="C145" s="585"/>
      <c r="D145" s="379"/>
      <c r="E145" s="372"/>
      <c r="F145" s="1320"/>
      <c r="G145" s="1307"/>
    </row>
    <row r="146" spans="1:7">
      <c r="A146" s="371" t="s">
        <v>2001</v>
      </c>
      <c r="B146" s="380"/>
      <c r="C146" s="585" t="s">
        <v>2002</v>
      </c>
      <c r="D146" s="382" t="s">
        <v>825</v>
      </c>
      <c r="E146" s="372">
        <f>_xlfn.CEILING.MATH(12.6*12.6,5)</f>
        <v>160</v>
      </c>
      <c r="F146" s="1320"/>
      <c r="G146" s="1307"/>
    </row>
    <row r="147" spans="1:7">
      <c r="A147" s="371"/>
      <c r="B147" s="380"/>
      <c r="C147" s="585"/>
      <c r="D147" s="383"/>
      <c r="E147" s="372"/>
      <c r="F147" s="1320"/>
      <c r="G147" s="1307"/>
    </row>
    <row r="148" spans="1:7">
      <c r="A148" s="371" t="s">
        <v>2003</v>
      </c>
      <c r="B148" s="380"/>
      <c r="C148" s="585" t="s">
        <v>2004</v>
      </c>
      <c r="D148" s="382" t="s">
        <v>825</v>
      </c>
      <c r="E148" s="372">
        <f>_xlfn.CEILING.MATH((8.5*1.2)+(12.2*1.5),5)</f>
        <v>30</v>
      </c>
      <c r="F148" s="1320"/>
      <c r="G148" s="1307"/>
    </row>
    <row r="149" spans="1:7">
      <c r="A149" s="371"/>
      <c r="B149" s="380"/>
      <c r="C149" s="585"/>
      <c r="D149" s="379"/>
      <c r="E149" s="372"/>
      <c r="F149" s="1320"/>
      <c r="G149" s="1307"/>
    </row>
    <row r="150" spans="1:7">
      <c r="A150" s="371" t="s">
        <v>2005</v>
      </c>
      <c r="B150" s="380"/>
      <c r="C150" s="585" t="s">
        <v>2006</v>
      </c>
      <c r="D150" s="382" t="s">
        <v>825</v>
      </c>
      <c r="E150" s="372">
        <v>5</v>
      </c>
      <c r="F150" s="1320"/>
      <c r="G150" s="1307"/>
    </row>
    <row r="151" spans="1:7">
      <c r="A151" s="371"/>
      <c r="B151" s="366"/>
      <c r="C151" s="1046"/>
      <c r="D151" s="383"/>
      <c r="E151" s="372"/>
      <c r="F151" s="1320"/>
      <c r="G151" s="1325"/>
    </row>
    <row r="152" spans="1:7">
      <c r="A152" s="371"/>
      <c r="B152" s="380"/>
      <c r="C152" s="585"/>
      <c r="D152" s="379"/>
      <c r="E152" s="372"/>
      <c r="F152" s="1320"/>
      <c r="G152" s="1307"/>
    </row>
    <row r="153" spans="1:7">
      <c r="A153" s="371"/>
      <c r="B153" s="1091">
        <v>8.5</v>
      </c>
      <c r="C153" s="1089" t="s">
        <v>763</v>
      </c>
      <c r="D153" s="383"/>
      <c r="E153" s="372"/>
      <c r="F153" s="1322"/>
      <c r="G153" s="1323"/>
    </row>
    <row r="154" spans="1:7">
      <c r="A154" s="371"/>
      <c r="B154" s="1091"/>
      <c r="C154" s="1090"/>
      <c r="D154" s="383"/>
      <c r="E154" s="372"/>
      <c r="F154" s="1322"/>
      <c r="G154" s="1323"/>
    </row>
    <row r="155" spans="1:7">
      <c r="A155" s="371"/>
      <c r="B155" s="1091" t="s">
        <v>1816</v>
      </c>
      <c r="C155" s="1088" t="s">
        <v>1184</v>
      </c>
      <c r="D155" s="383"/>
      <c r="E155" s="372"/>
      <c r="F155" s="1322"/>
      <c r="G155" s="1323"/>
    </row>
    <row r="156" spans="1:7">
      <c r="A156" s="371"/>
      <c r="B156" s="1091"/>
      <c r="C156" s="1088"/>
      <c r="D156" s="383"/>
      <c r="E156" s="372"/>
      <c r="F156" s="1322"/>
      <c r="G156" s="1323"/>
    </row>
    <row r="157" spans="1:7">
      <c r="A157" s="371"/>
      <c r="B157" s="1091"/>
      <c r="C157" s="1088"/>
      <c r="D157" s="383"/>
      <c r="E157" s="372"/>
      <c r="F157" s="1322"/>
      <c r="G157" s="1323"/>
    </row>
    <row r="158" spans="1:7">
      <c r="A158" s="371"/>
      <c r="B158" s="1091"/>
      <c r="C158" s="1088"/>
      <c r="D158" s="383"/>
      <c r="E158" s="372"/>
      <c r="F158" s="1322"/>
      <c r="G158" s="1323"/>
    </row>
    <row r="159" spans="1:7">
      <c r="A159" s="371"/>
      <c r="B159" s="1091"/>
      <c r="C159" s="1088"/>
      <c r="D159" s="383"/>
      <c r="E159" s="372"/>
      <c r="F159" s="1322"/>
      <c r="G159" s="1323"/>
    </row>
    <row r="160" spans="1:7">
      <c r="A160" s="371"/>
      <c r="B160" s="1091"/>
      <c r="C160" s="1088"/>
      <c r="D160" s="383"/>
      <c r="E160" s="372"/>
      <c r="F160" s="1322"/>
      <c r="G160" s="1323"/>
    </row>
    <row r="161" spans="1:7">
      <c r="A161" s="371"/>
      <c r="B161" s="1091"/>
      <c r="C161" s="1088"/>
      <c r="D161" s="383"/>
      <c r="E161" s="372"/>
      <c r="F161" s="1322"/>
      <c r="G161" s="1323"/>
    </row>
    <row r="162" spans="1:7">
      <c r="A162" s="371"/>
      <c r="B162" s="1091"/>
      <c r="C162" s="1088"/>
      <c r="D162" s="383"/>
      <c r="E162" s="372"/>
      <c r="F162" s="1322"/>
      <c r="G162" s="1323"/>
    </row>
    <row r="163" spans="1:7">
      <c r="A163" s="1570" t="s">
        <v>96</v>
      </c>
      <c r="B163" s="1571"/>
      <c r="C163" s="1571"/>
      <c r="D163" s="1571"/>
      <c r="E163" s="1571"/>
      <c r="F163" s="1514"/>
      <c r="G163" s="1514"/>
    </row>
    <row r="164" spans="1:7">
      <c r="A164" s="1572"/>
      <c r="B164" s="1573"/>
      <c r="C164" s="1573"/>
      <c r="D164" s="1573"/>
      <c r="E164" s="1573"/>
      <c r="F164" s="1514"/>
      <c r="G164" s="1514"/>
    </row>
    <row r="165" spans="1:7">
      <c r="A165" s="371"/>
      <c r="B165" s="371"/>
      <c r="C165" s="377" t="s">
        <v>220</v>
      </c>
      <c r="D165" s="369"/>
      <c r="E165" s="370"/>
      <c r="F165" s="1315"/>
      <c r="G165" s="1321"/>
    </row>
    <row r="166" spans="1:7">
      <c r="A166" s="371"/>
      <c r="B166" s="380"/>
      <c r="C166" s="585"/>
      <c r="D166" s="379"/>
      <c r="E166" s="372"/>
      <c r="F166" s="1320"/>
      <c r="G166" s="1307"/>
    </row>
    <row r="167" spans="1:7" ht="38.25">
      <c r="A167" s="371"/>
      <c r="B167" s="1161"/>
      <c r="C167" s="430" t="s">
        <v>2007</v>
      </c>
      <c r="D167" s="383"/>
      <c r="E167" s="372"/>
      <c r="F167" s="1320"/>
      <c r="G167" s="1307"/>
    </row>
    <row r="168" spans="1:7">
      <c r="A168" s="371"/>
      <c r="B168" s="1161"/>
      <c r="C168" s="387"/>
      <c r="D168" s="383"/>
      <c r="E168" s="372"/>
      <c r="F168" s="1320"/>
      <c r="G168" s="1307"/>
    </row>
    <row r="169" spans="1:7">
      <c r="A169" s="371" t="s">
        <v>2008</v>
      </c>
      <c r="B169" s="1161"/>
      <c r="C169" s="387" t="s">
        <v>2009</v>
      </c>
      <c r="D169" s="383" t="s">
        <v>818</v>
      </c>
      <c r="E169" s="372">
        <f>3.35*12.7*4*0.08</f>
        <v>13.614400000000002</v>
      </c>
      <c r="F169" s="1320"/>
      <c r="G169" s="1307"/>
    </row>
    <row r="170" spans="1:7">
      <c r="A170" s="371"/>
      <c r="B170" s="1047"/>
      <c r="C170" s="980"/>
      <c r="D170" s="383"/>
      <c r="E170" s="372"/>
      <c r="F170" s="1320"/>
      <c r="G170" s="1307"/>
    </row>
    <row r="171" spans="1:7" s="374" customFormat="1">
      <c r="A171" s="663">
        <v>9.3000000000000007</v>
      </c>
      <c r="B171" s="664" t="s">
        <v>1235</v>
      </c>
      <c r="C171" s="449" t="s">
        <v>2010</v>
      </c>
      <c r="D171" s="664"/>
      <c r="E171" s="664" t="s">
        <v>2011</v>
      </c>
      <c r="F171" s="1327"/>
      <c r="G171" s="1328"/>
    </row>
    <row r="172" spans="1:7">
      <c r="A172" s="371"/>
      <c r="B172" s="382"/>
      <c r="C172" s="384"/>
      <c r="D172" s="382"/>
      <c r="E172" s="382" t="s">
        <v>2011</v>
      </c>
      <c r="F172" s="1322"/>
      <c r="G172" s="1323"/>
    </row>
    <row r="173" spans="1:7">
      <c r="A173" s="371"/>
      <c r="B173" s="382" t="s">
        <v>331</v>
      </c>
      <c r="C173" s="449" t="s">
        <v>2012</v>
      </c>
      <c r="D173" s="382"/>
      <c r="E173" s="382" t="s">
        <v>2011</v>
      </c>
      <c r="F173" s="1322"/>
      <c r="G173" s="1323"/>
    </row>
    <row r="174" spans="1:7">
      <c r="A174" s="371"/>
      <c r="B174" s="382"/>
      <c r="C174" s="384"/>
      <c r="D174" s="382"/>
      <c r="E174" s="382"/>
      <c r="F174" s="1322"/>
      <c r="G174" s="1323"/>
    </row>
    <row r="175" spans="1:7" s="306" customFormat="1" ht="56.45" customHeight="1">
      <c r="A175" s="371"/>
      <c r="B175" s="382"/>
      <c r="C175" s="981" t="s">
        <v>2013</v>
      </c>
      <c r="D175" s="382"/>
      <c r="E175" s="382" t="s">
        <v>2011</v>
      </c>
      <c r="F175" s="1320"/>
      <c r="G175" s="1307"/>
    </row>
    <row r="176" spans="1:7" s="306" customFormat="1">
      <c r="A176" s="371"/>
      <c r="B176" s="382"/>
      <c r="C176" s="384"/>
      <c r="D176" s="382"/>
      <c r="E176" s="382"/>
      <c r="F176" s="1320"/>
      <c r="G176" s="1307"/>
    </row>
    <row r="177" spans="1:7" s="306" customFormat="1">
      <c r="A177" s="371" t="s">
        <v>2014</v>
      </c>
      <c r="B177" s="382"/>
      <c r="C177" s="384" t="s">
        <v>2015</v>
      </c>
      <c r="D177" s="382" t="s">
        <v>70</v>
      </c>
      <c r="E177" s="382">
        <v>2</v>
      </c>
      <c r="F177" s="1320"/>
      <c r="G177" s="1307"/>
    </row>
    <row r="178" spans="1:7">
      <c r="A178" s="371"/>
      <c r="B178" s="382"/>
      <c r="C178" s="384"/>
      <c r="D178" s="382"/>
      <c r="E178" s="382"/>
      <c r="F178" s="1320"/>
      <c r="G178" s="1307"/>
    </row>
    <row r="179" spans="1:7" ht="25.5">
      <c r="A179" s="371" t="s">
        <v>2016</v>
      </c>
      <c r="B179" s="982"/>
      <c r="C179" s="956" t="s">
        <v>2017</v>
      </c>
      <c r="D179" s="983" t="s">
        <v>70</v>
      </c>
      <c r="E179" s="382">
        <f>16*2</f>
        <v>32</v>
      </c>
      <c r="F179" s="1320"/>
      <c r="G179" s="1307"/>
    </row>
    <row r="180" spans="1:7">
      <c r="A180" s="371"/>
      <c r="B180" s="1000"/>
      <c r="C180" s="384"/>
      <c r="D180" s="382"/>
      <c r="E180" s="372"/>
      <c r="F180" s="1320"/>
      <c r="G180" s="1325"/>
    </row>
    <row r="181" spans="1:7">
      <c r="A181" s="371"/>
      <c r="B181" s="984" t="s">
        <v>2018</v>
      </c>
      <c r="C181" s="981" t="s">
        <v>2019</v>
      </c>
      <c r="D181" s="985"/>
      <c r="E181" s="372"/>
      <c r="F181" s="1320"/>
      <c r="G181" s="1307"/>
    </row>
    <row r="182" spans="1:7">
      <c r="A182" s="371"/>
      <c r="B182" s="985"/>
      <c r="C182" s="384"/>
      <c r="D182" s="986"/>
      <c r="E182" s="372"/>
      <c r="F182" s="1320"/>
      <c r="G182" s="1307"/>
    </row>
    <row r="183" spans="1:7" ht="25.5">
      <c r="A183" s="371" t="s">
        <v>2020</v>
      </c>
      <c r="B183" s="985"/>
      <c r="C183" s="376" t="s">
        <v>2021</v>
      </c>
      <c r="D183" s="987" t="s">
        <v>818</v>
      </c>
      <c r="E183" s="372">
        <f>25+10</f>
        <v>35</v>
      </c>
      <c r="F183" s="1200"/>
      <c r="G183" s="1201"/>
    </row>
    <row r="184" spans="1:7">
      <c r="A184" s="371"/>
      <c r="B184" s="985"/>
      <c r="C184" s="376"/>
      <c r="D184" s="386"/>
      <c r="E184" s="372"/>
      <c r="F184" s="1320"/>
      <c r="G184" s="1307"/>
    </row>
    <row r="185" spans="1:7">
      <c r="A185" s="373">
        <v>9.4</v>
      </c>
      <c r="B185" s="382" t="s">
        <v>1825</v>
      </c>
      <c r="C185" s="972" t="s">
        <v>2022</v>
      </c>
      <c r="D185" s="986"/>
      <c r="E185" s="372"/>
      <c r="F185" s="1320"/>
      <c r="G185" s="1307"/>
    </row>
    <row r="186" spans="1:7">
      <c r="A186" s="371"/>
      <c r="B186" s="985"/>
      <c r="C186" s="384"/>
      <c r="D186" s="986"/>
      <c r="E186" s="372"/>
      <c r="F186" s="1320"/>
      <c r="G186" s="1307"/>
    </row>
    <row r="187" spans="1:7">
      <c r="A187" s="371"/>
      <c r="B187" s="382">
        <v>8.1</v>
      </c>
      <c r="C187" s="972" t="s">
        <v>1855</v>
      </c>
      <c r="D187" s="986"/>
      <c r="E187" s="372"/>
      <c r="F187" s="1320"/>
      <c r="G187" s="1307"/>
    </row>
    <row r="188" spans="1:7">
      <c r="A188" s="371"/>
      <c r="B188" s="985"/>
      <c r="C188" s="384"/>
      <c r="D188" s="985"/>
      <c r="E188" s="372"/>
      <c r="F188" s="1320"/>
      <c r="G188" s="1307"/>
    </row>
    <row r="189" spans="1:7" ht="25.5">
      <c r="A189" s="371" t="s">
        <v>2023</v>
      </c>
      <c r="B189" s="367" t="s">
        <v>1857</v>
      </c>
      <c r="C189" s="956" t="s">
        <v>2024</v>
      </c>
      <c r="D189" s="382" t="s">
        <v>825</v>
      </c>
      <c r="E189" s="372">
        <v>306</v>
      </c>
      <c r="F189" s="1200"/>
      <c r="G189" s="1201"/>
    </row>
    <row r="190" spans="1:7">
      <c r="A190" s="371"/>
      <c r="B190" s="1047"/>
      <c r="C190" s="980"/>
      <c r="D190" s="383"/>
      <c r="E190" s="372"/>
      <c r="F190" s="1320"/>
      <c r="G190" s="1307"/>
    </row>
    <row r="191" spans="1:7">
      <c r="A191" s="371"/>
      <c r="B191" s="1047"/>
      <c r="C191" s="950" t="s">
        <v>2025</v>
      </c>
      <c r="D191" s="380"/>
      <c r="E191" s="372"/>
      <c r="F191" s="1320"/>
      <c r="G191" s="1307"/>
    </row>
    <row r="192" spans="1:7">
      <c r="A192" s="371"/>
      <c r="B192" s="1047"/>
      <c r="C192" s="387"/>
      <c r="D192" s="380"/>
      <c r="E192" s="372"/>
      <c r="F192" s="1320"/>
      <c r="G192" s="1307"/>
    </row>
    <row r="193" spans="1:7">
      <c r="A193" s="371" t="s">
        <v>2026</v>
      </c>
      <c r="B193" s="1047"/>
      <c r="C193" s="387" t="s">
        <v>2027</v>
      </c>
      <c r="D193" s="380" t="s">
        <v>70</v>
      </c>
      <c r="E193" s="372">
        <v>4</v>
      </c>
      <c r="F193" s="1200"/>
      <c r="G193" s="1201"/>
    </row>
    <row r="194" spans="1:7">
      <c r="A194" s="371"/>
      <c r="B194" s="1047"/>
      <c r="C194" s="980"/>
      <c r="D194" s="383"/>
      <c r="E194" s="372"/>
      <c r="F194" s="1320"/>
      <c r="G194" s="1307"/>
    </row>
    <row r="195" spans="1:7">
      <c r="A195" s="373">
        <v>9.5</v>
      </c>
      <c r="B195" s="1162" t="s">
        <v>2028</v>
      </c>
      <c r="C195" s="449" t="s">
        <v>2029</v>
      </c>
      <c r="D195" s="382"/>
      <c r="E195" s="372"/>
      <c r="F195" s="1320"/>
      <c r="G195" s="1325"/>
    </row>
    <row r="196" spans="1:7">
      <c r="A196" s="371"/>
      <c r="B196" s="1000"/>
      <c r="C196" s="384"/>
      <c r="D196" s="382"/>
      <c r="E196" s="372"/>
      <c r="F196" s="1320"/>
      <c r="G196" s="1325"/>
    </row>
    <row r="197" spans="1:7">
      <c r="A197" s="371" t="s">
        <v>2030</v>
      </c>
      <c r="B197" s="1000"/>
      <c r="C197" s="384" t="s">
        <v>2031</v>
      </c>
      <c r="D197" s="382" t="s">
        <v>335</v>
      </c>
      <c r="E197" s="372">
        <v>1</v>
      </c>
      <c r="F197" s="1320"/>
      <c r="G197" s="1325"/>
    </row>
    <row r="198" spans="1:7">
      <c r="A198" s="371"/>
      <c r="B198" s="1000"/>
      <c r="C198" s="384"/>
      <c r="D198" s="383"/>
      <c r="E198" s="372"/>
      <c r="F198" s="1320"/>
      <c r="G198" s="1325"/>
    </row>
    <row r="199" spans="1:7">
      <c r="A199" s="373">
        <v>9.6</v>
      </c>
      <c r="B199" s="988" t="s">
        <v>1827</v>
      </c>
      <c r="C199" s="951" t="s">
        <v>2032</v>
      </c>
      <c r="D199" s="383"/>
      <c r="E199" s="372"/>
      <c r="F199" s="1320"/>
      <c r="G199" s="1307"/>
    </row>
    <row r="200" spans="1:7">
      <c r="A200" s="371"/>
      <c r="B200" s="382"/>
      <c r="C200" s="971"/>
      <c r="D200" s="383"/>
      <c r="E200" s="372"/>
      <c r="F200" s="1320"/>
      <c r="G200" s="1307"/>
    </row>
    <row r="201" spans="1:7" ht="25.5">
      <c r="A201" s="371"/>
      <c r="B201" s="380" t="s">
        <v>1916</v>
      </c>
      <c r="C201" s="430" t="s">
        <v>2033</v>
      </c>
      <c r="D201" s="383"/>
      <c r="E201" s="372"/>
      <c r="F201" s="1320"/>
      <c r="G201" s="1307"/>
    </row>
    <row r="202" spans="1:7">
      <c r="A202" s="371"/>
      <c r="B202" s="1047"/>
      <c r="C202" s="387"/>
      <c r="D202" s="386"/>
      <c r="E202" s="372"/>
      <c r="F202" s="1320"/>
      <c r="G202" s="1307"/>
    </row>
    <row r="203" spans="1:7" ht="25.5">
      <c r="A203" s="371" t="s">
        <v>2034</v>
      </c>
      <c r="B203" s="380" t="s">
        <v>1832</v>
      </c>
      <c r="C203" s="387" t="s">
        <v>2035</v>
      </c>
      <c r="D203" s="380" t="s">
        <v>70</v>
      </c>
      <c r="E203" s="372">
        <v>1</v>
      </c>
      <c r="F203" s="1200"/>
      <c r="G203" s="1201"/>
    </row>
    <row r="204" spans="1:7">
      <c r="A204" s="371"/>
      <c r="B204" s="1047"/>
      <c r="C204" s="387"/>
      <c r="D204" s="386"/>
      <c r="E204" s="372"/>
      <c r="F204" s="1200"/>
      <c r="G204" s="1201"/>
    </row>
    <row r="205" spans="1:7">
      <c r="A205" s="371" t="s">
        <v>2036</v>
      </c>
      <c r="B205" s="380" t="s">
        <v>2037</v>
      </c>
      <c r="C205" s="387" t="s">
        <v>2038</v>
      </c>
      <c r="D205" s="380" t="s">
        <v>70</v>
      </c>
      <c r="E205" s="372">
        <v>10</v>
      </c>
      <c r="F205" s="1200"/>
      <c r="G205" s="1201"/>
    </row>
    <row r="206" spans="1:7">
      <c r="A206" s="371"/>
      <c r="B206" s="1000"/>
      <c r="C206" s="384"/>
      <c r="D206" s="382"/>
      <c r="E206" s="372"/>
      <c r="F206" s="1320"/>
      <c r="G206" s="1325"/>
    </row>
    <row r="207" spans="1:7">
      <c r="A207" s="371" t="s">
        <v>2039</v>
      </c>
      <c r="B207" s="1000"/>
      <c r="C207" s="384" t="s">
        <v>2040</v>
      </c>
      <c r="D207" s="380" t="s">
        <v>70</v>
      </c>
      <c r="E207" s="372">
        <v>1</v>
      </c>
      <c r="F207" s="1200"/>
      <c r="G207" s="1201"/>
    </row>
    <row r="208" spans="1:7">
      <c r="A208" s="371"/>
      <c r="B208" s="1000"/>
      <c r="C208" s="384"/>
      <c r="D208" s="382"/>
      <c r="E208" s="372"/>
      <c r="F208" s="1320"/>
      <c r="G208" s="1325"/>
    </row>
    <row r="209" spans="1:7">
      <c r="A209" s="373">
        <v>9.6999999999999993</v>
      </c>
      <c r="B209" s="1000"/>
      <c r="C209" s="449" t="s">
        <v>2041</v>
      </c>
      <c r="D209" s="382"/>
      <c r="E209" s="372"/>
      <c r="F209" s="1329"/>
      <c r="G209" s="1325"/>
    </row>
    <row r="210" spans="1:7">
      <c r="A210" s="371"/>
      <c r="B210" s="1000"/>
      <c r="C210" s="384"/>
      <c r="D210" s="382"/>
      <c r="E210" s="372"/>
      <c r="F210" s="1329"/>
      <c r="G210" s="1325"/>
    </row>
    <row r="211" spans="1:7" ht="38.25">
      <c r="A211" s="371" t="s">
        <v>2042</v>
      </c>
      <c r="B211" s="1000"/>
      <c r="C211" s="376" t="s">
        <v>2354</v>
      </c>
      <c r="D211" s="382" t="s">
        <v>70</v>
      </c>
      <c r="E211" s="372">
        <v>1</v>
      </c>
      <c r="F211" s="1200"/>
      <c r="G211" s="1201"/>
    </row>
    <row r="212" spans="1:7">
      <c r="A212" s="371"/>
      <c r="B212" s="366"/>
      <c r="C212" s="376"/>
      <c r="D212" s="382"/>
      <c r="E212" s="372"/>
      <c r="F212" s="1329"/>
      <c r="G212" s="1307"/>
    </row>
    <row r="213" spans="1:7">
      <c r="A213" s="373">
        <v>9.8000000000000007</v>
      </c>
      <c r="B213" s="1000"/>
      <c r="C213" s="449" t="s">
        <v>2043</v>
      </c>
      <c r="D213" s="382"/>
      <c r="E213" s="372"/>
      <c r="F213" s="1329"/>
      <c r="G213" s="1307"/>
    </row>
    <row r="214" spans="1:7">
      <c r="A214" s="371"/>
      <c r="B214" s="366"/>
      <c r="C214" s="376"/>
      <c r="D214" s="382"/>
      <c r="E214" s="372"/>
      <c r="F214" s="1329"/>
      <c r="G214" s="1307"/>
    </row>
    <row r="215" spans="1:7" ht="25.5">
      <c r="A215" s="371" t="s">
        <v>2044</v>
      </c>
      <c r="B215" s="1000"/>
      <c r="C215" s="384" t="s">
        <v>2045</v>
      </c>
      <c r="D215" s="983" t="s">
        <v>70</v>
      </c>
      <c r="E215" s="372">
        <v>1</v>
      </c>
      <c r="F215" s="1200"/>
      <c r="G215" s="1201"/>
    </row>
    <row r="216" spans="1:7">
      <c r="A216" s="371"/>
      <c r="B216" s="366"/>
      <c r="C216" s="376"/>
      <c r="D216" s="382"/>
      <c r="E216" s="372"/>
      <c r="F216" s="1329"/>
      <c r="G216" s="1307"/>
    </row>
    <row r="217" spans="1:7" ht="25.5">
      <c r="A217" s="371" t="s">
        <v>2046</v>
      </c>
      <c r="B217" s="366"/>
      <c r="C217" s="376" t="s">
        <v>2047</v>
      </c>
      <c r="D217" s="983" t="s">
        <v>70</v>
      </c>
      <c r="E217" s="372">
        <v>1</v>
      </c>
      <c r="F217" s="1200"/>
      <c r="G217" s="1201"/>
    </row>
    <row r="218" spans="1:7">
      <c r="A218" s="371"/>
      <c r="B218" s="366"/>
      <c r="C218" s="376"/>
      <c r="D218" s="382"/>
      <c r="E218" s="372"/>
      <c r="F218" s="1329"/>
      <c r="G218" s="1307"/>
    </row>
    <row r="219" spans="1:7" ht="25.5">
      <c r="A219" s="371" t="s">
        <v>2048</v>
      </c>
      <c r="B219" s="366"/>
      <c r="C219" s="376" t="s">
        <v>2049</v>
      </c>
      <c r="D219" s="983" t="s">
        <v>70</v>
      </c>
      <c r="E219" s="372">
        <v>1</v>
      </c>
      <c r="F219" s="1200"/>
      <c r="G219" s="1201"/>
    </row>
    <row r="220" spans="1:7">
      <c r="A220" s="371"/>
      <c r="B220" s="1047"/>
      <c r="C220" s="387"/>
      <c r="D220" s="386"/>
      <c r="E220" s="372"/>
      <c r="F220" s="1200"/>
      <c r="G220" s="1201"/>
    </row>
    <row r="221" spans="1:7">
      <c r="A221" s="371"/>
      <c r="B221" s="1047"/>
      <c r="C221" s="387"/>
      <c r="D221" s="386"/>
      <c r="E221" s="372"/>
      <c r="F221" s="1200"/>
      <c r="G221" s="1201"/>
    </row>
    <row r="222" spans="1:7">
      <c r="A222" s="371"/>
      <c r="B222" s="1047"/>
      <c r="C222" s="387"/>
      <c r="D222" s="386"/>
      <c r="E222" s="372"/>
      <c r="F222" s="1200"/>
      <c r="G222" s="1201"/>
    </row>
    <row r="223" spans="1:7">
      <c r="A223" s="371"/>
      <c r="B223" s="1047"/>
      <c r="C223" s="387"/>
      <c r="D223" s="386"/>
      <c r="E223" s="372"/>
      <c r="F223" s="1200"/>
      <c r="G223" s="1201"/>
    </row>
    <row r="224" spans="1:7">
      <c r="A224" s="371"/>
      <c r="B224" s="1047"/>
      <c r="C224" s="387"/>
      <c r="D224" s="386"/>
      <c r="E224" s="372"/>
      <c r="F224" s="1200"/>
      <c r="G224" s="1201"/>
    </row>
    <row r="225" spans="1:7">
      <c r="A225" s="371"/>
      <c r="B225" s="1047"/>
      <c r="C225" s="387"/>
      <c r="D225" s="386"/>
      <c r="E225" s="372"/>
      <c r="F225" s="1200"/>
      <c r="G225" s="1201"/>
    </row>
    <row r="226" spans="1:7">
      <c r="A226" s="371"/>
      <c r="B226" s="1047"/>
      <c r="C226" s="387"/>
      <c r="D226" s="386"/>
      <c r="E226" s="372"/>
      <c r="F226" s="1200"/>
      <c r="G226" s="1201"/>
    </row>
    <row r="227" spans="1:7">
      <c r="A227" s="371"/>
      <c r="B227" s="1047"/>
      <c r="C227" s="387"/>
      <c r="D227" s="386"/>
      <c r="E227" s="372"/>
      <c r="F227" s="1200"/>
      <c r="G227" s="1201"/>
    </row>
    <row r="228" spans="1:7">
      <c r="A228" s="371"/>
      <c r="B228" s="1047"/>
      <c r="C228" s="387"/>
      <c r="D228" s="386"/>
      <c r="E228" s="372"/>
      <c r="F228" s="1200"/>
      <c r="G228" s="1201"/>
    </row>
    <row r="229" spans="1:7">
      <c r="A229" s="371"/>
      <c r="B229" s="1047"/>
      <c r="C229" s="387"/>
      <c r="D229" s="386"/>
      <c r="E229" s="372"/>
      <c r="F229" s="1200"/>
      <c r="G229" s="1201"/>
    </row>
    <row r="230" spans="1:7">
      <c r="A230" s="371"/>
      <c r="B230" s="1047"/>
      <c r="C230" s="387"/>
      <c r="D230" s="386"/>
      <c r="E230" s="372"/>
      <c r="F230" s="1200"/>
      <c r="G230" s="1201"/>
    </row>
    <row r="231" spans="1:7">
      <c r="A231" s="371"/>
      <c r="B231" s="1047"/>
      <c r="C231" s="387"/>
      <c r="D231" s="386"/>
      <c r="E231" s="372"/>
      <c r="F231" s="1200"/>
      <c r="G231" s="1201"/>
    </row>
    <row r="232" spans="1:7" ht="15" customHeight="1">
      <c r="A232" s="1600" t="s">
        <v>2050</v>
      </c>
      <c r="B232" s="1601"/>
      <c r="C232" s="1601"/>
      <c r="D232" s="1601"/>
      <c r="E232" s="1601"/>
      <c r="F232" s="1602"/>
      <c r="G232" s="1592"/>
    </row>
    <row r="233" spans="1:7">
      <c r="A233" s="1603"/>
      <c r="B233" s="1604"/>
      <c r="C233" s="1604"/>
      <c r="D233" s="1604"/>
      <c r="E233" s="1604"/>
      <c r="F233" s="1605"/>
      <c r="G233" s="1593"/>
    </row>
    <row r="234" spans="1:7">
      <c r="A234" s="989"/>
      <c r="D234" s="674"/>
      <c r="E234" s="990"/>
      <c r="F234" s="389"/>
      <c r="G234" s="390"/>
    </row>
    <row r="235" spans="1:7">
      <c r="A235" s="989"/>
      <c r="D235" s="674"/>
      <c r="E235" s="990"/>
      <c r="F235" s="389"/>
      <c r="G235" s="390"/>
    </row>
    <row r="236" spans="1:7">
      <c r="A236" s="989"/>
      <c r="D236" s="674"/>
      <c r="E236" s="990"/>
      <c r="F236" s="389"/>
      <c r="G236" s="390"/>
    </row>
    <row r="237" spans="1:7">
      <c r="A237" s="989"/>
      <c r="D237" s="674"/>
      <c r="E237" s="990"/>
      <c r="F237" s="389"/>
      <c r="G237" s="390"/>
    </row>
    <row r="238" spans="1:7">
      <c r="A238" s="989"/>
      <c r="D238" s="674"/>
      <c r="E238" s="990"/>
      <c r="F238" s="389"/>
      <c r="G238" s="390"/>
    </row>
    <row r="239" spans="1:7">
      <c r="A239" s="989"/>
      <c r="D239" s="674"/>
      <c r="E239" s="990"/>
      <c r="F239" s="389"/>
      <c r="G239" s="390"/>
    </row>
    <row r="240" spans="1:7">
      <c r="A240" s="989"/>
      <c r="D240" s="674"/>
      <c r="E240" s="990"/>
      <c r="F240" s="389"/>
      <c r="G240" s="390"/>
    </row>
    <row r="241" spans="6:7">
      <c r="F241" s="389"/>
      <c r="G241" s="390"/>
    </row>
    <row r="242" spans="6:7">
      <c r="F242" s="389"/>
      <c r="G242" s="390"/>
    </row>
    <row r="243" spans="6:7">
      <c r="F243" s="389"/>
      <c r="G243" s="390"/>
    </row>
    <row r="244" spans="6:7">
      <c r="F244" s="389"/>
      <c r="G244" s="390"/>
    </row>
    <row r="245" spans="6:7">
      <c r="F245" s="389"/>
      <c r="G245" s="390"/>
    </row>
    <row r="246" spans="6:7">
      <c r="F246" s="389"/>
      <c r="G246" s="390"/>
    </row>
    <row r="247" spans="6:7">
      <c r="F247" s="389"/>
      <c r="G247" s="390"/>
    </row>
    <row r="248" spans="6:7">
      <c r="F248" s="389"/>
      <c r="G248" s="390"/>
    </row>
    <row r="249" spans="6:7">
      <c r="F249" s="389"/>
      <c r="G249" s="390"/>
    </row>
    <row r="250" spans="6:7">
      <c r="F250" s="389"/>
      <c r="G250" s="390"/>
    </row>
    <row r="251" spans="6:7">
      <c r="F251" s="389"/>
      <c r="G251" s="390"/>
    </row>
    <row r="252" spans="6:7">
      <c r="F252" s="389"/>
      <c r="G252" s="390"/>
    </row>
    <row r="253" spans="6:7">
      <c r="F253" s="389"/>
      <c r="G253" s="390"/>
    </row>
    <row r="254" spans="6:7">
      <c r="F254" s="389"/>
      <c r="G254" s="390"/>
    </row>
    <row r="255" spans="6:7">
      <c r="F255" s="389"/>
      <c r="G255" s="390"/>
    </row>
    <row r="256" spans="6:7">
      <c r="F256" s="389"/>
      <c r="G256" s="390"/>
    </row>
    <row r="257" spans="6:7">
      <c r="F257" s="389"/>
      <c r="G257" s="390"/>
    </row>
    <row r="258" spans="6:7">
      <c r="F258" s="389"/>
      <c r="G258" s="390"/>
    </row>
    <row r="259" spans="6:7">
      <c r="F259" s="389"/>
      <c r="G259" s="390"/>
    </row>
    <row r="260" spans="6:7">
      <c r="F260" s="389"/>
      <c r="G260" s="390"/>
    </row>
    <row r="261" spans="6:7">
      <c r="F261" s="389"/>
      <c r="G261" s="390"/>
    </row>
    <row r="262" spans="6:7">
      <c r="F262" s="389"/>
      <c r="G262" s="390"/>
    </row>
    <row r="263" spans="6:7">
      <c r="F263" s="389"/>
      <c r="G263" s="390"/>
    </row>
    <row r="264" spans="6:7">
      <c r="F264" s="389"/>
      <c r="G264" s="390"/>
    </row>
    <row r="265" spans="6:7">
      <c r="F265" s="389"/>
      <c r="G265" s="390"/>
    </row>
    <row r="266" spans="6:7">
      <c r="F266" s="389"/>
      <c r="G266" s="390"/>
    </row>
    <row r="267" spans="6:7">
      <c r="F267" s="389"/>
      <c r="G267" s="390"/>
    </row>
    <row r="268" spans="6:7">
      <c r="F268" s="389"/>
      <c r="G268" s="390"/>
    </row>
    <row r="269" spans="6:7">
      <c r="F269" s="389"/>
      <c r="G269" s="390"/>
    </row>
    <row r="270" spans="6:7">
      <c r="F270" s="389"/>
      <c r="G270" s="390"/>
    </row>
    <row r="271" spans="6:7">
      <c r="F271" s="389"/>
      <c r="G271" s="390"/>
    </row>
    <row r="272" spans="6:7">
      <c r="F272" s="389"/>
      <c r="G272" s="390"/>
    </row>
    <row r="273" spans="6:7">
      <c r="F273" s="389"/>
      <c r="G273" s="390"/>
    </row>
    <row r="274" spans="6:7">
      <c r="F274" s="389"/>
      <c r="G274" s="390"/>
    </row>
    <row r="275" spans="6:7">
      <c r="F275" s="389"/>
      <c r="G275" s="390"/>
    </row>
    <row r="276" spans="6:7">
      <c r="F276" s="389"/>
      <c r="G276" s="390"/>
    </row>
    <row r="277" spans="6:7">
      <c r="F277" s="389"/>
      <c r="G277" s="390"/>
    </row>
    <row r="278" spans="6:7">
      <c r="F278" s="389"/>
      <c r="G278" s="390"/>
    </row>
  </sheetData>
  <sheetProtection algorithmName="SHA-512" hashValue="KcfhiGifcyK4FTiae5Dz+eRjPEFxdz4jbZO3XAYJE2aT6zFWqPkgXXISBMOcG6a8rWaAJn22AIzrn0fgvDUC4w==" saltValue="f1ELCDbqZTM7sIRmC3jmZQ==" spinCount="100000" sheet="1" objects="1" scenarios="1"/>
  <mergeCells count="16">
    <mergeCell ref="A232:F233"/>
    <mergeCell ref="G163:G164"/>
    <mergeCell ref="G232:G233"/>
    <mergeCell ref="G79:G80"/>
    <mergeCell ref="A79:E80"/>
    <mergeCell ref="F79:F80"/>
    <mergeCell ref="A163:E164"/>
    <mergeCell ref="F163:F164"/>
    <mergeCell ref="A1:G1"/>
    <mergeCell ref="A3:A4"/>
    <mergeCell ref="C3:C4"/>
    <mergeCell ref="G3:G4"/>
    <mergeCell ref="F3:F4"/>
    <mergeCell ref="E3:E4"/>
    <mergeCell ref="D3:D4"/>
    <mergeCell ref="B3:B4"/>
  </mergeCells>
  <phoneticPr fontId="38" type="noConversion"/>
  <pageMargins left="0.70866141732283472" right="0.70866141732283472" top="0.86614173228346458" bottom="0.78740157480314965" header="0.31496062992125984" footer="0.19685039370078741"/>
  <pageSetup paperSize="9" scale="67" firstPageNumber="78" orientation="portrait" useFirstPageNumber="1" r:id="rId1"/>
  <headerFooter>
    <oddHeader>&amp;L&amp;G&amp;CCONSTRUCTION OF 20ML CARLSWALD RESERVOIR
SCHEDULE OF QUANTITIES&amp;R&amp;G</oddHeader>
    <oddFooter>&amp;C&amp;G
C.&amp;P</oddFooter>
  </headerFooter>
  <rowBreaks count="2" manualBreakCount="2">
    <brk id="80" max="6" man="1"/>
    <brk id="164" max="6" man="1"/>
  </rowBreaks>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F7F99-D1C8-4047-BB3A-B9C901200B8A}">
  <dimension ref="A1:J500"/>
  <sheetViews>
    <sheetView tabSelected="1" view="pageBreakPreview" topLeftCell="A87" zoomScaleNormal="79" zoomScaleSheetLayoutView="100" zoomScalePageLayoutView="70" workbookViewId="0">
      <selection activeCell="G107" sqref="G107"/>
    </sheetView>
  </sheetViews>
  <sheetFormatPr defaultColWidth="8.85546875" defaultRowHeight="12.75"/>
  <cols>
    <col min="1" max="1" width="9.5703125" style="989" customWidth="1"/>
    <col min="2" max="2" width="15.28515625" style="936" customWidth="1"/>
    <col min="3" max="3" width="47.7109375" style="679" customWidth="1"/>
    <col min="4" max="4" width="8.7109375" style="679" customWidth="1"/>
    <col min="5" max="5" width="11.42578125" style="1017" bestFit="1" customWidth="1"/>
    <col min="6" max="6" width="15.42578125" style="490" customWidth="1"/>
    <col min="7" max="7" width="21.42578125" style="491" customWidth="1"/>
    <col min="8" max="16384" width="8.85546875" style="679"/>
  </cols>
  <sheetData>
    <row r="1" spans="1:10" ht="15" customHeight="1">
      <c r="A1" s="1538" t="s">
        <v>2051</v>
      </c>
      <c r="B1" s="1538"/>
      <c r="C1" s="1538"/>
      <c r="D1" s="1538"/>
      <c r="E1" s="1538"/>
      <c r="F1" s="1538"/>
      <c r="G1" s="1538"/>
    </row>
    <row r="2" spans="1:10">
      <c r="A2" s="365"/>
      <c r="B2" s="294"/>
      <c r="C2" s="294"/>
      <c r="D2" s="294"/>
      <c r="E2" s="294"/>
      <c r="F2" s="557"/>
      <c r="G2" s="556"/>
    </row>
    <row r="3" spans="1:10">
      <c r="A3" s="1578" t="s">
        <v>322</v>
      </c>
      <c r="B3" s="1578" t="s">
        <v>323</v>
      </c>
      <c r="C3" s="1606" t="s">
        <v>33</v>
      </c>
      <c r="D3" s="1582" t="s">
        <v>324</v>
      </c>
      <c r="E3" s="1584" t="s">
        <v>325</v>
      </c>
      <c r="F3" s="1608" t="s">
        <v>326</v>
      </c>
      <c r="G3" s="1610" t="s">
        <v>327</v>
      </c>
    </row>
    <row r="4" spans="1:10">
      <c r="A4" s="1579"/>
      <c r="B4" s="1579"/>
      <c r="C4" s="1607"/>
      <c r="D4" s="1583"/>
      <c r="E4" s="1585"/>
      <c r="F4" s="1609"/>
      <c r="G4" s="1611"/>
    </row>
    <row r="5" spans="1:10">
      <c r="A5" s="895"/>
      <c r="B5" s="939"/>
      <c r="C5" s="909"/>
      <c r="D5" s="896"/>
      <c r="E5" s="910"/>
      <c r="F5" s="1242"/>
      <c r="G5" s="1242"/>
      <c r="H5" s="255"/>
    </row>
    <row r="6" spans="1:10" s="290" customFormat="1">
      <c r="A6" s="748"/>
      <c r="B6" s="1002"/>
      <c r="C6" s="238" t="s">
        <v>2051</v>
      </c>
      <c r="D6" s="749"/>
      <c r="E6" s="749"/>
      <c r="F6" s="1243"/>
      <c r="G6" s="1228"/>
      <c r="J6" s="255"/>
    </row>
    <row r="7" spans="1:10">
      <c r="A7" s="895"/>
      <c r="B7" s="939"/>
      <c r="C7" s="909"/>
      <c r="D7" s="896"/>
      <c r="E7" s="910"/>
      <c r="F7" s="1242"/>
      <c r="G7" s="1242"/>
      <c r="H7" s="255"/>
    </row>
    <row r="8" spans="1:10" s="249" customFormat="1">
      <c r="A8" s="373">
        <v>10.1</v>
      </c>
      <c r="B8" s="477" t="s">
        <v>2052</v>
      </c>
      <c r="C8" s="481" t="s">
        <v>2053</v>
      </c>
      <c r="D8" s="492"/>
      <c r="E8" s="493"/>
      <c r="F8" s="1330"/>
      <c r="G8" s="1330"/>
      <c r="H8" s="255"/>
    </row>
    <row r="9" spans="1:10">
      <c r="A9" s="371"/>
      <c r="B9" s="450"/>
      <c r="C9" s="451"/>
      <c r="D9" s="380"/>
      <c r="E9" s="372"/>
      <c r="F9" s="1275"/>
      <c r="G9" s="1275"/>
    </row>
    <row r="10" spans="1:10" ht="38.25">
      <c r="A10" s="371"/>
      <c r="B10" s="450"/>
      <c r="C10" s="452" t="s">
        <v>2054</v>
      </c>
      <c r="D10" s="452"/>
      <c r="E10" s="452"/>
      <c r="F10" s="1331"/>
      <c r="G10" s="1331"/>
    </row>
    <row r="11" spans="1:10">
      <c r="A11" s="371"/>
      <c r="B11" s="450"/>
      <c r="C11" s="451"/>
      <c r="D11" s="380"/>
      <c r="E11" s="372"/>
      <c r="F11" s="1275"/>
      <c r="G11" s="1275"/>
    </row>
    <row r="12" spans="1:10">
      <c r="A12" s="371"/>
      <c r="B12" s="453"/>
      <c r="C12" s="454" t="s">
        <v>2055</v>
      </c>
      <c r="D12" s="453"/>
      <c r="E12" s="455"/>
      <c r="F12" s="1332"/>
      <c r="G12" s="1170"/>
    </row>
    <row r="13" spans="1:10">
      <c r="A13" s="371"/>
      <c r="B13" s="453"/>
      <c r="C13" s="456"/>
      <c r="D13" s="453"/>
      <c r="E13" s="455"/>
      <c r="F13" s="1332"/>
      <c r="G13" s="1170"/>
    </row>
    <row r="14" spans="1:10">
      <c r="A14" s="366" t="s">
        <v>2056</v>
      </c>
      <c r="B14" s="660"/>
      <c r="C14" s="457" t="s">
        <v>2057</v>
      </c>
      <c r="D14" s="453" t="s">
        <v>818</v>
      </c>
      <c r="E14" s="455">
        <v>30</v>
      </c>
      <c r="F14" s="1332"/>
      <c r="G14" s="1170"/>
    </row>
    <row r="15" spans="1:10">
      <c r="A15" s="366"/>
      <c r="B15" s="660"/>
      <c r="C15" s="457"/>
      <c r="D15" s="453"/>
      <c r="E15" s="455"/>
      <c r="F15" s="1332"/>
      <c r="G15" s="1170"/>
    </row>
    <row r="16" spans="1:10">
      <c r="A16" s="366"/>
      <c r="B16" s="580"/>
      <c r="C16" s="454" t="s">
        <v>2058</v>
      </c>
      <c r="D16" s="453"/>
      <c r="E16" s="455"/>
      <c r="F16" s="1332"/>
      <c r="G16" s="1170"/>
    </row>
    <row r="17" spans="1:7">
      <c r="A17" s="366"/>
      <c r="B17" s="580"/>
      <c r="C17" s="456"/>
      <c r="D17" s="453"/>
      <c r="E17" s="455"/>
      <c r="F17" s="1332"/>
      <c r="G17" s="1170"/>
    </row>
    <row r="18" spans="1:7">
      <c r="A18" s="366" t="s">
        <v>2059</v>
      </c>
      <c r="B18" s="991"/>
      <c r="C18" s="457" t="s">
        <v>2057</v>
      </c>
      <c r="D18" s="453" t="s">
        <v>2060</v>
      </c>
      <c r="E18" s="455">
        <v>4</v>
      </c>
      <c r="F18" s="1332"/>
      <c r="G18" s="1170"/>
    </row>
    <row r="19" spans="1:7">
      <c r="A19" s="366"/>
      <c r="B19" s="580"/>
      <c r="C19" s="457"/>
      <c r="D19" s="453"/>
      <c r="E19" s="455"/>
      <c r="F19" s="1332"/>
      <c r="G19" s="1332"/>
    </row>
    <row r="20" spans="1:7">
      <c r="A20" s="366"/>
      <c r="B20" s="580"/>
      <c r="C20" s="454" t="s">
        <v>2061</v>
      </c>
      <c r="D20" s="453"/>
      <c r="E20" s="455"/>
      <c r="F20" s="1332"/>
      <c r="G20" s="1332"/>
    </row>
    <row r="21" spans="1:7">
      <c r="A21" s="366"/>
      <c r="B21" s="580"/>
      <c r="C21" s="456"/>
      <c r="D21" s="453"/>
      <c r="E21" s="455"/>
      <c r="F21" s="1332"/>
      <c r="G21" s="1332"/>
    </row>
    <row r="22" spans="1:7">
      <c r="A22" s="366" t="s">
        <v>2062</v>
      </c>
      <c r="B22" s="991"/>
      <c r="C22" s="457" t="s">
        <v>2057</v>
      </c>
      <c r="D22" s="453" t="s">
        <v>2060</v>
      </c>
      <c r="E22" s="455">
        <v>4</v>
      </c>
      <c r="F22" s="1332"/>
      <c r="G22" s="1170"/>
    </row>
    <row r="23" spans="1:7">
      <c r="A23" s="366"/>
      <c r="B23" s="580"/>
      <c r="C23" s="457"/>
      <c r="D23" s="453"/>
      <c r="E23" s="455"/>
      <c r="F23" s="1332"/>
      <c r="G23" s="1332"/>
    </row>
    <row r="24" spans="1:7">
      <c r="A24" s="366"/>
      <c r="B24" s="1003"/>
      <c r="C24" s="1004" t="s">
        <v>2063</v>
      </c>
      <c r="D24" s="1003"/>
      <c r="E24" s="1005"/>
      <c r="F24" s="1333"/>
      <c r="G24" s="1170"/>
    </row>
    <row r="25" spans="1:7">
      <c r="A25" s="366"/>
      <c r="B25" s="1003"/>
      <c r="C25" s="1006"/>
      <c r="D25" s="1003"/>
      <c r="E25" s="1005"/>
      <c r="F25" s="1333"/>
      <c r="G25" s="1170"/>
    </row>
    <row r="26" spans="1:7">
      <c r="A26" s="366" t="s">
        <v>2064</v>
      </c>
      <c r="B26" s="1007"/>
      <c r="C26" s="457" t="s">
        <v>2057</v>
      </c>
      <c r="D26" s="453" t="s">
        <v>2060</v>
      </c>
      <c r="E26" s="455">
        <v>4</v>
      </c>
      <c r="F26" s="1333"/>
      <c r="G26" s="1170"/>
    </row>
    <row r="27" spans="1:7">
      <c r="A27" s="366"/>
      <c r="B27" s="991"/>
      <c r="C27" s="457"/>
      <c r="D27" s="453"/>
      <c r="E27" s="455"/>
      <c r="F27" s="1332"/>
      <c r="G27" s="1332"/>
    </row>
    <row r="28" spans="1:7">
      <c r="A28" s="366"/>
      <c r="B28" s="453"/>
      <c r="C28" s="456" t="s">
        <v>2065</v>
      </c>
      <c r="D28" s="453"/>
      <c r="E28" s="455"/>
      <c r="F28" s="1332"/>
      <c r="G28" s="1332"/>
    </row>
    <row r="29" spans="1:7">
      <c r="A29" s="366"/>
      <c r="B29" s="453"/>
      <c r="C29" s="456"/>
      <c r="D29" s="453"/>
      <c r="E29" s="455"/>
      <c r="F29" s="1332"/>
      <c r="G29" s="1332"/>
    </row>
    <row r="30" spans="1:7">
      <c r="A30" s="366" t="s">
        <v>2066</v>
      </c>
      <c r="B30" s="660"/>
      <c r="C30" s="457" t="s">
        <v>2057</v>
      </c>
      <c r="D30" s="453" t="s">
        <v>2060</v>
      </c>
      <c r="E30" s="455">
        <v>3</v>
      </c>
      <c r="F30" s="1332"/>
      <c r="G30" s="1170"/>
    </row>
    <row r="31" spans="1:7">
      <c r="A31" s="366"/>
      <c r="B31" s="580"/>
      <c r="C31" s="457"/>
      <c r="D31" s="453"/>
      <c r="E31" s="455"/>
      <c r="F31" s="1332"/>
      <c r="G31" s="1332"/>
    </row>
    <row r="32" spans="1:7">
      <c r="A32" s="366"/>
      <c r="B32" s="453"/>
      <c r="C32" s="454" t="s">
        <v>2067</v>
      </c>
      <c r="D32" s="453"/>
      <c r="E32" s="455"/>
      <c r="F32" s="1332"/>
      <c r="G32" s="1170"/>
    </row>
    <row r="33" spans="1:7">
      <c r="A33" s="366"/>
      <c r="B33" s="992"/>
      <c r="C33" s="712"/>
      <c r="D33" s="712"/>
      <c r="E33" s="993"/>
      <c r="F33" s="1334"/>
      <c r="G33" s="1335"/>
    </row>
    <row r="34" spans="1:7">
      <c r="A34" s="243" t="s">
        <v>2068</v>
      </c>
      <c r="B34" s="660"/>
      <c r="C34" s="457" t="s">
        <v>2057</v>
      </c>
      <c r="D34" s="453" t="s">
        <v>2060</v>
      </c>
      <c r="E34" s="455">
        <v>3</v>
      </c>
      <c r="F34" s="1332"/>
      <c r="G34" s="1170"/>
    </row>
    <row r="35" spans="1:7">
      <c r="A35" s="366"/>
      <c r="B35" s="712"/>
      <c r="D35" s="453"/>
      <c r="E35" s="455"/>
      <c r="F35" s="1332"/>
      <c r="G35" s="1170"/>
    </row>
    <row r="36" spans="1:7">
      <c r="A36" s="366"/>
      <c r="B36" s="453"/>
      <c r="C36" s="456" t="s">
        <v>2069</v>
      </c>
      <c r="D36" s="453"/>
      <c r="E36" s="455"/>
      <c r="F36" s="1332"/>
      <c r="G36" s="1170"/>
    </row>
    <row r="37" spans="1:7">
      <c r="A37" s="366"/>
      <c r="B37" s="453"/>
      <c r="C37" s="456"/>
      <c r="D37" s="453"/>
      <c r="E37" s="455"/>
      <c r="F37" s="1332"/>
      <c r="G37" s="1170"/>
    </row>
    <row r="38" spans="1:7">
      <c r="A38" s="243" t="s">
        <v>2070</v>
      </c>
      <c r="B38" s="660"/>
      <c r="C38" s="457" t="s">
        <v>2071</v>
      </c>
      <c r="D38" s="453" t="s">
        <v>818</v>
      </c>
      <c r="E38" s="455">
        <v>6</v>
      </c>
      <c r="F38" s="1332"/>
      <c r="G38" s="1170"/>
    </row>
    <row r="39" spans="1:7">
      <c r="A39" s="366"/>
      <c r="B39" s="660"/>
      <c r="C39" s="457"/>
      <c r="D39" s="453"/>
      <c r="E39" s="455"/>
      <c r="F39" s="1332"/>
      <c r="G39" s="1332"/>
    </row>
    <row r="40" spans="1:7">
      <c r="A40" s="243" t="s">
        <v>2072</v>
      </c>
      <c r="B40" s="453"/>
      <c r="C40" s="457" t="s">
        <v>2073</v>
      </c>
      <c r="D40" s="453" t="s">
        <v>818</v>
      </c>
      <c r="E40" s="455">
        <v>18</v>
      </c>
      <c r="F40" s="1332"/>
      <c r="G40" s="1170"/>
    </row>
    <row r="41" spans="1:7">
      <c r="A41" s="366"/>
      <c r="B41" s="453"/>
      <c r="C41" s="457"/>
      <c r="D41" s="453"/>
      <c r="E41" s="455"/>
      <c r="F41" s="1332"/>
      <c r="G41" s="1332"/>
    </row>
    <row r="42" spans="1:7" ht="25.5">
      <c r="A42" s="243"/>
      <c r="B42" s="242"/>
      <c r="C42" s="456" t="s">
        <v>2074</v>
      </c>
      <c r="D42" s="453"/>
      <c r="E42" s="455"/>
      <c r="F42" s="1332"/>
      <c r="G42" s="1170"/>
    </row>
    <row r="43" spans="1:7">
      <c r="A43" s="243"/>
      <c r="B43" s="453"/>
      <c r="C43" s="456"/>
      <c r="D43" s="453"/>
      <c r="E43" s="455"/>
      <c r="F43" s="1332"/>
      <c r="G43" s="1170"/>
    </row>
    <row r="44" spans="1:7">
      <c r="A44" s="243" t="s">
        <v>2075</v>
      </c>
      <c r="B44" s="453"/>
      <c r="C44" s="457" t="s">
        <v>2076</v>
      </c>
      <c r="D44" s="453" t="s">
        <v>2060</v>
      </c>
      <c r="E44" s="455">
        <v>4</v>
      </c>
      <c r="F44" s="1332"/>
      <c r="G44" s="1170"/>
    </row>
    <row r="45" spans="1:7">
      <c r="A45" s="243"/>
      <c r="B45" s="453"/>
      <c r="C45" s="457"/>
      <c r="D45" s="453"/>
      <c r="E45" s="455"/>
      <c r="F45" s="1332"/>
      <c r="G45" s="1332"/>
    </row>
    <row r="46" spans="1:7">
      <c r="A46" s="243" t="s">
        <v>2077</v>
      </c>
      <c r="B46" s="660"/>
      <c r="C46" s="457" t="s">
        <v>2078</v>
      </c>
      <c r="D46" s="453" t="s">
        <v>2060</v>
      </c>
      <c r="E46" s="455">
        <v>8</v>
      </c>
      <c r="F46" s="1332"/>
      <c r="G46" s="1170"/>
    </row>
    <row r="47" spans="1:7">
      <c r="A47" s="243"/>
      <c r="B47" s="453"/>
      <c r="C47" s="457"/>
      <c r="D47" s="453"/>
      <c r="E47" s="455"/>
      <c r="F47" s="1332"/>
      <c r="G47" s="1332"/>
    </row>
    <row r="48" spans="1:7">
      <c r="A48" s="243" t="s">
        <v>2079</v>
      </c>
      <c r="B48" s="453"/>
      <c r="C48" s="457" t="s">
        <v>2080</v>
      </c>
      <c r="D48" s="453" t="s">
        <v>2060</v>
      </c>
      <c r="E48" s="455">
        <v>2</v>
      </c>
      <c r="F48" s="1332"/>
      <c r="G48" s="1170"/>
    </row>
    <row r="49" spans="1:7">
      <c r="A49" s="243"/>
      <c r="B49" s="1003"/>
      <c r="C49" s="457"/>
      <c r="D49" s="453"/>
      <c r="E49" s="455"/>
      <c r="F49" s="1332"/>
      <c r="G49" s="1332"/>
    </row>
    <row r="50" spans="1:7" ht="63.75">
      <c r="A50" s="239">
        <v>10.199999999999999</v>
      </c>
      <c r="B50" s="242" t="s">
        <v>2052</v>
      </c>
      <c r="C50" s="242" t="s">
        <v>2081</v>
      </c>
      <c r="D50" s="582"/>
      <c r="E50" s="242"/>
      <c r="F50" s="1331"/>
      <c r="G50" s="1331"/>
    </row>
    <row r="51" spans="1:7">
      <c r="A51" s="371"/>
      <c r="B51" s="440"/>
      <c r="C51" s="1008"/>
      <c r="D51" s="1000"/>
      <c r="E51" s="1009"/>
      <c r="F51" s="1170"/>
      <c r="G51" s="1336"/>
    </row>
    <row r="52" spans="1:7">
      <c r="A52" s="1019"/>
      <c r="B52" s="453" t="s">
        <v>2082</v>
      </c>
      <c r="C52" s="456" t="s">
        <v>2083</v>
      </c>
      <c r="D52" s="453"/>
      <c r="E52" s="455"/>
      <c r="F52" s="1332"/>
      <c r="G52" s="1282"/>
    </row>
    <row r="53" spans="1:7">
      <c r="A53" s="243"/>
      <c r="B53" s="453"/>
      <c r="C53" s="456"/>
      <c r="D53" s="453"/>
      <c r="E53" s="455"/>
      <c r="F53" s="1332"/>
      <c r="G53" s="1282"/>
    </row>
    <row r="54" spans="1:7">
      <c r="A54" s="243" t="s">
        <v>2084</v>
      </c>
      <c r="B54" s="660"/>
      <c r="C54" s="457" t="s">
        <v>2057</v>
      </c>
      <c r="D54" s="453" t="s">
        <v>818</v>
      </c>
      <c r="E54" s="455">
        <v>30</v>
      </c>
      <c r="F54" s="1332"/>
      <c r="G54" s="1170"/>
    </row>
    <row r="55" spans="1:7">
      <c r="A55" s="371"/>
      <c r="B55" s="1003"/>
      <c r="C55" s="1010"/>
      <c r="D55" s="1003"/>
      <c r="E55" s="1005"/>
      <c r="F55" s="1333"/>
      <c r="G55" s="1332"/>
    </row>
    <row r="56" spans="1:7">
      <c r="A56" s="1019"/>
      <c r="B56" s="453" t="s">
        <v>2082</v>
      </c>
      <c r="C56" s="454" t="s">
        <v>2085</v>
      </c>
      <c r="D56" s="453"/>
      <c r="E56" s="455"/>
      <c r="F56" s="1332"/>
      <c r="G56" s="1164"/>
    </row>
    <row r="57" spans="1:7">
      <c r="A57" s="243"/>
      <c r="B57" s="1003"/>
      <c r="C57" s="456"/>
      <c r="D57" s="453"/>
      <c r="E57" s="455"/>
      <c r="F57" s="1332"/>
      <c r="G57" s="1164"/>
    </row>
    <row r="58" spans="1:7">
      <c r="A58" s="243" t="s">
        <v>2086</v>
      </c>
      <c r="B58" s="1003"/>
      <c r="C58" s="457" t="s">
        <v>2057</v>
      </c>
      <c r="D58" s="453" t="s">
        <v>2060</v>
      </c>
      <c r="E58" s="455">
        <f>E18</f>
        <v>4</v>
      </c>
      <c r="F58" s="1332"/>
      <c r="G58" s="1170"/>
    </row>
    <row r="59" spans="1:7">
      <c r="A59" s="371"/>
      <c r="B59" s="1003"/>
      <c r="C59" s="1006"/>
      <c r="D59" s="1003"/>
      <c r="E59" s="1005"/>
      <c r="F59" s="1333"/>
      <c r="G59" s="1170"/>
    </row>
    <row r="60" spans="1:7">
      <c r="A60" s="1019"/>
      <c r="B60" s="453" t="s">
        <v>2082</v>
      </c>
      <c r="C60" s="454" t="s">
        <v>2087</v>
      </c>
      <c r="D60" s="453"/>
      <c r="E60" s="455"/>
      <c r="F60" s="1332"/>
      <c r="G60" s="1275"/>
    </row>
    <row r="61" spans="1:7">
      <c r="A61" s="243"/>
      <c r="B61" s="453"/>
      <c r="C61" s="454"/>
      <c r="D61" s="453"/>
      <c r="E61" s="455"/>
      <c r="F61" s="1332"/>
      <c r="G61" s="1275"/>
    </row>
    <row r="62" spans="1:7">
      <c r="A62" s="243" t="s">
        <v>2088</v>
      </c>
      <c r="B62" s="660"/>
      <c r="C62" s="457" t="s">
        <v>2057</v>
      </c>
      <c r="D62" s="453" t="s">
        <v>2060</v>
      </c>
      <c r="E62" s="455">
        <f>E22</f>
        <v>4</v>
      </c>
      <c r="F62" s="1332"/>
      <c r="G62" s="1170"/>
    </row>
    <row r="63" spans="1:7">
      <c r="A63" s="371"/>
      <c r="B63" s="1003"/>
      <c r="C63" s="457"/>
      <c r="D63" s="453"/>
      <c r="E63" s="455"/>
      <c r="F63" s="1332"/>
      <c r="G63" s="1170"/>
    </row>
    <row r="64" spans="1:7">
      <c r="A64" s="1019"/>
      <c r="B64" s="453" t="s">
        <v>2082</v>
      </c>
      <c r="C64" s="454" t="s">
        <v>2089</v>
      </c>
      <c r="D64" s="453"/>
      <c r="E64" s="455"/>
      <c r="F64" s="1332"/>
      <c r="G64" s="1275"/>
    </row>
    <row r="65" spans="1:7">
      <c r="A65" s="243"/>
      <c r="B65" s="453"/>
      <c r="C65" s="456"/>
      <c r="D65" s="453"/>
      <c r="E65" s="455"/>
      <c r="F65" s="1332"/>
      <c r="G65" s="1275"/>
    </row>
    <row r="66" spans="1:7">
      <c r="A66" s="243" t="s">
        <v>2090</v>
      </c>
      <c r="B66" s="660"/>
      <c r="C66" s="457" t="s">
        <v>2057</v>
      </c>
      <c r="D66" s="453" t="s">
        <v>2060</v>
      </c>
      <c r="E66" s="455">
        <f>E26</f>
        <v>4</v>
      </c>
      <c r="F66" s="1332"/>
      <c r="G66" s="1170"/>
    </row>
    <row r="67" spans="1:7">
      <c r="A67" s="371"/>
      <c r="B67" s="453"/>
      <c r="C67" s="457"/>
      <c r="D67" s="453"/>
      <c r="E67" s="455"/>
      <c r="F67" s="1332"/>
      <c r="G67" s="1332"/>
    </row>
    <row r="68" spans="1:7">
      <c r="A68" s="1019"/>
      <c r="B68" s="453" t="s">
        <v>2082</v>
      </c>
      <c r="C68" s="454" t="s">
        <v>2091</v>
      </c>
      <c r="D68" s="453"/>
      <c r="E68" s="455"/>
      <c r="F68" s="1332"/>
      <c r="G68" s="1275"/>
    </row>
    <row r="69" spans="1:7">
      <c r="A69" s="243"/>
      <c r="B69" s="453"/>
      <c r="C69" s="456"/>
      <c r="D69" s="453"/>
      <c r="E69" s="455"/>
      <c r="F69" s="1332"/>
      <c r="G69" s="1275"/>
    </row>
    <row r="70" spans="1:7">
      <c r="A70" s="243" t="s">
        <v>2092</v>
      </c>
      <c r="B70" s="660"/>
      <c r="C70" s="457" t="s">
        <v>2057</v>
      </c>
      <c r="D70" s="453" t="s">
        <v>2060</v>
      </c>
      <c r="E70" s="455">
        <f>E34</f>
        <v>3</v>
      </c>
      <c r="F70" s="1332"/>
      <c r="G70" s="1170"/>
    </row>
    <row r="71" spans="1:7">
      <c r="A71" s="243"/>
      <c r="B71" s="660"/>
      <c r="C71" s="457"/>
      <c r="D71" s="453"/>
      <c r="E71" s="455"/>
      <c r="F71" s="1332"/>
      <c r="G71" s="1170"/>
    </row>
    <row r="72" spans="1:7">
      <c r="A72" s="243"/>
      <c r="B72" s="660"/>
      <c r="C72" s="457"/>
      <c r="D72" s="453"/>
      <c r="E72" s="455"/>
      <c r="F72" s="1332"/>
      <c r="G72" s="1170"/>
    </row>
    <row r="73" spans="1:7">
      <c r="A73" s="243"/>
      <c r="B73" s="660"/>
      <c r="C73" s="457"/>
      <c r="D73" s="453"/>
      <c r="E73" s="455"/>
      <c r="F73" s="1332"/>
      <c r="G73" s="1170"/>
    </row>
    <row r="74" spans="1:7">
      <c r="A74" s="243"/>
      <c r="B74" s="660"/>
      <c r="C74" s="457"/>
      <c r="D74" s="453"/>
      <c r="E74" s="455"/>
      <c r="F74" s="1332"/>
      <c r="G74" s="1170"/>
    </row>
    <row r="75" spans="1:7">
      <c r="A75" s="243"/>
      <c r="B75" s="660"/>
      <c r="C75" s="457"/>
      <c r="D75" s="453"/>
      <c r="E75" s="455"/>
      <c r="F75" s="1332"/>
      <c r="G75" s="1170"/>
    </row>
    <row r="76" spans="1:7">
      <c r="A76" s="371"/>
      <c r="B76" s="453"/>
      <c r="C76" s="457"/>
      <c r="D76" s="453"/>
      <c r="E76" s="455"/>
      <c r="F76" s="1332"/>
      <c r="G76" s="1332"/>
    </row>
    <row r="77" spans="1:7">
      <c r="A77" s="371"/>
      <c r="B77" s="453"/>
      <c r="C77" s="457"/>
      <c r="D77" s="453"/>
      <c r="E77" s="455"/>
      <c r="F77" s="1332"/>
      <c r="G77" s="1332"/>
    </row>
    <row r="78" spans="1:7">
      <c r="A78" s="371"/>
      <c r="B78" s="453"/>
      <c r="C78" s="457"/>
      <c r="D78" s="453"/>
      <c r="E78" s="455"/>
      <c r="F78" s="1332"/>
      <c r="G78" s="1332"/>
    </row>
    <row r="79" spans="1:7">
      <c r="A79" s="371"/>
      <c r="B79" s="453"/>
      <c r="C79" s="457"/>
      <c r="D79" s="453"/>
      <c r="E79" s="455"/>
      <c r="F79" s="1332"/>
      <c r="G79" s="1332"/>
    </row>
    <row r="80" spans="1:7">
      <c r="A80" s="1570" t="s">
        <v>96</v>
      </c>
      <c r="B80" s="1571"/>
      <c r="C80" s="1571"/>
      <c r="D80" s="1571"/>
      <c r="E80" s="1571"/>
      <c r="F80" s="1514"/>
      <c r="G80" s="1514"/>
    </row>
    <row r="81" spans="1:7">
      <c r="A81" s="1572"/>
      <c r="B81" s="1573"/>
      <c r="C81" s="1573"/>
      <c r="D81" s="1573"/>
      <c r="E81" s="1573"/>
      <c r="F81" s="1514"/>
      <c r="G81" s="1514"/>
    </row>
    <row r="82" spans="1:7">
      <c r="A82" s="371"/>
      <c r="B82" s="460"/>
      <c r="C82" s="332" t="s">
        <v>220</v>
      </c>
      <c r="D82" s="369"/>
      <c r="E82" s="370"/>
      <c r="F82" s="1183"/>
      <c r="G82" s="1337"/>
    </row>
    <row r="83" spans="1:7">
      <c r="A83" s="371"/>
      <c r="B83" s="1003"/>
      <c r="C83" s="1010"/>
      <c r="D83" s="1003"/>
      <c r="E83" s="1005"/>
      <c r="F83" s="1333"/>
      <c r="G83" s="1332"/>
    </row>
    <row r="84" spans="1:7">
      <c r="A84" s="1019"/>
      <c r="B84" s="453" t="s">
        <v>2082</v>
      </c>
      <c r="C84" s="454" t="s">
        <v>2093</v>
      </c>
      <c r="D84" s="453"/>
      <c r="E84" s="455"/>
      <c r="F84" s="1332"/>
      <c r="G84" s="1275"/>
    </row>
    <row r="85" spans="1:7">
      <c r="A85" s="243" t="s">
        <v>2094</v>
      </c>
      <c r="B85" s="660"/>
      <c r="C85" s="457" t="s">
        <v>2057</v>
      </c>
      <c r="D85" s="453" t="s">
        <v>2060</v>
      </c>
      <c r="E85" s="455">
        <v>3</v>
      </c>
      <c r="F85" s="1332"/>
      <c r="G85" s="1170"/>
    </row>
    <row r="86" spans="1:7">
      <c r="A86" s="243"/>
      <c r="B86" s="453"/>
      <c r="C86" s="457"/>
      <c r="D86" s="453"/>
      <c r="E86" s="455"/>
      <c r="F86" s="1332"/>
      <c r="G86" s="1332"/>
    </row>
    <row r="87" spans="1:7">
      <c r="A87" s="243"/>
      <c r="B87" s="461" t="s">
        <v>2082</v>
      </c>
      <c r="C87" s="454" t="s">
        <v>2095</v>
      </c>
      <c r="D87" s="461"/>
      <c r="E87" s="462"/>
      <c r="F87" s="1338"/>
      <c r="G87" s="1339"/>
    </row>
    <row r="88" spans="1:7">
      <c r="A88" s="243"/>
      <c r="B88" s="453"/>
      <c r="C88" s="456"/>
      <c r="D88" s="453"/>
      <c r="E88" s="455"/>
      <c r="F88" s="1332"/>
      <c r="G88" s="1170"/>
    </row>
    <row r="89" spans="1:7">
      <c r="A89" s="243" t="s">
        <v>2096</v>
      </c>
      <c r="B89" s="660"/>
      <c r="C89" s="457" t="s">
        <v>2071</v>
      </c>
      <c r="D89" s="453" t="s">
        <v>818</v>
      </c>
      <c r="E89" s="455">
        <v>6</v>
      </c>
      <c r="F89" s="1332"/>
      <c r="G89" s="1332"/>
    </row>
    <row r="90" spans="1:7">
      <c r="A90" s="243"/>
      <c r="B90" s="660"/>
      <c r="C90" s="457"/>
      <c r="D90" s="453"/>
      <c r="E90" s="455"/>
      <c r="F90" s="1332"/>
      <c r="G90" s="1332"/>
    </row>
    <row r="91" spans="1:7">
      <c r="A91" s="243" t="s">
        <v>2097</v>
      </c>
      <c r="B91" s="453"/>
      <c r="C91" s="457" t="s">
        <v>2073</v>
      </c>
      <c r="D91" s="453" t="s">
        <v>818</v>
      </c>
      <c r="E91" s="455">
        <v>18</v>
      </c>
      <c r="F91" s="1332"/>
      <c r="G91" s="1332"/>
    </row>
    <row r="92" spans="1:7">
      <c r="A92" s="243"/>
      <c r="B92" s="453"/>
      <c r="C92" s="457"/>
      <c r="D92" s="453"/>
      <c r="E92" s="455"/>
      <c r="F92" s="1332"/>
      <c r="G92" s="1332"/>
    </row>
    <row r="93" spans="1:7" ht="25.5">
      <c r="A93" s="243"/>
      <c r="B93" s="453" t="s">
        <v>2082</v>
      </c>
      <c r="C93" s="454" t="s">
        <v>2098</v>
      </c>
      <c r="D93" s="453"/>
      <c r="E93" s="455"/>
      <c r="F93" s="1332"/>
      <c r="G93" s="1170"/>
    </row>
    <row r="94" spans="1:7">
      <c r="A94" s="243"/>
      <c r="B94" s="453"/>
      <c r="C94" s="456"/>
      <c r="D94" s="453"/>
      <c r="E94" s="455"/>
      <c r="F94" s="1332"/>
      <c r="G94" s="1170"/>
    </row>
    <row r="95" spans="1:7">
      <c r="A95" s="243" t="s">
        <v>2099</v>
      </c>
      <c r="B95" s="660"/>
      <c r="C95" s="457" t="s">
        <v>2076</v>
      </c>
      <c r="D95" s="453" t="s">
        <v>2060</v>
      </c>
      <c r="E95" s="455">
        <v>4</v>
      </c>
      <c r="F95" s="1332"/>
      <c r="G95" s="1332"/>
    </row>
    <row r="96" spans="1:7">
      <c r="A96" s="243"/>
      <c r="B96" s="660"/>
      <c r="C96" s="457"/>
      <c r="D96" s="453"/>
      <c r="E96" s="455"/>
      <c r="F96" s="1332"/>
      <c r="G96" s="1332"/>
    </row>
    <row r="97" spans="1:7">
      <c r="A97" s="243" t="s">
        <v>2100</v>
      </c>
      <c r="B97" s="453"/>
      <c r="C97" s="457" t="s">
        <v>2078</v>
      </c>
      <c r="D97" s="453" t="s">
        <v>2060</v>
      </c>
      <c r="E97" s="455">
        <v>8</v>
      </c>
      <c r="F97" s="1332"/>
      <c r="G97" s="1332"/>
    </row>
    <row r="98" spans="1:7">
      <c r="A98" s="243"/>
      <c r="B98" s="453"/>
      <c r="C98" s="457"/>
      <c r="D98" s="453"/>
      <c r="E98" s="455"/>
      <c r="F98" s="1332"/>
      <c r="G98" s="1332"/>
    </row>
    <row r="99" spans="1:7">
      <c r="A99" s="243" t="s">
        <v>2101</v>
      </c>
      <c r="B99" s="453"/>
      <c r="C99" s="457" t="s">
        <v>2080</v>
      </c>
      <c r="D99" s="453" t="s">
        <v>2060</v>
      </c>
      <c r="E99" s="455">
        <v>2</v>
      </c>
      <c r="F99" s="1332"/>
      <c r="G99" s="1332"/>
    </row>
    <row r="100" spans="1:7">
      <c r="A100" s="243"/>
      <c r="B100" s="453"/>
      <c r="C100" s="457"/>
      <c r="D100" s="453"/>
      <c r="E100" s="455"/>
      <c r="F100" s="1332"/>
      <c r="G100" s="1332"/>
    </row>
    <row r="101" spans="1:7">
      <c r="A101" s="243"/>
      <c r="B101" s="660"/>
      <c r="C101" s="457"/>
      <c r="D101" s="453"/>
      <c r="E101" s="455"/>
      <c r="F101" s="1332"/>
      <c r="G101" s="1332"/>
    </row>
    <row r="102" spans="1:7" s="1011" customFormat="1">
      <c r="A102" s="239">
        <v>10.3</v>
      </c>
      <c r="B102" s="239" t="s">
        <v>2102</v>
      </c>
      <c r="C102" s="463" t="s">
        <v>2103</v>
      </c>
      <c r="D102" s="464"/>
      <c r="E102" s="465"/>
      <c r="F102" s="1340"/>
      <c r="G102" s="1282"/>
    </row>
    <row r="103" spans="1:7">
      <c r="A103" s="239"/>
      <c r="B103" s="242"/>
      <c r="C103" s="466"/>
      <c r="D103" s="464"/>
      <c r="E103" s="465"/>
      <c r="F103" s="1340"/>
      <c r="G103" s="1282"/>
    </row>
    <row r="104" spans="1:7" ht="50.1" customHeight="1">
      <c r="A104" s="239"/>
      <c r="B104" s="242"/>
      <c r="C104" s="452" t="s">
        <v>2104</v>
      </c>
      <c r="D104" s="452"/>
      <c r="E104" s="452"/>
      <c r="F104" s="1331"/>
      <c r="G104" s="1331"/>
    </row>
    <row r="105" spans="1:7">
      <c r="A105" s="239"/>
      <c r="B105" s="467"/>
      <c r="C105" s="454"/>
      <c r="D105" s="464"/>
      <c r="E105" s="465"/>
      <c r="F105" s="1340"/>
      <c r="G105" s="1282"/>
    </row>
    <row r="106" spans="1:7">
      <c r="A106" s="243" t="s">
        <v>2105</v>
      </c>
      <c r="B106" s="453"/>
      <c r="C106" s="456" t="s">
        <v>2106</v>
      </c>
      <c r="D106" s="461" t="s">
        <v>357</v>
      </c>
      <c r="E106" s="455">
        <v>1</v>
      </c>
      <c r="F106" s="1444">
        <v>950000</v>
      </c>
      <c r="G106" s="1411">
        <v>950000</v>
      </c>
    </row>
    <row r="107" spans="1:7">
      <c r="A107" s="243"/>
      <c r="B107" s="453"/>
      <c r="C107" s="456"/>
      <c r="D107" s="453"/>
      <c r="E107" s="455"/>
      <c r="F107" s="1332"/>
      <c r="G107" s="1170"/>
    </row>
    <row r="108" spans="1:7" s="290" customFormat="1">
      <c r="A108" s="243" t="s">
        <v>2107</v>
      </c>
      <c r="B108" s="453"/>
      <c r="C108" s="456" t="s">
        <v>2108</v>
      </c>
      <c r="D108" s="453" t="s">
        <v>362</v>
      </c>
      <c r="E108" s="1029">
        <f>F106</f>
        <v>950000</v>
      </c>
      <c r="F108" s="1341"/>
      <c r="G108" s="1175"/>
    </row>
    <row r="109" spans="1:7" s="290" customFormat="1">
      <c r="A109" s="243"/>
      <c r="B109" s="453"/>
      <c r="C109" s="456"/>
      <c r="D109" s="453"/>
      <c r="E109" s="455"/>
      <c r="F109" s="1332"/>
      <c r="G109" s="1175"/>
    </row>
    <row r="110" spans="1:7" s="290" customFormat="1">
      <c r="A110" s="243" t="s">
        <v>2109</v>
      </c>
      <c r="B110" s="453"/>
      <c r="C110" s="456" t="s">
        <v>2110</v>
      </c>
      <c r="D110" s="461" t="s">
        <v>357</v>
      </c>
      <c r="E110" s="455">
        <v>1</v>
      </c>
      <c r="F110" s="1445">
        <v>555000</v>
      </c>
      <c r="G110" s="1371">
        <v>555000</v>
      </c>
    </row>
    <row r="111" spans="1:7" s="290" customFormat="1">
      <c r="A111" s="243"/>
      <c r="B111" s="453"/>
      <c r="C111" s="456"/>
      <c r="D111" s="453"/>
      <c r="E111" s="455"/>
      <c r="F111" s="1332"/>
      <c r="G111" s="1175"/>
    </row>
    <row r="112" spans="1:7" s="290" customFormat="1">
      <c r="A112" s="243" t="s">
        <v>2111</v>
      </c>
      <c r="B112" s="453"/>
      <c r="C112" s="456" t="s">
        <v>2112</v>
      </c>
      <c r="D112" s="453" t="s">
        <v>362</v>
      </c>
      <c r="E112" s="1029">
        <f>F110</f>
        <v>555000</v>
      </c>
      <c r="F112" s="1341"/>
      <c r="G112" s="1175"/>
    </row>
    <row r="113" spans="1:7" s="290" customFormat="1">
      <c r="A113" s="371"/>
      <c r="B113" s="1012"/>
      <c r="C113" s="458"/>
      <c r="D113" s="438"/>
      <c r="E113" s="368"/>
      <c r="F113" s="1170"/>
      <c r="G113" s="1336"/>
    </row>
    <row r="114" spans="1:7">
      <c r="A114" s="373">
        <v>10.4</v>
      </c>
      <c r="B114" s="1012"/>
      <c r="C114" s="463" t="s">
        <v>2113</v>
      </c>
      <c r="D114" s="438"/>
      <c r="E114" s="368"/>
      <c r="F114" s="1170"/>
      <c r="G114" s="1336"/>
    </row>
    <row r="115" spans="1:7">
      <c r="A115" s="371"/>
      <c r="B115" s="1012"/>
      <c r="C115" s="458"/>
      <c r="D115" s="438"/>
      <c r="E115" s="368"/>
      <c r="F115" s="1170"/>
      <c r="G115" s="1336"/>
    </row>
    <row r="116" spans="1:7" ht="38.25">
      <c r="A116" s="371"/>
      <c r="B116" s="1012"/>
      <c r="C116" s="452" t="s">
        <v>2104</v>
      </c>
      <c r="D116" s="547"/>
      <c r="E116" s="452"/>
      <c r="F116" s="1331"/>
      <c r="G116" s="1331"/>
    </row>
    <row r="117" spans="1:7">
      <c r="A117" s="371"/>
      <c r="B117" s="1012"/>
      <c r="C117" s="456"/>
      <c r="D117" s="453"/>
      <c r="E117" s="455"/>
      <c r="F117" s="1332"/>
      <c r="G117" s="1170"/>
    </row>
    <row r="118" spans="1:7">
      <c r="A118" s="371" t="s">
        <v>2114</v>
      </c>
      <c r="B118" s="1012" t="s">
        <v>2115</v>
      </c>
      <c r="C118" s="456" t="s">
        <v>2116</v>
      </c>
      <c r="D118" s="453" t="s">
        <v>70</v>
      </c>
      <c r="E118" s="455">
        <v>1</v>
      </c>
      <c r="F118" s="1164"/>
      <c r="G118" s="1170"/>
    </row>
    <row r="119" spans="1:7">
      <c r="A119" s="371"/>
      <c r="B119" s="1012"/>
      <c r="C119" s="456"/>
      <c r="D119" s="453"/>
      <c r="E119" s="455"/>
      <c r="F119" s="1332"/>
      <c r="G119" s="1170"/>
    </row>
    <row r="120" spans="1:7">
      <c r="A120" s="371" t="s">
        <v>2117</v>
      </c>
      <c r="B120" s="1012" t="s">
        <v>2118</v>
      </c>
      <c r="C120" s="456" t="s">
        <v>2119</v>
      </c>
      <c r="D120" s="453" t="s">
        <v>335</v>
      </c>
      <c r="E120" s="455">
        <v>1</v>
      </c>
      <c r="F120" s="1332"/>
      <c r="G120" s="1170"/>
    </row>
    <row r="121" spans="1:7">
      <c r="A121" s="371"/>
      <c r="B121" s="1012"/>
      <c r="C121" s="456"/>
      <c r="D121" s="453"/>
      <c r="E121" s="455"/>
      <c r="F121" s="1332"/>
      <c r="G121" s="1170"/>
    </row>
    <row r="122" spans="1:7">
      <c r="A122" s="371" t="s">
        <v>2120</v>
      </c>
      <c r="B122" s="1012" t="s">
        <v>2118</v>
      </c>
      <c r="C122" s="456" t="s">
        <v>2121</v>
      </c>
      <c r="D122" s="453" t="s">
        <v>335</v>
      </c>
      <c r="E122" s="455">
        <v>1</v>
      </c>
      <c r="F122" s="1332"/>
      <c r="G122" s="1170"/>
    </row>
    <row r="123" spans="1:7">
      <c r="A123" s="371"/>
      <c r="B123" s="1012"/>
      <c r="C123" s="456"/>
      <c r="D123" s="453"/>
      <c r="E123" s="455"/>
      <c r="F123" s="1332"/>
      <c r="G123" s="1170"/>
    </row>
    <row r="124" spans="1:7">
      <c r="A124" s="371" t="s">
        <v>2122</v>
      </c>
      <c r="B124" s="1012"/>
      <c r="C124" s="456" t="s">
        <v>2123</v>
      </c>
      <c r="D124" s="453" t="s">
        <v>335</v>
      </c>
      <c r="E124" s="455">
        <v>1</v>
      </c>
      <c r="F124" s="1332"/>
      <c r="G124" s="1170"/>
    </row>
    <row r="125" spans="1:7">
      <c r="A125" s="371"/>
      <c r="B125" s="1012"/>
      <c r="C125" s="456"/>
      <c r="D125" s="453"/>
      <c r="E125" s="455"/>
      <c r="F125" s="1332"/>
      <c r="G125" s="1170"/>
    </row>
    <row r="126" spans="1:7">
      <c r="A126" s="371" t="s">
        <v>2124</v>
      </c>
      <c r="B126" s="1012" t="s">
        <v>2125</v>
      </c>
      <c r="C126" s="456" t="s">
        <v>2126</v>
      </c>
      <c r="D126" s="453" t="s">
        <v>335</v>
      </c>
      <c r="E126" s="455">
        <v>1</v>
      </c>
      <c r="F126" s="1332"/>
      <c r="G126" s="1170"/>
    </row>
    <row r="127" spans="1:7">
      <c r="A127" s="371"/>
      <c r="B127" s="1012"/>
      <c r="C127" s="456"/>
      <c r="D127" s="453"/>
      <c r="E127" s="455"/>
      <c r="F127" s="1164"/>
      <c r="G127" s="1170"/>
    </row>
    <row r="128" spans="1:7">
      <c r="A128" s="371" t="s">
        <v>2127</v>
      </c>
      <c r="B128" s="1012" t="s">
        <v>2128</v>
      </c>
      <c r="C128" s="456" t="s">
        <v>2129</v>
      </c>
      <c r="D128" s="453" t="s">
        <v>335</v>
      </c>
      <c r="E128" s="455">
        <v>1</v>
      </c>
      <c r="F128" s="1332"/>
      <c r="G128" s="1170"/>
    </row>
    <row r="129" spans="1:7">
      <c r="A129" s="243"/>
      <c r="B129" s="453"/>
      <c r="C129" s="457"/>
      <c r="D129" s="453"/>
      <c r="E129" s="455"/>
      <c r="F129" s="1332"/>
      <c r="G129" s="1332"/>
    </row>
    <row r="130" spans="1:7" ht="51">
      <c r="A130" s="373">
        <v>10.5</v>
      </c>
      <c r="B130" s="1012"/>
      <c r="C130" s="1013" t="s">
        <v>2130</v>
      </c>
      <c r="D130" s="453"/>
      <c r="E130" s="455"/>
      <c r="F130" s="1164"/>
      <c r="G130" s="1170"/>
    </row>
    <row r="131" spans="1:7">
      <c r="A131" s="371"/>
      <c r="B131" s="1012"/>
      <c r="C131" s="456"/>
      <c r="D131" s="453"/>
      <c r="E131" s="455"/>
      <c r="F131" s="1164"/>
      <c r="G131" s="1170"/>
    </row>
    <row r="132" spans="1:7">
      <c r="A132" s="371" t="s">
        <v>2131</v>
      </c>
      <c r="B132" s="1012" t="s">
        <v>2115</v>
      </c>
      <c r="C132" s="456" t="s">
        <v>2132</v>
      </c>
      <c r="D132" s="453" t="s">
        <v>70</v>
      </c>
      <c r="E132" s="455">
        <v>1</v>
      </c>
      <c r="F132" s="1332"/>
      <c r="G132" s="1170"/>
    </row>
    <row r="133" spans="1:7">
      <c r="A133" s="371"/>
      <c r="B133" s="1012"/>
      <c r="C133" s="456"/>
      <c r="D133" s="453"/>
      <c r="E133" s="455"/>
      <c r="F133" s="1332"/>
      <c r="G133" s="1170"/>
    </row>
    <row r="134" spans="1:7">
      <c r="A134" s="371" t="s">
        <v>2133</v>
      </c>
      <c r="B134" s="1012" t="s">
        <v>2118</v>
      </c>
      <c r="C134" s="456" t="s">
        <v>2119</v>
      </c>
      <c r="D134" s="453" t="s">
        <v>335</v>
      </c>
      <c r="E134" s="455">
        <v>1</v>
      </c>
      <c r="F134" s="1332"/>
      <c r="G134" s="1170"/>
    </row>
    <row r="135" spans="1:7">
      <c r="A135" s="371"/>
      <c r="B135" s="1012"/>
      <c r="C135" s="456"/>
      <c r="D135" s="453"/>
      <c r="E135" s="455"/>
      <c r="F135" s="1332"/>
      <c r="G135" s="1170"/>
    </row>
    <row r="136" spans="1:7">
      <c r="A136" s="371" t="s">
        <v>2134</v>
      </c>
      <c r="B136" s="1012" t="s">
        <v>2118</v>
      </c>
      <c r="C136" s="456" t="s">
        <v>2121</v>
      </c>
      <c r="D136" s="453" t="s">
        <v>335</v>
      </c>
      <c r="E136" s="455">
        <v>1</v>
      </c>
      <c r="F136" s="1164"/>
      <c r="G136" s="1170"/>
    </row>
    <row r="137" spans="1:7">
      <c r="A137" s="371"/>
      <c r="B137" s="1012"/>
      <c r="C137" s="456"/>
      <c r="D137" s="453"/>
      <c r="E137" s="455"/>
      <c r="F137" s="1164"/>
      <c r="G137" s="1170"/>
    </row>
    <row r="138" spans="1:7">
      <c r="A138" s="371" t="s">
        <v>2135</v>
      </c>
      <c r="B138" s="1012"/>
      <c r="C138" s="456" t="s">
        <v>2123</v>
      </c>
      <c r="D138" s="453" t="s">
        <v>335</v>
      </c>
      <c r="E138" s="455">
        <v>1</v>
      </c>
      <c r="F138" s="1164"/>
      <c r="G138" s="1170"/>
    </row>
    <row r="139" spans="1:7">
      <c r="A139" s="371"/>
      <c r="B139" s="1012"/>
      <c r="C139" s="456"/>
      <c r="D139" s="453"/>
      <c r="E139" s="455"/>
      <c r="F139" s="1164"/>
      <c r="G139" s="1170"/>
    </row>
    <row r="140" spans="1:7">
      <c r="A140" s="371" t="s">
        <v>2136</v>
      </c>
      <c r="B140" s="1012" t="s">
        <v>2125</v>
      </c>
      <c r="C140" s="456" t="s">
        <v>2137</v>
      </c>
      <c r="D140" s="453" t="s">
        <v>335</v>
      </c>
      <c r="E140" s="455">
        <v>1</v>
      </c>
      <c r="F140" s="1164"/>
      <c r="G140" s="1170"/>
    </row>
    <row r="141" spans="1:7">
      <c r="A141" s="371"/>
      <c r="B141" s="1012"/>
      <c r="C141" s="456"/>
      <c r="D141" s="453"/>
      <c r="E141" s="455"/>
      <c r="F141" s="1164"/>
      <c r="G141" s="1170"/>
    </row>
    <row r="142" spans="1:7">
      <c r="A142" s="371" t="s">
        <v>2138</v>
      </c>
      <c r="B142" s="1012" t="s">
        <v>2128</v>
      </c>
      <c r="C142" s="456" t="s">
        <v>2129</v>
      </c>
      <c r="D142" s="453" t="s">
        <v>335</v>
      </c>
      <c r="E142" s="455">
        <v>1</v>
      </c>
      <c r="F142" s="1164"/>
      <c r="G142" s="1170"/>
    </row>
    <row r="143" spans="1:7">
      <c r="A143" s="371"/>
      <c r="B143" s="1003"/>
      <c r="C143" s="1010"/>
      <c r="D143" s="1003"/>
      <c r="E143" s="1005"/>
      <c r="F143" s="1333"/>
      <c r="G143" s="1332"/>
    </row>
    <row r="144" spans="1:7">
      <c r="A144" s="371"/>
      <c r="B144" s="1003"/>
      <c r="C144" s="1010"/>
      <c r="D144" s="1003"/>
      <c r="E144" s="1005"/>
      <c r="F144" s="1333"/>
      <c r="G144" s="1332"/>
    </row>
    <row r="145" spans="1:7">
      <c r="A145" s="371"/>
      <c r="B145" s="1003"/>
      <c r="C145" s="1010"/>
      <c r="D145" s="1003"/>
      <c r="E145" s="1005"/>
      <c r="F145" s="1333"/>
      <c r="G145" s="1332"/>
    </row>
    <row r="146" spans="1:7">
      <c r="A146" s="371"/>
      <c r="B146" s="1003"/>
      <c r="C146" s="1010"/>
      <c r="D146" s="1003"/>
      <c r="E146" s="1005"/>
      <c r="F146" s="1333"/>
      <c r="G146" s="1332"/>
    </row>
    <row r="147" spans="1:7">
      <c r="A147" s="371"/>
      <c r="B147" s="1003"/>
      <c r="C147" s="1010"/>
      <c r="D147" s="1003"/>
      <c r="E147" s="1005"/>
      <c r="F147" s="1333"/>
      <c r="G147" s="1332"/>
    </row>
    <row r="148" spans="1:7">
      <c r="A148" s="371"/>
      <c r="B148" s="1003"/>
      <c r="C148" s="1010"/>
      <c r="D148" s="1003"/>
      <c r="E148" s="1005"/>
      <c r="F148" s="1333"/>
      <c r="G148" s="1332"/>
    </row>
    <row r="149" spans="1:7">
      <c r="A149" s="371"/>
      <c r="B149" s="1003"/>
      <c r="C149" s="1010"/>
      <c r="D149" s="1003"/>
      <c r="E149" s="1005"/>
      <c r="F149" s="1333"/>
      <c r="G149" s="1332"/>
    </row>
    <row r="150" spans="1:7">
      <c r="A150" s="371"/>
      <c r="B150" s="1003"/>
      <c r="C150" s="1010"/>
      <c r="D150" s="1003"/>
      <c r="E150" s="1005"/>
      <c r="F150" s="1333"/>
      <c r="G150" s="1332"/>
    </row>
    <row r="151" spans="1:7">
      <c r="A151" s="371"/>
      <c r="B151" s="1012"/>
      <c r="C151" s="456"/>
      <c r="D151" s="453"/>
      <c r="E151" s="455"/>
      <c r="F151" s="1332"/>
      <c r="G151" s="1170"/>
    </row>
    <row r="152" spans="1:7">
      <c r="A152" s="371"/>
      <c r="B152" s="1003"/>
      <c r="C152" s="1010"/>
      <c r="D152" s="1003"/>
      <c r="E152" s="1005"/>
      <c r="F152" s="1333"/>
      <c r="G152" s="1332"/>
    </row>
    <row r="153" spans="1:7">
      <c r="A153" s="371"/>
      <c r="B153" s="1003"/>
      <c r="C153" s="1010"/>
      <c r="D153" s="1003"/>
      <c r="E153" s="1005"/>
      <c r="F153" s="1333"/>
      <c r="G153" s="1332"/>
    </row>
    <row r="154" spans="1:7">
      <c r="A154" s="371"/>
      <c r="B154" s="1003"/>
      <c r="C154" s="1010"/>
      <c r="D154" s="1003"/>
      <c r="E154" s="1005"/>
      <c r="F154" s="1333"/>
      <c r="G154" s="1332"/>
    </row>
    <row r="155" spans="1:7">
      <c r="A155" s="1570" t="s">
        <v>96</v>
      </c>
      <c r="B155" s="1571"/>
      <c r="C155" s="1571"/>
      <c r="D155" s="1571"/>
      <c r="E155" s="1571"/>
      <c r="F155" s="1514"/>
      <c r="G155" s="1514"/>
    </row>
    <row r="156" spans="1:7">
      <c r="A156" s="1572"/>
      <c r="B156" s="1573"/>
      <c r="C156" s="1573"/>
      <c r="D156" s="1573"/>
      <c r="E156" s="1573"/>
      <c r="F156" s="1514"/>
      <c r="G156" s="1514"/>
    </row>
    <row r="157" spans="1:7">
      <c r="A157" s="371"/>
      <c r="B157" s="460"/>
      <c r="C157" s="332" t="s">
        <v>220</v>
      </c>
      <c r="D157" s="369"/>
      <c r="E157" s="370"/>
      <c r="F157" s="1183"/>
      <c r="G157" s="1337"/>
    </row>
    <row r="158" spans="1:7">
      <c r="A158" s="371"/>
      <c r="B158" s="1003"/>
      <c r="C158" s="1010"/>
      <c r="D158" s="1003"/>
      <c r="E158" s="1005"/>
      <c r="F158" s="1333"/>
      <c r="G158" s="1332"/>
    </row>
    <row r="159" spans="1:7" ht="63.75">
      <c r="A159" s="373">
        <v>10.6</v>
      </c>
      <c r="B159" s="1012"/>
      <c r="C159" s="452" t="s">
        <v>2081</v>
      </c>
      <c r="D159" s="547"/>
      <c r="E159" s="452"/>
      <c r="F159" s="1331"/>
      <c r="G159" s="1331"/>
    </row>
    <row r="160" spans="1:7">
      <c r="A160" s="371"/>
      <c r="B160" s="1012"/>
      <c r="C160" s="452"/>
      <c r="D160" s="547"/>
      <c r="E160" s="452"/>
      <c r="F160" s="1331"/>
      <c r="G160" s="1331"/>
    </row>
    <row r="161" spans="1:7">
      <c r="A161" s="371"/>
      <c r="B161" s="1012"/>
      <c r="C161" s="456"/>
      <c r="D161" s="453"/>
      <c r="E161" s="455"/>
      <c r="F161" s="1332"/>
      <c r="G161" s="1170"/>
    </row>
    <row r="162" spans="1:7">
      <c r="A162" s="371" t="s">
        <v>2139</v>
      </c>
      <c r="B162" s="1012" t="s">
        <v>2118</v>
      </c>
      <c r="C162" s="456" t="s">
        <v>2119</v>
      </c>
      <c r="D162" s="453" t="s">
        <v>335</v>
      </c>
      <c r="E162" s="455">
        <v>1</v>
      </c>
      <c r="F162" s="1332"/>
      <c r="G162" s="1170"/>
    </row>
    <row r="163" spans="1:7">
      <c r="A163" s="371"/>
      <c r="B163" s="1012"/>
      <c r="C163" s="456"/>
      <c r="D163" s="453"/>
      <c r="E163" s="455"/>
      <c r="F163" s="1332"/>
      <c r="G163" s="1170"/>
    </row>
    <row r="164" spans="1:7">
      <c r="A164" s="371" t="s">
        <v>2140</v>
      </c>
      <c r="B164" s="1012" t="s">
        <v>2118</v>
      </c>
      <c r="C164" s="456" t="s">
        <v>2121</v>
      </c>
      <c r="D164" s="453" t="s">
        <v>335</v>
      </c>
      <c r="E164" s="455">
        <v>1</v>
      </c>
      <c r="F164" s="1164"/>
      <c r="G164" s="1170"/>
    </row>
    <row r="165" spans="1:7">
      <c r="A165" s="371"/>
      <c r="B165" s="1012"/>
      <c r="C165" s="456"/>
      <c r="D165" s="453"/>
      <c r="E165" s="455"/>
      <c r="F165" s="1164"/>
      <c r="G165" s="1170"/>
    </row>
    <row r="166" spans="1:7">
      <c r="A166" s="371" t="s">
        <v>2141</v>
      </c>
      <c r="B166" s="1012"/>
      <c r="C166" s="456" t="s">
        <v>2123</v>
      </c>
      <c r="D166" s="453" t="s">
        <v>335</v>
      </c>
      <c r="E166" s="455">
        <v>1</v>
      </c>
      <c r="F166" s="1164"/>
      <c r="G166" s="1170"/>
    </row>
    <row r="167" spans="1:7">
      <c r="A167" s="371"/>
      <c r="B167" s="1012"/>
      <c r="C167" s="456"/>
      <c r="D167" s="453"/>
      <c r="E167" s="455"/>
      <c r="F167" s="1164"/>
      <c r="G167" s="1170"/>
    </row>
    <row r="168" spans="1:7">
      <c r="A168" s="371" t="s">
        <v>2142</v>
      </c>
      <c r="B168" s="1012" t="s">
        <v>2125</v>
      </c>
      <c r="C168" s="456" t="s">
        <v>2137</v>
      </c>
      <c r="D168" s="453" t="s">
        <v>335</v>
      </c>
      <c r="E168" s="455">
        <v>1</v>
      </c>
      <c r="F168" s="1164"/>
      <c r="G168" s="1170"/>
    </row>
    <row r="169" spans="1:7">
      <c r="A169" s="371"/>
      <c r="B169" s="1012"/>
      <c r="C169" s="456"/>
      <c r="D169" s="453"/>
      <c r="E169" s="455"/>
      <c r="F169" s="1164"/>
      <c r="G169" s="1170"/>
    </row>
    <row r="170" spans="1:7">
      <c r="A170" s="371" t="s">
        <v>2143</v>
      </c>
      <c r="B170" s="1012" t="s">
        <v>2128</v>
      </c>
      <c r="C170" s="456" t="s">
        <v>2129</v>
      </c>
      <c r="D170" s="453" t="s">
        <v>335</v>
      </c>
      <c r="E170" s="455">
        <v>1</v>
      </c>
      <c r="F170" s="1164"/>
      <c r="G170" s="1170"/>
    </row>
    <row r="171" spans="1:7" ht="25.5">
      <c r="A171" s="239"/>
      <c r="B171" s="242"/>
      <c r="C171" s="463" t="s">
        <v>2144</v>
      </c>
      <c r="D171" s="464"/>
      <c r="E171" s="465"/>
      <c r="F171" s="1340"/>
      <c r="G171" s="1282"/>
    </row>
    <row r="172" spans="1:7">
      <c r="A172" s="239"/>
      <c r="B172" s="467"/>
      <c r="C172" s="454"/>
      <c r="D172" s="464"/>
      <c r="E172" s="455"/>
      <c r="F172" s="1340"/>
      <c r="G172" s="1282"/>
    </row>
    <row r="173" spans="1:7" ht="57" customHeight="1">
      <c r="A173" s="239">
        <v>10.7</v>
      </c>
      <c r="B173" s="242"/>
      <c r="C173" s="242" t="s">
        <v>2145</v>
      </c>
      <c r="D173" s="468"/>
      <c r="E173" s="468"/>
      <c r="F173" s="1174"/>
      <c r="G173" s="1174"/>
    </row>
    <row r="174" spans="1:7">
      <c r="A174" s="239"/>
      <c r="B174" s="467"/>
      <c r="C174" s="454"/>
      <c r="D174" s="464"/>
      <c r="E174" s="455"/>
      <c r="F174" s="1340"/>
      <c r="G174" s="1282"/>
    </row>
    <row r="175" spans="1:7" ht="25.5">
      <c r="A175" s="243" t="s">
        <v>2146</v>
      </c>
      <c r="B175" s="453" t="s">
        <v>2147</v>
      </c>
      <c r="C175" s="476" t="s">
        <v>2148</v>
      </c>
      <c r="D175" s="453" t="s">
        <v>335</v>
      </c>
      <c r="E175" s="455">
        <v>1</v>
      </c>
      <c r="F175" s="1340"/>
      <c r="G175" s="1170"/>
    </row>
    <row r="176" spans="1:7">
      <c r="A176" s="239"/>
      <c r="B176" s="453"/>
      <c r="C176" s="456"/>
      <c r="D176" s="453"/>
      <c r="E176" s="455"/>
      <c r="F176" s="1340"/>
      <c r="G176" s="1170"/>
    </row>
    <row r="177" spans="1:7">
      <c r="A177" s="243" t="s">
        <v>2149</v>
      </c>
      <c r="B177" s="453" t="s">
        <v>2150</v>
      </c>
      <c r="C177" s="456" t="s">
        <v>2151</v>
      </c>
      <c r="D177" s="453" t="s">
        <v>70</v>
      </c>
      <c r="E177" s="455">
        <v>3</v>
      </c>
      <c r="F177" s="1340"/>
      <c r="G177" s="1170"/>
    </row>
    <row r="178" spans="1:7" ht="15" customHeight="1">
      <c r="A178" s="239"/>
      <c r="B178" s="453"/>
      <c r="C178" s="456"/>
      <c r="D178" s="453"/>
      <c r="E178" s="455"/>
      <c r="F178" s="1340"/>
      <c r="G178" s="1170"/>
    </row>
    <row r="179" spans="1:7">
      <c r="A179" s="243" t="s">
        <v>2152</v>
      </c>
      <c r="B179" s="453" t="s">
        <v>2150</v>
      </c>
      <c r="C179" s="456" t="s">
        <v>2153</v>
      </c>
      <c r="D179" s="453" t="s">
        <v>70</v>
      </c>
      <c r="E179" s="455">
        <v>3</v>
      </c>
      <c r="F179" s="1340"/>
      <c r="G179" s="1170"/>
    </row>
    <row r="180" spans="1:7">
      <c r="A180" s="239"/>
      <c r="B180" s="453"/>
      <c r="C180" s="456"/>
      <c r="D180" s="453"/>
      <c r="E180" s="455"/>
      <c r="F180" s="1340"/>
      <c r="G180" s="1170"/>
    </row>
    <row r="181" spans="1:7">
      <c r="A181" s="243" t="s">
        <v>2154</v>
      </c>
      <c r="B181" s="453" t="s">
        <v>2150</v>
      </c>
      <c r="C181" s="456" t="s">
        <v>2155</v>
      </c>
      <c r="D181" s="453" t="s">
        <v>70</v>
      </c>
      <c r="E181" s="455">
        <v>4</v>
      </c>
      <c r="F181" s="1340"/>
      <c r="G181" s="1170"/>
    </row>
    <row r="182" spans="1:7">
      <c r="A182" s="239"/>
      <c r="B182" s="453"/>
      <c r="C182" s="456"/>
      <c r="D182" s="453"/>
      <c r="E182" s="455"/>
      <c r="F182" s="1340"/>
      <c r="G182" s="1170"/>
    </row>
    <row r="183" spans="1:7">
      <c r="A183" s="243" t="s">
        <v>2156</v>
      </c>
      <c r="B183" s="453" t="s">
        <v>2157</v>
      </c>
      <c r="C183" s="456" t="s">
        <v>2158</v>
      </c>
      <c r="D183" s="453" t="s">
        <v>70</v>
      </c>
      <c r="E183" s="455">
        <v>8</v>
      </c>
      <c r="F183" s="1340"/>
      <c r="G183" s="1170"/>
    </row>
    <row r="184" spans="1:7">
      <c r="A184" s="239"/>
      <c r="B184" s="453"/>
      <c r="C184" s="456"/>
      <c r="D184" s="453"/>
      <c r="E184" s="455"/>
      <c r="F184" s="1340"/>
      <c r="G184" s="1170"/>
    </row>
    <row r="185" spans="1:7" ht="24" customHeight="1">
      <c r="A185" s="243" t="s">
        <v>2159</v>
      </c>
      <c r="B185" s="453" t="s">
        <v>2160</v>
      </c>
      <c r="C185" s="456" t="s">
        <v>2161</v>
      </c>
      <c r="D185" s="453" t="s">
        <v>70</v>
      </c>
      <c r="E185" s="455">
        <v>4</v>
      </c>
      <c r="F185" s="1340"/>
      <c r="G185" s="1170"/>
    </row>
    <row r="186" spans="1:7">
      <c r="A186" s="239"/>
      <c r="B186" s="453"/>
      <c r="C186" s="456"/>
      <c r="D186" s="453"/>
      <c r="E186" s="455"/>
      <c r="F186" s="1340"/>
      <c r="G186" s="1170"/>
    </row>
    <row r="187" spans="1:7">
      <c r="A187" s="243" t="s">
        <v>2162</v>
      </c>
      <c r="B187" s="453" t="s">
        <v>2163</v>
      </c>
      <c r="C187" s="456" t="s">
        <v>2164</v>
      </c>
      <c r="D187" s="453" t="s">
        <v>70</v>
      </c>
      <c r="E187" s="455">
        <v>6</v>
      </c>
      <c r="F187" s="1340"/>
      <c r="G187" s="1170"/>
    </row>
    <row r="188" spans="1:7" ht="17.45" customHeight="1">
      <c r="A188" s="239"/>
      <c r="B188" s="453"/>
      <c r="C188" s="456"/>
      <c r="D188" s="453"/>
      <c r="E188" s="455"/>
      <c r="F188" s="1340"/>
      <c r="G188" s="1170"/>
    </row>
    <row r="189" spans="1:7" ht="25.5">
      <c r="A189" s="243" t="s">
        <v>2165</v>
      </c>
      <c r="B189" s="453" t="s">
        <v>2163</v>
      </c>
      <c r="C189" s="476" t="s">
        <v>2166</v>
      </c>
      <c r="D189" s="453" t="s">
        <v>335</v>
      </c>
      <c r="E189" s="455">
        <v>1</v>
      </c>
      <c r="F189" s="1340"/>
      <c r="G189" s="1170"/>
    </row>
    <row r="190" spans="1:7">
      <c r="A190" s="239"/>
      <c r="B190" s="460"/>
      <c r="C190" s="428"/>
      <c r="D190" s="366"/>
      <c r="E190" s="368"/>
      <c r="F190" s="1340"/>
      <c r="G190" s="1170"/>
    </row>
    <row r="191" spans="1:7">
      <c r="A191" s="243" t="s">
        <v>2167</v>
      </c>
      <c r="B191" s="453" t="s">
        <v>2150</v>
      </c>
      <c r="C191" s="456" t="s">
        <v>2151</v>
      </c>
      <c r="D191" s="453" t="s">
        <v>70</v>
      </c>
      <c r="E191" s="455">
        <v>1</v>
      </c>
      <c r="F191" s="1340"/>
      <c r="G191" s="1170"/>
    </row>
    <row r="192" spans="1:7" ht="12" customHeight="1">
      <c r="A192" s="239"/>
      <c r="B192" s="453"/>
      <c r="C192" s="456"/>
      <c r="D192" s="453"/>
      <c r="E192" s="455"/>
      <c r="F192" s="1164"/>
      <c r="G192" s="1170"/>
    </row>
    <row r="193" spans="1:7">
      <c r="A193" s="243" t="s">
        <v>2168</v>
      </c>
      <c r="B193" s="453" t="s">
        <v>2169</v>
      </c>
      <c r="C193" s="456" t="s">
        <v>2158</v>
      </c>
      <c r="D193" s="453" t="s">
        <v>70</v>
      </c>
      <c r="E193" s="455">
        <v>4</v>
      </c>
      <c r="F193" s="1340"/>
      <c r="G193" s="1170"/>
    </row>
    <row r="194" spans="1:7">
      <c r="A194" s="239"/>
      <c r="B194" s="467"/>
      <c r="C194" s="454"/>
      <c r="D194" s="464"/>
      <c r="E194" s="455"/>
      <c r="F194" s="1340"/>
      <c r="G194" s="1170"/>
    </row>
    <row r="195" spans="1:7" ht="25.5">
      <c r="A195" s="243" t="s">
        <v>2170</v>
      </c>
      <c r="B195" s="453" t="s">
        <v>2163</v>
      </c>
      <c r="C195" s="476" t="s">
        <v>2171</v>
      </c>
      <c r="D195" s="453" t="s">
        <v>335</v>
      </c>
      <c r="E195" s="455">
        <v>1</v>
      </c>
      <c r="F195" s="1340"/>
      <c r="G195" s="1170"/>
    </row>
    <row r="196" spans="1:7">
      <c r="A196" s="239"/>
      <c r="B196" s="453"/>
      <c r="C196" s="456"/>
      <c r="D196" s="453"/>
      <c r="E196" s="455"/>
      <c r="F196" s="1340"/>
      <c r="G196" s="1170"/>
    </row>
    <row r="197" spans="1:7">
      <c r="A197" s="243" t="s">
        <v>2172</v>
      </c>
      <c r="B197" s="453" t="s">
        <v>2150</v>
      </c>
      <c r="C197" s="456" t="s">
        <v>2151</v>
      </c>
      <c r="D197" s="453" t="s">
        <v>70</v>
      </c>
      <c r="E197" s="455">
        <v>1</v>
      </c>
      <c r="F197" s="1340"/>
      <c r="G197" s="1170"/>
    </row>
    <row r="198" spans="1:7">
      <c r="A198" s="239"/>
      <c r="B198" s="453"/>
      <c r="C198" s="456"/>
      <c r="D198" s="453"/>
      <c r="E198" s="455"/>
      <c r="F198" s="1340"/>
      <c r="G198" s="1170"/>
    </row>
    <row r="199" spans="1:7">
      <c r="A199" s="243" t="s">
        <v>2173</v>
      </c>
      <c r="B199" s="453" t="s">
        <v>2150</v>
      </c>
      <c r="C199" s="456" t="s">
        <v>2153</v>
      </c>
      <c r="D199" s="453" t="s">
        <v>70</v>
      </c>
      <c r="E199" s="455">
        <v>1</v>
      </c>
      <c r="F199" s="1340"/>
      <c r="G199" s="1170"/>
    </row>
    <row r="200" spans="1:7">
      <c r="A200" s="239"/>
      <c r="B200" s="453"/>
      <c r="C200" s="456"/>
      <c r="D200" s="453"/>
      <c r="E200" s="455"/>
      <c r="F200" s="1340"/>
      <c r="G200" s="1170"/>
    </row>
    <row r="201" spans="1:7">
      <c r="A201" s="243" t="s">
        <v>2174</v>
      </c>
      <c r="B201" s="453" t="s">
        <v>2169</v>
      </c>
      <c r="C201" s="456" t="s">
        <v>2158</v>
      </c>
      <c r="D201" s="453" t="s">
        <v>70</v>
      </c>
      <c r="E201" s="455">
        <v>4</v>
      </c>
      <c r="F201" s="1340"/>
      <c r="G201" s="1170"/>
    </row>
    <row r="202" spans="1:7" s="674" customFormat="1">
      <c r="A202" s="243"/>
      <c r="B202" s="453"/>
      <c r="C202" s="456"/>
      <c r="D202" s="453"/>
      <c r="E202" s="455"/>
      <c r="F202" s="1340"/>
      <c r="G202" s="1170"/>
    </row>
    <row r="203" spans="1:7">
      <c r="A203" s="243"/>
      <c r="B203" s="453" t="s">
        <v>2169</v>
      </c>
      <c r="C203" s="454" t="s">
        <v>2175</v>
      </c>
      <c r="D203" s="453"/>
      <c r="E203" s="455"/>
      <c r="F203" s="1340"/>
      <c r="G203" s="1170"/>
    </row>
    <row r="204" spans="1:7">
      <c r="A204" s="243"/>
      <c r="B204" s="453"/>
      <c r="C204" s="456"/>
      <c r="D204" s="453"/>
      <c r="E204" s="455"/>
      <c r="F204" s="1340"/>
      <c r="G204" s="1170"/>
    </row>
    <row r="205" spans="1:7" ht="25.5">
      <c r="A205" s="243" t="s">
        <v>2176</v>
      </c>
      <c r="B205" s="453" t="s">
        <v>2177</v>
      </c>
      <c r="C205" s="476" t="s">
        <v>2178</v>
      </c>
      <c r="D205" s="453" t="s">
        <v>70</v>
      </c>
      <c r="E205" s="455">
        <v>2</v>
      </c>
      <c r="F205" s="1340"/>
      <c r="G205" s="1170"/>
    </row>
    <row r="206" spans="1:7">
      <c r="A206" s="243"/>
      <c r="B206" s="453"/>
      <c r="C206" s="456"/>
      <c r="D206" s="453"/>
      <c r="E206" s="455"/>
      <c r="F206" s="1340"/>
      <c r="G206" s="1170"/>
    </row>
    <row r="207" spans="1:7" ht="51">
      <c r="A207" s="239">
        <v>10.8</v>
      </c>
      <c r="B207" s="242"/>
      <c r="C207" s="1013" t="s">
        <v>2130</v>
      </c>
      <c r="D207" s="453"/>
      <c r="E207" s="455"/>
      <c r="F207" s="1340"/>
      <c r="G207" s="1170"/>
    </row>
    <row r="208" spans="1:7">
      <c r="A208" s="243"/>
      <c r="B208" s="453"/>
      <c r="C208" s="456"/>
      <c r="D208" s="453"/>
      <c r="E208" s="455"/>
      <c r="F208" s="1340"/>
      <c r="G208" s="1170"/>
    </row>
    <row r="209" spans="1:7" ht="25.5">
      <c r="A209" s="243" t="s">
        <v>2179</v>
      </c>
      <c r="B209" s="453" t="s">
        <v>2147</v>
      </c>
      <c r="C209" s="476" t="s">
        <v>2148</v>
      </c>
      <c r="D209" s="453" t="s">
        <v>335</v>
      </c>
      <c r="E209" s="455">
        <v>1</v>
      </c>
      <c r="F209" s="1340"/>
      <c r="G209" s="1170"/>
    </row>
    <row r="210" spans="1:7">
      <c r="A210" s="243"/>
      <c r="B210" s="1012"/>
      <c r="C210" s="456"/>
      <c r="D210" s="453"/>
      <c r="E210" s="455"/>
      <c r="F210" s="1340"/>
      <c r="G210" s="1170"/>
    </row>
    <row r="211" spans="1:7">
      <c r="A211" s="243" t="s">
        <v>2180</v>
      </c>
      <c r="B211" s="453" t="s">
        <v>2150</v>
      </c>
      <c r="C211" s="456" t="s">
        <v>2151</v>
      </c>
      <c r="D211" s="453" t="s">
        <v>70</v>
      </c>
      <c r="E211" s="455">
        <v>3</v>
      </c>
      <c r="F211" s="1340"/>
      <c r="G211" s="1170"/>
    </row>
    <row r="212" spans="1:7">
      <c r="A212" s="243"/>
      <c r="B212" s="453"/>
      <c r="C212" s="456"/>
      <c r="D212" s="453"/>
      <c r="E212" s="455"/>
      <c r="F212" s="1340"/>
      <c r="G212" s="1170"/>
    </row>
    <row r="213" spans="1:7">
      <c r="A213" s="243" t="s">
        <v>2181</v>
      </c>
      <c r="B213" s="453" t="s">
        <v>2150</v>
      </c>
      <c r="C213" s="456" t="s">
        <v>2153</v>
      </c>
      <c r="D213" s="453" t="s">
        <v>70</v>
      </c>
      <c r="E213" s="455">
        <v>3</v>
      </c>
      <c r="F213" s="1340"/>
      <c r="G213" s="1170"/>
    </row>
    <row r="214" spans="1:7">
      <c r="A214" s="243"/>
      <c r="B214" s="453"/>
      <c r="C214" s="456"/>
      <c r="D214" s="453"/>
      <c r="E214" s="455"/>
      <c r="F214" s="1340"/>
      <c r="G214" s="1170"/>
    </row>
    <row r="215" spans="1:7">
      <c r="A215" s="243" t="s">
        <v>2182</v>
      </c>
      <c r="B215" s="453" t="s">
        <v>2150</v>
      </c>
      <c r="C215" s="456" t="s">
        <v>2155</v>
      </c>
      <c r="D215" s="453" t="s">
        <v>70</v>
      </c>
      <c r="E215" s="455">
        <v>4</v>
      </c>
      <c r="F215" s="1340"/>
      <c r="G215" s="1170"/>
    </row>
    <row r="216" spans="1:7">
      <c r="A216" s="243"/>
      <c r="B216" s="1003"/>
      <c r="C216" s="1006"/>
      <c r="D216" s="1003"/>
      <c r="E216" s="1005"/>
      <c r="F216" s="1342"/>
      <c r="G216" s="1170"/>
    </row>
    <row r="217" spans="1:7">
      <c r="A217" s="243"/>
      <c r="B217" s="1003"/>
      <c r="C217" s="1006"/>
      <c r="D217" s="1003"/>
      <c r="E217" s="1005"/>
      <c r="F217" s="1342"/>
      <c r="G217" s="1170"/>
    </row>
    <row r="218" spans="1:7">
      <c r="A218" s="243"/>
      <c r="B218" s="1003"/>
      <c r="C218" s="1006"/>
      <c r="D218" s="1003"/>
      <c r="E218" s="1005"/>
      <c r="F218" s="1342"/>
      <c r="G218" s="1170"/>
    </row>
    <row r="219" spans="1:7">
      <c r="A219" s="243"/>
      <c r="B219" s="1003"/>
      <c r="C219" s="1006"/>
      <c r="D219" s="1003"/>
      <c r="E219" s="1005"/>
      <c r="F219" s="1342"/>
      <c r="G219" s="1170"/>
    </row>
    <row r="220" spans="1:7">
      <c r="A220" s="243"/>
      <c r="B220" s="1003"/>
      <c r="C220" s="1006"/>
      <c r="D220" s="1003"/>
      <c r="E220" s="1005"/>
      <c r="F220" s="1342"/>
      <c r="G220" s="1170"/>
    </row>
    <row r="221" spans="1:7">
      <c r="A221" s="1570" t="s">
        <v>96</v>
      </c>
      <c r="B221" s="1571"/>
      <c r="C221" s="1571"/>
      <c r="D221" s="1571"/>
      <c r="E221" s="1571"/>
      <c r="F221" s="1514"/>
      <c r="G221" s="1514"/>
    </row>
    <row r="222" spans="1:7">
      <c r="A222" s="1572"/>
      <c r="B222" s="1573"/>
      <c r="C222" s="1573"/>
      <c r="D222" s="1573"/>
      <c r="E222" s="1573"/>
      <c r="F222" s="1514"/>
      <c r="G222" s="1514"/>
    </row>
    <row r="223" spans="1:7">
      <c r="A223" s="371"/>
      <c r="B223" s="460"/>
      <c r="C223" s="332" t="s">
        <v>220</v>
      </c>
      <c r="D223" s="369"/>
      <c r="E223" s="370"/>
      <c r="F223" s="1183"/>
      <c r="G223" s="1337"/>
    </row>
    <row r="224" spans="1:7">
      <c r="A224" s="371"/>
      <c r="B224" s="1003"/>
      <c r="C224" s="1010"/>
      <c r="D224" s="1003"/>
      <c r="E224" s="1005"/>
      <c r="F224" s="1333"/>
      <c r="G224" s="1332"/>
    </row>
    <row r="225" spans="1:7">
      <c r="A225" s="243"/>
      <c r="B225" s="453"/>
      <c r="C225" s="456"/>
      <c r="D225" s="453"/>
      <c r="E225" s="455"/>
      <c r="F225" s="1340"/>
      <c r="G225" s="1170"/>
    </row>
    <row r="226" spans="1:7">
      <c r="A226" s="243" t="s">
        <v>2183</v>
      </c>
      <c r="B226" s="453" t="s">
        <v>2157</v>
      </c>
      <c r="C226" s="456" t="s">
        <v>2158</v>
      </c>
      <c r="D226" s="453" t="s">
        <v>70</v>
      </c>
      <c r="E226" s="455">
        <v>8</v>
      </c>
      <c r="F226" s="1340"/>
      <c r="G226" s="1170"/>
    </row>
    <row r="227" spans="1:7">
      <c r="A227" s="243"/>
      <c r="B227" s="453"/>
      <c r="C227" s="456"/>
      <c r="D227" s="453"/>
      <c r="E227" s="455"/>
      <c r="F227" s="1340"/>
      <c r="G227" s="1170"/>
    </row>
    <row r="228" spans="1:7" ht="24" customHeight="1">
      <c r="A228" s="243" t="s">
        <v>2184</v>
      </c>
      <c r="B228" s="453" t="s">
        <v>2160</v>
      </c>
      <c r="C228" s="456" t="s">
        <v>2161</v>
      </c>
      <c r="D228" s="453" t="s">
        <v>70</v>
      </c>
      <c r="E228" s="455">
        <v>4</v>
      </c>
      <c r="F228" s="1340"/>
      <c r="G228" s="1170"/>
    </row>
    <row r="229" spans="1:7">
      <c r="A229" s="243"/>
      <c r="B229" s="1012"/>
      <c r="C229" s="456"/>
      <c r="D229" s="453"/>
      <c r="E229" s="455"/>
      <c r="F229" s="1340"/>
      <c r="G229" s="1170"/>
    </row>
    <row r="230" spans="1:7">
      <c r="A230" s="243" t="s">
        <v>2185</v>
      </c>
      <c r="B230" s="453" t="s">
        <v>2163</v>
      </c>
      <c r="C230" s="456" t="s">
        <v>2164</v>
      </c>
      <c r="D230" s="453" t="s">
        <v>70</v>
      </c>
      <c r="E230" s="455">
        <v>6</v>
      </c>
      <c r="F230" s="1340"/>
      <c r="G230" s="1170"/>
    </row>
    <row r="231" spans="1:7">
      <c r="A231" s="243"/>
      <c r="B231" s="453"/>
      <c r="C231" s="456"/>
      <c r="D231" s="453"/>
      <c r="E231" s="455"/>
      <c r="F231" s="1340"/>
      <c r="G231" s="1170"/>
    </row>
    <row r="232" spans="1:7" ht="25.5">
      <c r="A232" s="243" t="s">
        <v>2186</v>
      </c>
      <c r="B232" s="453" t="s">
        <v>2163</v>
      </c>
      <c r="C232" s="476" t="s">
        <v>2166</v>
      </c>
      <c r="D232" s="453" t="s">
        <v>335</v>
      </c>
      <c r="E232" s="455">
        <v>1</v>
      </c>
      <c r="F232" s="1340"/>
      <c r="G232" s="1170"/>
    </row>
    <row r="233" spans="1:7">
      <c r="A233" s="243" t="s">
        <v>2187</v>
      </c>
      <c r="B233" s="453" t="s">
        <v>2150</v>
      </c>
      <c r="C233" s="456" t="s">
        <v>2151</v>
      </c>
      <c r="D233" s="453" t="s">
        <v>70</v>
      </c>
      <c r="E233" s="455">
        <v>1</v>
      </c>
      <c r="F233" s="1340"/>
      <c r="G233" s="1170"/>
    </row>
    <row r="234" spans="1:7">
      <c r="A234" s="243"/>
      <c r="B234" s="453"/>
      <c r="C234" s="456"/>
      <c r="D234" s="453"/>
      <c r="E234" s="455"/>
      <c r="F234" s="1340"/>
      <c r="G234" s="1170"/>
    </row>
    <row r="235" spans="1:7">
      <c r="A235" s="243" t="s">
        <v>2188</v>
      </c>
      <c r="B235" s="453" t="s">
        <v>2169</v>
      </c>
      <c r="C235" s="456" t="s">
        <v>2158</v>
      </c>
      <c r="D235" s="453" t="s">
        <v>70</v>
      </c>
      <c r="E235" s="455">
        <v>4</v>
      </c>
      <c r="F235" s="1340"/>
      <c r="G235" s="1170"/>
    </row>
    <row r="236" spans="1:7">
      <c r="A236" s="243"/>
      <c r="B236" s="467"/>
      <c r="C236" s="454"/>
      <c r="D236" s="464"/>
      <c r="E236" s="455"/>
      <c r="F236" s="1340"/>
      <c r="G236" s="1170"/>
    </row>
    <row r="237" spans="1:7" ht="25.5">
      <c r="A237" s="243" t="s">
        <v>2189</v>
      </c>
      <c r="B237" s="453" t="s">
        <v>2163</v>
      </c>
      <c r="C237" s="476" t="s">
        <v>2171</v>
      </c>
      <c r="D237" s="453" t="s">
        <v>335</v>
      </c>
      <c r="E237" s="455">
        <v>1</v>
      </c>
      <c r="F237" s="1340"/>
      <c r="G237" s="1170"/>
    </row>
    <row r="238" spans="1:7">
      <c r="A238" s="243"/>
      <c r="B238" s="453"/>
      <c r="C238" s="456"/>
      <c r="D238" s="453"/>
      <c r="E238" s="455"/>
      <c r="F238" s="1340"/>
      <c r="G238" s="1170"/>
    </row>
    <row r="239" spans="1:7">
      <c r="A239" s="243" t="s">
        <v>2190</v>
      </c>
      <c r="B239" s="453" t="s">
        <v>2150</v>
      </c>
      <c r="C239" s="456" t="s">
        <v>2151</v>
      </c>
      <c r="D239" s="453" t="s">
        <v>70</v>
      </c>
      <c r="E239" s="455">
        <v>1</v>
      </c>
      <c r="F239" s="1340"/>
      <c r="G239" s="1170"/>
    </row>
    <row r="240" spans="1:7">
      <c r="A240" s="243"/>
      <c r="B240" s="453"/>
      <c r="C240" s="456"/>
      <c r="D240" s="453"/>
      <c r="E240" s="455"/>
      <c r="F240" s="1340"/>
      <c r="G240" s="1170"/>
    </row>
    <row r="241" spans="1:7">
      <c r="A241" s="243" t="s">
        <v>2191</v>
      </c>
      <c r="B241" s="453" t="s">
        <v>2150</v>
      </c>
      <c r="C241" s="456" t="s">
        <v>2153</v>
      </c>
      <c r="D241" s="453" t="s">
        <v>70</v>
      </c>
      <c r="E241" s="455">
        <v>1</v>
      </c>
      <c r="F241" s="1340"/>
      <c r="G241" s="1170"/>
    </row>
    <row r="242" spans="1:7">
      <c r="A242" s="243"/>
      <c r="B242" s="453"/>
      <c r="C242" s="456"/>
      <c r="D242" s="453"/>
      <c r="E242" s="455"/>
      <c r="F242" s="1340"/>
      <c r="G242" s="1170"/>
    </row>
    <row r="243" spans="1:7">
      <c r="A243" s="243" t="s">
        <v>2192</v>
      </c>
      <c r="B243" s="453" t="s">
        <v>2169</v>
      </c>
      <c r="C243" s="456" t="s">
        <v>2158</v>
      </c>
      <c r="D243" s="453" t="s">
        <v>70</v>
      </c>
      <c r="E243" s="455">
        <v>4</v>
      </c>
      <c r="F243" s="1340"/>
      <c r="G243" s="1170"/>
    </row>
    <row r="244" spans="1:7">
      <c r="A244" s="679"/>
      <c r="B244" s="453" t="s">
        <v>2169</v>
      </c>
      <c r="C244" s="454" t="s">
        <v>2175</v>
      </c>
      <c r="D244" s="453"/>
      <c r="E244" s="455"/>
      <c r="F244" s="1340"/>
      <c r="G244" s="1170"/>
    </row>
    <row r="245" spans="1:7">
      <c r="A245" s="243"/>
      <c r="B245" s="453"/>
      <c r="C245" s="454"/>
      <c r="D245" s="453"/>
      <c r="E245" s="455"/>
      <c r="F245" s="1340"/>
      <c r="G245" s="1170"/>
    </row>
    <row r="246" spans="1:7" ht="25.5">
      <c r="A246" s="243" t="s">
        <v>2193</v>
      </c>
      <c r="B246" s="453" t="s">
        <v>2177</v>
      </c>
      <c r="C246" s="476" t="s">
        <v>2178</v>
      </c>
      <c r="D246" s="453" t="s">
        <v>70</v>
      </c>
      <c r="E246" s="455">
        <v>2</v>
      </c>
      <c r="F246" s="1340"/>
      <c r="G246" s="1170"/>
    </row>
    <row r="247" spans="1:7">
      <c r="A247" s="243"/>
      <c r="B247" s="453"/>
      <c r="C247" s="456"/>
      <c r="D247" s="453"/>
      <c r="E247" s="455"/>
      <c r="F247" s="1340"/>
      <c r="G247" s="1170"/>
    </row>
    <row r="248" spans="1:7" ht="63.75">
      <c r="A248" s="1014">
        <v>10.9</v>
      </c>
      <c r="B248" s="1015"/>
      <c r="C248" s="452" t="s">
        <v>2081</v>
      </c>
      <c r="D248" s="547"/>
      <c r="E248" s="452"/>
      <c r="F248" s="1331"/>
      <c r="G248" s="1331"/>
    </row>
    <row r="249" spans="1:7">
      <c r="A249" s="1014"/>
      <c r="B249" s="1015"/>
      <c r="C249" s="452"/>
      <c r="D249" s="650"/>
      <c r="E249" s="1013"/>
      <c r="F249" s="1331"/>
      <c r="G249" s="1331"/>
    </row>
    <row r="250" spans="1:7" ht="25.5">
      <c r="A250" s="1016" t="s">
        <v>2194</v>
      </c>
      <c r="B250" s="453" t="s">
        <v>2147</v>
      </c>
      <c r="C250" s="476" t="s">
        <v>2148</v>
      </c>
      <c r="D250" s="453" t="s">
        <v>335</v>
      </c>
      <c r="E250" s="455">
        <v>1</v>
      </c>
      <c r="F250" s="1332"/>
      <c r="G250" s="1170"/>
    </row>
    <row r="251" spans="1:7">
      <c r="A251" s="1014"/>
      <c r="B251" s="1012"/>
      <c r="C251" s="456"/>
      <c r="D251" s="453"/>
      <c r="E251" s="455"/>
      <c r="F251" s="1340"/>
      <c r="G251" s="1170"/>
    </row>
    <row r="252" spans="1:7">
      <c r="A252" s="1016" t="s">
        <v>2195</v>
      </c>
      <c r="B252" s="453" t="s">
        <v>2150</v>
      </c>
      <c r="C252" s="456" t="s">
        <v>2151</v>
      </c>
      <c r="D252" s="453" t="s">
        <v>70</v>
      </c>
      <c r="E252" s="455">
        <v>3</v>
      </c>
      <c r="F252" s="1332"/>
      <c r="G252" s="1170"/>
    </row>
    <row r="253" spans="1:7">
      <c r="A253" s="1014"/>
      <c r="B253" s="453"/>
      <c r="C253" s="456"/>
      <c r="D253" s="453"/>
      <c r="E253" s="455"/>
      <c r="F253" s="1332"/>
      <c r="G253" s="1170"/>
    </row>
    <row r="254" spans="1:7">
      <c r="A254" s="1016" t="s">
        <v>2196</v>
      </c>
      <c r="B254" s="453" t="s">
        <v>2150</v>
      </c>
      <c r="C254" s="456" t="s">
        <v>2153</v>
      </c>
      <c r="D254" s="453" t="s">
        <v>70</v>
      </c>
      <c r="E254" s="455">
        <v>3</v>
      </c>
      <c r="F254" s="1332"/>
      <c r="G254" s="1170"/>
    </row>
    <row r="255" spans="1:7">
      <c r="A255" s="1014"/>
      <c r="B255" s="453"/>
      <c r="C255" s="456"/>
      <c r="D255" s="453"/>
      <c r="E255" s="455"/>
      <c r="F255" s="1332"/>
      <c r="G255" s="1170"/>
    </row>
    <row r="256" spans="1:7">
      <c r="A256" s="1016" t="s">
        <v>2197</v>
      </c>
      <c r="B256" s="453" t="s">
        <v>2150</v>
      </c>
      <c r="C256" s="456" t="s">
        <v>2155</v>
      </c>
      <c r="D256" s="453" t="s">
        <v>70</v>
      </c>
      <c r="E256" s="455">
        <v>4</v>
      </c>
      <c r="F256" s="1332"/>
      <c r="G256" s="1170"/>
    </row>
    <row r="257" spans="1:7">
      <c r="A257" s="1014"/>
      <c r="B257" s="453"/>
      <c r="C257" s="456"/>
      <c r="D257" s="453"/>
      <c r="E257" s="455"/>
      <c r="F257" s="1332"/>
      <c r="G257" s="1170"/>
    </row>
    <row r="258" spans="1:7">
      <c r="A258" s="1016" t="s">
        <v>2198</v>
      </c>
      <c r="B258" s="453" t="s">
        <v>2157</v>
      </c>
      <c r="C258" s="456" t="s">
        <v>2158</v>
      </c>
      <c r="D258" s="453" t="s">
        <v>70</v>
      </c>
      <c r="E258" s="455">
        <v>8</v>
      </c>
      <c r="F258" s="1340"/>
      <c r="G258" s="1170"/>
    </row>
    <row r="259" spans="1:7">
      <c r="A259" s="1014"/>
      <c r="B259" s="453"/>
      <c r="C259" s="456"/>
      <c r="D259" s="453"/>
      <c r="E259" s="455"/>
      <c r="F259" s="1340"/>
      <c r="G259" s="1170"/>
    </row>
    <row r="260" spans="1:7">
      <c r="A260" s="1016" t="s">
        <v>2199</v>
      </c>
      <c r="B260" s="453" t="s">
        <v>2160</v>
      </c>
      <c r="C260" s="456" t="s">
        <v>2161</v>
      </c>
      <c r="D260" s="453" t="s">
        <v>70</v>
      </c>
      <c r="E260" s="455">
        <v>4</v>
      </c>
      <c r="F260" s="1332"/>
      <c r="G260" s="1170"/>
    </row>
    <row r="261" spans="1:7">
      <c r="A261" s="1014"/>
      <c r="B261" s="1012"/>
      <c r="C261" s="456"/>
      <c r="D261" s="453"/>
      <c r="E261" s="455"/>
      <c r="F261" s="1332"/>
      <c r="G261" s="1170"/>
    </row>
    <row r="262" spans="1:7">
      <c r="A262" s="1016" t="s">
        <v>2200</v>
      </c>
      <c r="B262" s="453" t="s">
        <v>2163</v>
      </c>
      <c r="C262" s="456" t="s">
        <v>2164</v>
      </c>
      <c r="D262" s="453" t="s">
        <v>70</v>
      </c>
      <c r="E262" s="455">
        <v>6</v>
      </c>
      <c r="F262" s="1332"/>
      <c r="G262" s="1170"/>
    </row>
    <row r="263" spans="1:7">
      <c r="A263" s="1014"/>
      <c r="B263" s="453"/>
      <c r="C263" s="456"/>
      <c r="D263" s="453"/>
      <c r="E263" s="455"/>
      <c r="F263" s="1332"/>
      <c r="G263" s="1170"/>
    </row>
    <row r="264" spans="1:7" ht="25.5">
      <c r="A264" s="1016" t="s">
        <v>2201</v>
      </c>
      <c r="B264" s="453" t="s">
        <v>2163</v>
      </c>
      <c r="C264" s="476" t="s">
        <v>2166</v>
      </c>
      <c r="D264" s="453" t="s">
        <v>335</v>
      </c>
      <c r="E264" s="455">
        <v>1</v>
      </c>
      <c r="F264" s="1332"/>
      <c r="G264" s="1170"/>
    </row>
    <row r="265" spans="1:7">
      <c r="A265" s="1014"/>
      <c r="B265" s="460"/>
      <c r="C265" s="428"/>
      <c r="D265" s="366"/>
      <c r="E265" s="368"/>
      <c r="F265" s="1332"/>
      <c r="G265" s="1170"/>
    </row>
    <row r="266" spans="1:7">
      <c r="A266" s="1016" t="s">
        <v>2202</v>
      </c>
      <c r="B266" s="453" t="s">
        <v>2150</v>
      </c>
      <c r="C266" s="456" t="s">
        <v>2151</v>
      </c>
      <c r="D266" s="453" t="s">
        <v>70</v>
      </c>
      <c r="E266" s="455">
        <v>1</v>
      </c>
      <c r="F266" s="1332"/>
      <c r="G266" s="1170"/>
    </row>
    <row r="267" spans="1:7">
      <c r="A267" s="1014"/>
      <c r="B267" s="453"/>
      <c r="C267" s="456"/>
      <c r="D267" s="453"/>
      <c r="E267" s="455"/>
      <c r="F267" s="1332"/>
      <c r="G267" s="1170"/>
    </row>
    <row r="268" spans="1:7">
      <c r="A268" s="1016" t="s">
        <v>2203</v>
      </c>
      <c r="B268" s="453" t="s">
        <v>2169</v>
      </c>
      <c r="C268" s="456" t="s">
        <v>2158</v>
      </c>
      <c r="D268" s="453" t="s">
        <v>70</v>
      </c>
      <c r="E268" s="455">
        <v>4</v>
      </c>
      <c r="F268" s="1340"/>
      <c r="G268" s="1170"/>
    </row>
    <row r="269" spans="1:7">
      <c r="A269" s="1014"/>
      <c r="B269" s="467"/>
      <c r="C269" s="454"/>
      <c r="D269" s="464"/>
      <c r="E269" s="455"/>
      <c r="F269" s="1332"/>
      <c r="G269" s="1170"/>
    </row>
    <row r="270" spans="1:7" ht="25.5">
      <c r="A270" s="1016" t="s">
        <v>2204</v>
      </c>
      <c r="B270" s="453" t="s">
        <v>2163</v>
      </c>
      <c r="C270" s="476" t="s">
        <v>2171</v>
      </c>
      <c r="D270" s="453" t="s">
        <v>335</v>
      </c>
      <c r="E270" s="455">
        <v>1</v>
      </c>
      <c r="F270" s="1340"/>
      <c r="G270" s="1170"/>
    </row>
    <row r="271" spans="1:7">
      <c r="A271" s="1014"/>
      <c r="B271" s="453"/>
      <c r="C271" s="456"/>
      <c r="D271" s="453"/>
      <c r="E271" s="455"/>
      <c r="F271" s="1340"/>
      <c r="G271" s="1170"/>
    </row>
    <row r="272" spans="1:7">
      <c r="A272" s="1016" t="s">
        <v>2205</v>
      </c>
      <c r="B272" s="453" t="s">
        <v>2150</v>
      </c>
      <c r="C272" s="456" t="s">
        <v>2151</v>
      </c>
      <c r="D272" s="453" t="s">
        <v>70</v>
      </c>
      <c r="E272" s="455">
        <v>1</v>
      </c>
      <c r="F272" s="1340"/>
      <c r="G272" s="1170"/>
    </row>
    <row r="273" spans="1:7">
      <c r="A273" s="1014"/>
      <c r="B273" s="453"/>
      <c r="C273" s="456"/>
      <c r="D273" s="453"/>
      <c r="E273" s="455"/>
      <c r="F273" s="1340"/>
      <c r="G273" s="1170"/>
    </row>
    <row r="274" spans="1:7">
      <c r="A274" s="1016" t="s">
        <v>2206</v>
      </c>
      <c r="B274" s="453" t="s">
        <v>2150</v>
      </c>
      <c r="C274" s="456" t="s">
        <v>2153</v>
      </c>
      <c r="D274" s="453" t="s">
        <v>70</v>
      </c>
      <c r="E274" s="455">
        <v>1</v>
      </c>
      <c r="F274" s="1340"/>
      <c r="G274" s="1170"/>
    </row>
    <row r="275" spans="1:7">
      <c r="A275" s="1014"/>
      <c r="B275" s="453"/>
      <c r="C275" s="456"/>
      <c r="D275" s="453"/>
      <c r="E275" s="455"/>
      <c r="F275" s="1340"/>
      <c r="G275" s="1170"/>
    </row>
    <row r="276" spans="1:7">
      <c r="A276" s="1016" t="s">
        <v>2207</v>
      </c>
      <c r="B276" s="453" t="s">
        <v>2169</v>
      </c>
      <c r="C276" s="456" t="s">
        <v>2158</v>
      </c>
      <c r="D276" s="453" t="s">
        <v>70</v>
      </c>
      <c r="E276" s="455">
        <v>4</v>
      </c>
      <c r="F276" s="1332"/>
      <c r="G276" s="1170"/>
    </row>
    <row r="277" spans="1:7">
      <c r="A277" s="1014"/>
      <c r="B277" s="1015"/>
      <c r="C277" s="452"/>
      <c r="D277" s="547"/>
      <c r="E277" s="452"/>
      <c r="F277" s="1331"/>
      <c r="G277" s="1331"/>
    </row>
    <row r="278" spans="1:7">
      <c r="A278" s="1016"/>
      <c r="B278" s="453" t="s">
        <v>2169</v>
      </c>
      <c r="C278" s="454" t="s">
        <v>2208</v>
      </c>
      <c r="D278" s="453"/>
      <c r="E278" s="455"/>
      <c r="F278" s="1340"/>
      <c r="G278" s="1170"/>
    </row>
    <row r="279" spans="1:7">
      <c r="A279" s="1014"/>
      <c r="B279" s="453"/>
      <c r="C279" s="454"/>
      <c r="D279" s="453"/>
      <c r="E279" s="455"/>
      <c r="F279" s="1340"/>
      <c r="G279" s="1170"/>
    </row>
    <row r="280" spans="1:7" ht="25.5">
      <c r="A280" s="1016" t="s">
        <v>2209</v>
      </c>
      <c r="B280" s="453" t="s">
        <v>2177</v>
      </c>
      <c r="C280" s="476" t="s">
        <v>2178</v>
      </c>
      <c r="D280" s="453" t="s">
        <v>70</v>
      </c>
      <c r="E280" s="455">
        <v>2</v>
      </c>
      <c r="F280" s="1340"/>
      <c r="G280" s="1170"/>
    </row>
    <row r="281" spans="1:7">
      <c r="A281" s="243"/>
      <c r="B281" s="453"/>
      <c r="C281" s="456"/>
      <c r="D281" s="453"/>
      <c r="E281" s="455"/>
      <c r="F281" s="1340"/>
      <c r="G281" s="1170"/>
    </row>
    <row r="282" spans="1:7">
      <c r="A282" s="243"/>
      <c r="B282" s="1003"/>
      <c r="C282" s="1006"/>
      <c r="D282" s="1003"/>
      <c r="E282" s="1005"/>
      <c r="F282" s="1342"/>
      <c r="G282" s="1170"/>
    </row>
    <row r="283" spans="1:7">
      <c r="A283" s="243"/>
      <c r="B283" s="1003"/>
      <c r="C283" s="1006"/>
      <c r="D283" s="1003"/>
      <c r="E283" s="1005"/>
      <c r="F283" s="1342"/>
      <c r="G283" s="1170"/>
    </row>
    <row r="284" spans="1:7">
      <c r="A284" s="243"/>
      <c r="B284" s="1003"/>
      <c r="C284" s="1006"/>
      <c r="D284" s="1003"/>
      <c r="E284" s="1005"/>
      <c r="F284" s="1342"/>
      <c r="G284" s="1170"/>
    </row>
    <row r="285" spans="1:7">
      <c r="A285" s="243"/>
      <c r="B285" s="1003"/>
      <c r="C285" s="1006"/>
      <c r="D285" s="1003"/>
      <c r="E285" s="1005"/>
      <c r="F285" s="1342"/>
      <c r="G285" s="1170"/>
    </row>
    <row r="286" spans="1:7">
      <c r="A286" s="243"/>
      <c r="B286" s="1003"/>
      <c r="C286" s="1006"/>
      <c r="D286" s="1003"/>
      <c r="E286" s="1005"/>
      <c r="F286" s="1342"/>
      <c r="G286" s="1170"/>
    </row>
    <row r="287" spans="1:7">
      <c r="A287" s="243"/>
      <c r="B287" s="1003"/>
      <c r="C287" s="1006"/>
      <c r="D287" s="1003"/>
      <c r="E287" s="1005"/>
      <c r="F287" s="1342"/>
      <c r="G287" s="1170"/>
    </row>
    <row r="288" spans="1:7">
      <c r="A288" s="371"/>
      <c r="B288" s="1003"/>
      <c r="C288" s="1010"/>
      <c r="D288" s="1003"/>
      <c r="E288" s="1005"/>
      <c r="F288" s="1333"/>
      <c r="G288" s="1332"/>
    </row>
    <row r="289" spans="1:7">
      <c r="A289" s="243"/>
      <c r="B289" s="453"/>
      <c r="C289" s="456"/>
      <c r="D289" s="453"/>
      <c r="E289" s="455"/>
      <c r="F289" s="1340"/>
      <c r="G289" s="1170"/>
    </row>
    <row r="290" spans="1:7">
      <c r="A290" s="243"/>
      <c r="B290" s="453"/>
      <c r="C290" s="456"/>
      <c r="D290" s="453"/>
      <c r="E290" s="455"/>
      <c r="F290" s="1340"/>
      <c r="G290" s="1170"/>
    </row>
    <row r="291" spans="1:7">
      <c r="A291" s="243"/>
      <c r="B291" s="453"/>
      <c r="C291" s="456"/>
      <c r="D291" s="453"/>
      <c r="E291" s="455"/>
      <c r="F291" s="1340"/>
      <c r="G291" s="1170"/>
    </row>
    <row r="292" spans="1:7">
      <c r="A292" s="243"/>
      <c r="B292" s="1003"/>
      <c r="C292" s="1006"/>
      <c r="D292" s="1003"/>
      <c r="E292" s="1005"/>
      <c r="F292" s="1342"/>
      <c r="G292" s="1170"/>
    </row>
    <row r="293" spans="1:7">
      <c r="A293" s="1570" t="s">
        <v>96</v>
      </c>
      <c r="B293" s="1571"/>
      <c r="C293" s="1571"/>
      <c r="D293" s="1571"/>
      <c r="E293" s="1571"/>
      <c r="F293" s="1514"/>
      <c r="G293" s="1514"/>
    </row>
    <row r="294" spans="1:7">
      <c r="A294" s="1572"/>
      <c r="B294" s="1573"/>
      <c r="C294" s="1573"/>
      <c r="D294" s="1573"/>
      <c r="E294" s="1573"/>
      <c r="F294" s="1514"/>
      <c r="G294" s="1514"/>
    </row>
    <row r="295" spans="1:7">
      <c r="A295" s="371"/>
      <c r="B295" s="460"/>
      <c r="C295" s="332" t="s">
        <v>220</v>
      </c>
      <c r="D295" s="369"/>
      <c r="E295" s="370"/>
      <c r="F295" s="1183"/>
      <c r="G295" s="1337"/>
    </row>
    <row r="296" spans="1:7">
      <c r="A296" s="371"/>
      <c r="B296" s="1003"/>
      <c r="C296" s="1010"/>
      <c r="D296" s="1003"/>
      <c r="E296" s="1005"/>
      <c r="F296" s="1333"/>
      <c r="G296" s="1332"/>
    </row>
    <row r="297" spans="1:7">
      <c r="A297" s="240"/>
      <c r="B297" s="239" t="s">
        <v>2210</v>
      </c>
      <c r="C297" s="463" t="s">
        <v>2211</v>
      </c>
      <c r="D297" s="464"/>
      <c r="E297" s="465"/>
      <c r="F297" s="1340"/>
      <c r="G297" s="1282"/>
    </row>
    <row r="298" spans="1:7">
      <c r="A298" s="243"/>
      <c r="B298" s="242"/>
      <c r="C298" s="583"/>
      <c r="D298" s="464"/>
      <c r="E298" s="465"/>
      <c r="F298" s="1340"/>
      <c r="G298" s="1282"/>
    </row>
    <row r="299" spans="1:7" ht="38.25">
      <c r="A299" s="241" t="s">
        <v>2212</v>
      </c>
      <c r="B299" s="242"/>
      <c r="C299" s="452" t="s">
        <v>2213</v>
      </c>
      <c r="D299" s="547"/>
      <c r="E299" s="452"/>
      <c r="F299" s="1331"/>
      <c r="G299" s="1331"/>
    </row>
    <row r="300" spans="1:7">
      <c r="A300" s="243"/>
      <c r="B300" s="467"/>
      <c r="C300" s="454"/>
      <c r="D300" s="464"/>
      <c r="E300" s="465"/>
      <c r="F300" s="1340"/>
      <c r="G300" s="1282"/>
    </row>
    <row r="301" spans="1:7" ht="25.5">
      <c r="A301" s="243" t="s">
        <v>2214</v>
      </c>
      <c r="B301" s="453"/>
      <c r="C301" s="456" t="s">
        <v>2215</v>
      </c>
      <c r="D301" s="453" t="s">
        <v>335</v>
      </c>
      <c r="E301" s="455">
        <v>1</v>
      </c>
      <c r="F301" s="1332"/>
      <c r="G301" s="1170"/>
    </row>
    <row r="302" spans="1:7">
      <c r="A302" s="243"/>
      <c r="B302" s="660"/>
      <c r="C302" s="469"/>
      <c r="D302" s="453"/>
      <c r="E302" s="455"/>
      <c r="F302" s="1332"/>
      <c r="G302" s="1170"/>
    </row>
    <row r="303" spans="1:7">
      <c r="A303" s="243" t="s">
        <v>2216</v>
      </c>
      <c r="B303" s="660"/>
      <c r="C303" s="469" t="s">
        <v>2217</v>
      </c>
      <c r="D303" s="453" t="s">
        <v>335</v>
      </c>
      <c r="E303" s="455">
        <v>1</v>
      </c>
      <c r="F303" s="1332"/>
      <c r="G303" s="1170"/>
    </row>
    <row r="304" spans="1:7">
      <c r="A304" s="243"/>
      <c r="B304" s="660"/>
      <c r="C304" s="469"/>
      <c r="D304" s="453"/>
      <c r="E304" s="455"/>
      <c r="F304" s="1332"/>
      <c r="G304" s="1170"/>
    </row>
    <row r="305" spans="1:7" ht="51">
      <c r="A305" s="240">
        <v>10.11</v>
      </c>
      <c r="B305" s="242"/>
      <c r="C305" s="452" t="s">
        <v>2130</v>
      </c>
      <c r="D305" s="452"/>
      <c r="E305" s="452"/>
      <c r="F305" s="1331"/>
      <c r="G305" s="1331"/>
    </row>
    <row r="306" spans="1:7">
      <c r="A306" s="243"/>
      <c r="B306" s="467"/>
      <c r="C306" s="454"/>
      <c r="D306" s="464"/>
      <c r="E306" s="465"/>
      <c r="F306" s="1340"/>
      <c r="G306" s="1282"/>
    </row>
    <row r="307" spans="1:7" ht="25.5">
      <c r="A307" s="243" t="s">
        <v>2218</v>
      </c>
      <c r="B307" s="453"/>
      <c r="C307" s="456" t="s">
        <v>2215</v>
      </c>
      <c r="D307" s="453" t="s">
        <v>335</v>
      </c>
      <c r="E307" s="455">
        <v>1</v>
      </c>
      <c r="F307" s="1332"/>
      <c r="G307" s="1170"/>
    </row>
    <row r="308" spans="1:7" ht="9.75" customHeight="1">
      <c r="A308" s="243"/>
      <c r="B308" s="660"/>
      <c r="C308" s="470"/>
      <c r="D308" s="453"/>
      <c r="E308" s="471"/>
      <c r="F308" s="1164"/>
      <c r="G308" s="1170"/>
    </row>
    <row r="309" spans="1:7">
      <c r="A309" s="243" t="s">
        <v>2219</v>
      </c>
      <c r="B309" s="453"/>
      <c r="C309" s="469" t="s">
        <v>2217</v>
      </c>
      <c r="D309" s="453" t="s">
        <v>335</v>
      </c>
      <c r="E309" s="455">
        <v>1</v>
      </c>
      <c r="F309" s="1332"/>
      <c r="G309" s="1170"/>
    </row>
    <row r="310" spans="1:7" ht="15.75" customHeight="1">
      <c r="A310" s="243"/>
      <c r="B310" s="453"/>
      <c r="C310" s="469"/>
      <c r="D310" s="453"/>
      <c r="E310" s="455"/>
      <c r="F310" s="1332"/>
      <c r="G310" s="1170"/>
    </row>
    <row r="311" spans="1:7" ht="63.75">
      <c r="A311" s="240">
        <v>10.119999999999999</v>
      </c>
      <c r="B311" s="242"/>
      <c r="C311" s="452" t="s">
        <v>2220</v>
      </c>
      <c r="D311" s="452"/>
      <c r="E311" s="452"/>
      <c r="F311" s="1331"/>
      <c r="G311" s="1331"/>
    </row>
    <row r="312" spans="1:7">
      <c r="A312" s="243"/>
      <c r="B312" s="467"/>
      <c r="C312" s="454"/>
      <c r="D312" s="464"/>
      <c r="E312" s="465"/>
      <c r="F312" s="1340"/>
      <c r="G312" s="1282"/>
    </row>
    <row r="313" spans="1:7" ht="25.5">
      <c r="A313" s="243" t="s">
        <v>2221</v>
      </c>
      <c r="B313" s="453"/>
      <c r="C313" s="456" t="s">
        <v>2215</v>
      </c>
      <c r="D313" s="472" t="s">
        <v>335</v>
      </c>
      <c r="E313" s="473">
        <v>1</v>
      </c>
      <c r="F313" s="1332"/>
      <c r="G313" s="1170"/>
    </row>
    <row r="314" spans="1:7">
      <c r="A314" s="243"/>
      <c r="B314" s="994"/>
      <c r="C314" s="474"/>
      <c r="D314" s="472"/>
      <c r="E314" s="475"/>
      <c r="F314" s="1164"/>
      <c r="G314" s="1170"/>
    </row>
    <row r="315" spans="1:7">
      <c r="A315" s="243" t="s">
        <v>2222</v>
      </c>
      <c r="B315" s="453"/>
      <c r="C315" s="469" t="s">
        <v>2217</v>
      </c>
      <c r="D315" s="472" t="s">
        <v>335</v>
      </c>
      <c r="E315" s="473">
        <v>1</v>
      </c>
      <c r="F315" s="1332"/>
      <c r="G315" s="1170"/>
    </row>
    <row r="316" spans="1:7">
      <c r="A316" s="243"/>
      <c r="B316" s="453"/>
      <c r="C316" s="469"/>
      <c r="D316" s="453"/>
      <c r="E316" s="455"/>
      <c r="F316" s="1332"/>
      <c r="G316" s="1170"/>
    </row>
    <row r="317" spans="1:7">
      <c r="A317" s="239"/>
      <c r="B317" s="239"/>
      <c r="C317" s="463" t="s">
        <v>2223</v>
      </c>
      <c r="D317" s="464"/>
      <c r="E317" s="465"/>
      <c r="F317" s="1340"/>
      <c r="G317" s="1282"/>
    </row>
    <row r="318" spans="1:7">
      <c r="A318" s="239"/>
      <c r="B318" s="242"/>
      <c r="C318" s="466"/>
      <c r="D318" s="464"/>
      <c r="E318" s="465"/>
      <c r="F318" s="1340"/>
      <c r="G318" s="1282"/>
    </row>
    <row r="319" spans="1:7" ht="38.25">
      <c r="A319" s="239">
        <v>10.130000000000001</v>
      </c>
      <c r="B319" s="242" t="s">
        <v>2224</v>
      </c>
      <c r="C319" s="452" t="s">
        <v>2145</v>
      </c>
      <c r="D319" s="452"/>
      <c r="E319" s="452"/>
      <c r="F319" s="1331"/>
      <c r="G319" s="1331"/>
    </row>
    <row r="320" spans="1:7">
      <c r="A320" s="239"/>
      <c r="B320" s="467"/>
      <c r="C320" s="454"/>
      <c r="D320" s="464"/>
      <c r="E320" s="465"/>
      <c r="F320" s="1340"/>
      <c r="G320" s="1282"/>
    </row>
    <row r="321" spans="1:7">
      <c r="A321" s="243" t="s">
        <v>2225</v>
      </c>
      <c r="B321" s="243" t="s">
        <v>2226</v>
      </c>
      <c r="C321" s="456" t="s">
        <v>2227</v>
      </c>
      <c r="D321" s="464" t="s">
        <v>818</v>
      </c>
      <c r="E321" s="464">
        <v>280</v>
      </c>
      <c r="F321" s="1340"/>
      <c r="G321" s="1282"/>
    </row>
    <row r="322" spans="1:7">
      <c r="A322" s="239"/>
      <c r="B322" s="243"/>
      <c r="C322" s="456"/>
      <c r="D322" s="464"/>
      <c r="E322" s="464"/>
      <c r="F322" s="1340"/>
      <c r="G322" s="1282"/>
    </row>
    <row r="323" spans="1:7">
      <c r="A323" s="243" t="s">
        <v>2228</v>
      </c>
      <c r="B323" s="243" t="s">
        <v>2229</v>
      </c>
      <c r="C323" s="456" t="s">
        <v>2230</v>
      </c>
      <c r="D323" s="464" t="s">
        <v>818</v>
      </c>
      <c r="E323" s="464">
        <v>300</v>
      </c>
      <c r="F323" s="1340"/>
      <c r="G323" s="1282"/>
    </row>
    <row r="324" spans="1:7">
      <c r="A324" s="239"/>
      <c r="B324" s="243"/>
      <c r="C324" s="456"/>
      <c r="D324" s="464"/>
      <c r="E324" s="464"/>
      <c r="F324" s="1340"/>
      <c r="G324" s="1282"/>
    </row>
    <row r="325" spans="1:7">
      <c r="A325" s="243" t="s">
        <v>2231</v>
      </c>
      <c r="B325" s="243" t="s">
        <v>2232</v>
      </c>
      <c r="C325" s="456" t="s">
        <v>2233</v>
      </c>
      <c r="D325" s="464" t="s">
        <v>818</v>
      </c>
      <c r="E325" s="464">
        <v>655</v>
      </c>
      <c r="F325" s="1340"/>
      <c r="G325" s="1282"/>
    </row>
    <row r="326" spans="1:7">
      <c r="A326" s="239"/>
      <c r="B326" s="243"/>
      <c r="C326" s="456"/>
      <c r="D326" s="464"/>
      <c r="E326" s="464"/>
      <c r="F326" s="1340"/>
      <c r="G326" s="1282"/>
    </row>
    <row r="327" spans="1:7">
      <c r="A327" s="243" t="s">
        <v>2234</v>
      </c>
      <c r="B327" s="243" t="s">
        <v>2235</v>
      </c>
      <c r="C327" s="456" t="s">
        <v>2236</v>
      </c>
      <c r="D327" s="464" t="s">
        <v>818</v>
      </c>
      <c r="E327" s="464">
        <v>265</v>
      </c>
      <c r="F327" s="1340"/>
      <c r="G327" s="1282"/>
    </row>
    <row r="328" spans="1:7">
      <c r="A328" s="239"/>
      <c r="B328" s="243"/>
      <c r="C328" s="456"/>
      <c r="D328" s="464"/>
      <c r="E328" s="464"/>
      <c r="F328" s="1340"/>
      <c r="G328" s="1282"/>
    </row>
    <row r="329" spans="1:7">
      <c r="A329" s="243" t="s">
        <v>2237</v>
      </c>
      <c r="B329" s="243" t="s">
        <v>2238</v>
      </c>
      <c r="C329" s="456" t="s">
        <v>2239</v>
      </c>
      <c r="D329" s="464" t="s">
        <v>818</v>
      </c>
      <c r="E329" s="464">
        <v>75</v>
      </c>
      <c r="F329" s="1340"/>
      <c r="G329" s="1282"/>
    </row>
    <row r="330" spans="1:7">
      <c r="A330" s="239"/>
      <c r="B330" s="453"/>
      <c r="C330" s="456"/>
      <c r="D330" s="453"/>
      <c r="E330" s="455"/>
      <c r="F330" s="1332"/>
      <c r="G330" s="1170"/>
    </row>
    <row r="331" spans="1:7">
      <c r="A331" s="243" t="s">
        <v>2240</v>
      </c>
      <c r="B331" s="453" t="s">
        <v>2241</v>
      </c>
      <c r="C331" s="456" t="s">
        <v>2242</v>
      </c>
      <c r="D331" s="453" t="s">
        <v>70</v>
      </c>
      <c r="E331" s="455">
        <v>12</v>
      </c>
      <c r="F331" s="1332"/>
      <c r="G331" s="1170"/>
    </row>
    <row r="332" spans="1:7">
      <c r="A332" s="239"/>
      <c r="B332" s="453"/>
      <c r="C332" s="456"/>
      <c r="D332" s="453"/>
      <c r="E332" s="455"/>
      <c r="F332" s="1332"/>
      <c r="G332" s="1170"/>
    </row>
    <row r="333" spans="1:7">
      <c r="A333" s="243" t="s">
        <v>2243</v>
      </c>
      <c r="B333" s="453" t="s">
        <v>2244</v>
      </c>
      <c r="C333" s="476" t="s">
        <v>2245</v>
      </c>
      <c r="D333" s="453" t="s">
        <v>70</v>
      </c>
      <c r="E333" s="455">
        <v>220</v>
      </c>
      <c r="F333" s="1332"/>
      <c r="G333" s="1170"/>
    </row>
    <row r="334" spans="1:7">
      <c r="A334" s="239"/>
      <c r="B334" s="453"/>
      <c r="C334" s="456"/>
      <c r="D334" s="453"/>
      <c r="E334" s="455"/>
      <c r="F334" s="1332"/>
      <c r="G334" s="1170"/>
    </row>
    <row r="335" spans="1:7">
      <c r="A335" s="243" t="s">
        <v>2246</v>
      </c>
      <c r="B335" s="453" t="s">
        <v>2247</v>
      </c>
      <c r="C335" s="456" t="s">
        <v>2248</v>
      </c>
      <c r="D335" s="453" t="s">
        <v>335</v>
      </c>
      <c r="E335" s="455">
        <v>1</v>
      </c>
      <c r="F335" s="1332"/>
      <c r="G335" s="1170"/>
    </row>
    <row r="336" spans="1:7">
      <c r="A336" s="239"/>
      <c r="B336" s="453"/>
      <c r="C336" s="456"/>
      <c r="D336" s="453"/>
      <c r="E336" s="455"/>
      <c r="F336" s="1332"/>
      <c r="G336" s="1170"/>
    </row>
    <row r="337" spans="1:7">
      <c r="A337" s="243" t="s">
        <v>2249</v>
      </c>
      <c r="B337" s="453" t="s">
        <v>2250</v>
      </c>
      <c r="C337" s="456" t="s">
        <v>2251</v>
      </c>
      <c r="D337" s="453" t="s">
        <v>335</v>
      </c>
      <c r="E337" s="455">
        <v>1</v>
      </c>
      <c r="F337" s="1332"/>
      <c r="G337" s="1170"/>
    </row>
    <row r="338" spans="1:7">
      <c r="A338" s="239"/>
      <c r="B338" s="453"/>
      <c r="C338" s="456"/>
      <c r="D338" s="453"/>
      <c r="E338" s="455"/>
      <c r="F338" s="1332"/>
      <c r="G338" s="1170"/>
    </row>
    <row r="339" spans="1:7">
      <c r="A339" s="243" t="s">
        <v>2252</v>
      </c>
      <c r="B339" s="453"/>
      <c r="C339" s="456" t="s">
        <v>2253</v>
      </c>
      <c r="D339" s="453" t="s">
        <v>70</v>
      </c>
      <c r="E339" s="455">
        <v>1</v>
      </c>
      <c r="F339" s="1332"/>
      <c r="G339" s="1170"/>
    </row>
    <row r="340" spans="1:7">
      <c r="A340" s="239"/>
      <c r="B340" s="453"/>
      <c r="C340" s="456"/>
      <c r="D340" s="453"/>
      <c r="E340" s="455"/>
      <c r="F340" s="1332"/>
      <c r="G340" s="1170"/>
    </row>
    <row r="341" spans="1:7">
      <c r="A341" s="243" t="s">
        <v>2254</v>
      </c>
      <c r="B341" s="453"/>
      <c r="C341" s="456" t="s">
        <v>2255</v>
      </c>
      <c r="D341" s="453" t="s">
        <v>70</v>
      </c>
      <c r="E341" s="455">
        <v>5</v>
      </c>
      <c r="F341" s="1332"/>
      <c r="G341" s="1170"/>
    </row>
    <row r="342" spans="1:7">
      <c r="A342" s="243"/>
      <c r="B342" s="453"/>
      <c r="C342" s="456"/>
      <c r="D342" s="453"/>
      <c r="E342" s="455"/>
      <c r="F342" s="1332"/>
      <c r="G342" s="1170"/>
    </row>
    <row r="343" spans="1:7" ht="63.75">
      <c r="A343" s="239">
        <v>10.14</v>
      </c>
      <c r="B343" s="239" t="s">
        <v>2256</v>
      </c>
      <c r="C343" s="452" t="s">
        <v>2220</v>
      </c>
      <c r="D343" s="547"/>
      <c r="E343" s="452"/>
      <c r="F343" s="1331"/>
      <c r="G343" s="1331"/>
    </row>
    <row r="344" spans="1:7">
      <c r="A344" s="243"/>
      <c r="B344" s="243"/>
      <c r="C344" s="454"/>
      <c r="D344" s="464"/>
      <c r="E344" s="465"/>
      <c r="F344" s="1340"/>
      <c r="G344" s="1282"/>
    </row>
    <row r="345" spans="1:7">
      <c r="A345" s="243" t="s">
        <v>2257</v>
      </c>
      <c r="B345" s="243" t="s">
        <v>2226</v>
      </c>
      <c r="C345" s="456" t="s">
        <v>2227</v>
      </c>
      <c r="D345" s="464" t="s">
        <v>818</v>
      </c>
      <c r="E345" s="464">
        <v>280</v>
      </c>
      <c r="F345" s="1340"/>
      <c r="G345" s="1282"/>
    </row>
    <row r="346" spans="1:7">
      <c r="A346" s="243"/>
      <c r="B346" s="243"/>
      <c r="C346" s="456"/>
      <c r="D346" s="464"/>
      <c r="E346" s="464"/>
      <c r="F346" s="1340"/>
      <c r="G346" s="1282"/>
    </row>
    <row r="347" spans="1:7">
      <c r="A347" s="243" t="s">
        <v>2258</v>
      </c>
      <c r="B347" s="243" t="s">
        <v>2229</v>
      </c>
      <c r="C347" s="456" t="s">
        <v>2230</v>
      </c>
      <c r="D347" s="464" t="s">
        <v>818</v>
      </c>
      <c r="E347" s="464">
        <v>300</v>
      </c>
      <c r="F347" s="1340"/>
      <c r="G347" s="1282"/>
    </row>
    <row r="348" spans="1:7">
      <c r="A348" s="243"/>
      <c r="B348" s="243"/>
      <c r="C348" s="456"/>
      <c r="D348" s="464"/>
      <c r="E348" s="464"/>
      <c r="F348" s="1340"/>
      <c r="G348" s="1282"/>
    </row>
    <row r="349" spans="1:7">
      <c r="A349" s="243" t="s">
        <v>2259</v>
      </c>
      <c r="B349" s="243" t="s">
        <v>2232</v>
      </c>
      <c r="C349" s="456" t="s">
        <v>2233</v>
      </c>
      <c r="D349" s="464" t="s">
        <v>818</v>
      </c>
      <c r="E349" s="464">
        <v>655</v>
      </c>
      <c r="F349" s="1340"/>
      <c r="G349" s="1282"/>
    </row>
    <row r="350" spans="1:7">
      <c r="A350" s="243"/>
      <c r="B350" s="243"/>
      <c r="C350" s="456"/>
      <c r="D350" s="464"/>
      <c r="E350" s="464"/>
      <c r="F350" s="1340"/>
      <c r="G350" s="1282"/>
    </row>
    <row r="351" spans="1:7">
      <c r="A351" s="243" t="s">
        <v>2260</v>
      </c>
      <c r="B351" s="243" t="s">
        <v>2235</v>
      </c>
      <c r="C351" s="456" t="s">
        <v>2236</v>
      </c>
      <c r="D351" s="464" t="s">
        <v>818</v>
      </c>
      <c r="E351" s="464">
        <v>265</v>
      </c>
      <c r="F351" s="1340"/>
      <c r="G351" s="1282"/>
    </row>
    <row r="352" spans="1:7">
      <c r="A352" s="243"/>
      <c r="B352" s="243"/>
      <c r="C352" s="456"/>
      <c r="D352" s="464"/>
      <c r="E352" s="464"/>
      <c r="F352" s="1340"/>
      <c r="G352" s="1282"/>
    </row>
    <row r="353" spans="1:7">
      <c r="A353" s="243" t="s">
        <v>2261</v>
      </c>
      <c r="B353" s="243" t="s">
        <v>2238</v>
      </c>
      <c r="C353" s="456" t="s">
        <v>2239</v>
      </c>
      <c r="D353" s="464" t="s">
        <v>818</v>
      </c>
      <c r="E353" s="464">
        <v>75</v>
      </c>
      <c r="F353" s="1340"/>
      <c r="G353" s="1282"/>
    </row>
    <row r="354" spans="1:7">
      <c r="A354" s="243"/>
      <c r="B354" s="1016"/>
      <c r="C354" s="456"/>
      <c r="D354" s="1092"/>
      <c r="E354" s="464"/>
      <c r="F354" s="1340"/>
      <c r="G354" s="1282"/>
    </row>
    <row r="355" spans="1:7">
      <c r="A355" s="243"/>
      <c r="B355" s="1016"/>
      <c r="C355" s="456"/>
      <c r="D355" s="1092"/>
      <c r="E355" s="464"/>
      <c r="F355" s="1340"/>
      <c r="G355" s="1282"/>
    </row>
    <row r="356" spans="1:7">
      <c r="A356" s="243"/>
      <c r="B356" s="1016"/>
      <c r="C356" s="456"/>
      <c r="D356" s="1092"/>
      <c r="E356" s="464"/>
      <c r="F356" s="1340"/>
      <c r="G356" s="1282"/>
    </row>
    <row r="357" spans="1:7">
      <c r="A357" s="243"/>
      <c r="B357" s="1016"/>
      <c r="C357" s="456"/>
      <c r="D357" s="1092"/>
      <c r="E357" s="464"/>
      <c r="F357" s="1340"/>
      <c r="G357" s="1282"/>
    </row>
    <row r="358" spans="1:7">
      <c r="A358" s="1570" t="s">
        <v>96</v>
      </c>
      <c r="B358" s="1571"/>
      <c r="C358" s="1571"/>
      <c r="D358" s="1571"/>
      <c r="E358" s="1571"/>
      <c r="F358" s="1514"/>
      <c r="G358" s="1514"/>
    </row>
    <row r="359" spans="1:7">
      <c r="A359" s="1572"/>
      <c r="B359" s="1573"/>
      <c r="C359" s="1573"/>
      <c r="D359" s="1573"/>
      <c r="E359" s="1573"/>
      <c r="F359" s="1514"/>
      <c r="G359" s="1514"/>
    </row>
    <row r="360" spans="1:7">
      <c r="A360" s="578"/>
      <c r="B360" s="460"/>
      <c r="C360" s="332" t="s">
        <v>220</v>
      </c>
      <c r="D360" s="369"/>
      <c r="E360" s="370"/>
      <c r="F360" s="1183"/>
      <c r="G360" s="1337"/>
    </row>
    <row r="361" spans="1:7">
      <c r="A361" s="492"/>
      <c r="B361" s="477"/>
      <c r="C361" s="478"/>
      <c r="D361" s="479"/>
      <c r="E361" s="480"/>
      <c r="F361" s="1340"/>
      <c r="G361" s="1170"/>
    </row>
    <row r="362" spans="1:7">
      <c r="A362" s="492"/>
      <c r="B362" s="477" t="s">
        <v>2262</v>
      </c>
      <c r="C362" s="478" t="s">
        <v>2263</v>
      </c>
      <c r="D362" s="479"/>
      <c r="E362" s="480"/>
      <c r="F362" s="1340"/>
      <c r="G362" s="1170"/>
    </row>
    <row r="363" spans="1:7">
      <c r="A363" s="492"/>
      <c r="B363" s="481"/>
      <c r="C363" s="482"/>
      <c r="D363" s="479"/>
      <c r="E363" s="480"/>
      <c r="F363" s="1340"/>
      <c r="G363" s="1170"/>
    </row>
    <row r="364" spans="1:7" ht="51">
      <c r="A364" s="579">
        <v>10.15</v>
      </c>
      <c r="B364" s="481"/>
      <c r="C364" s="454" t="s">
        <v>2264</v>
      </c>
      <c r="D364" s="995"/>
      <c r="E364" s="454"/>
      <c r="F364" s="1331"/>
      <c r="G364" s="1331"/>
    </row>
    <row r="365" spans="1:7">
      <c r="A365" s="492"/>
      <c r="B365" s="375"/>
      <c r="C365" s="483"/>
      <c r="D365" s="479"/>
      <c r="E365" s="480"/>
      <c r="F365" s="1340"/>
      <c r="G365" s="1170"/>
    </row>
    <row r="366" spans="1:7">
      <c r="A366" s="366" t="s">
        <v>2265</v>
      </c>
      <c r="B366" s="484" t="s">
        <v>2266</v>
      </c>
      <c r="C366" s="290" t="s">
        <v>2267</v>
      </c>
      <c r="D366" s="453" t="s">
        <v>70</v>
      </c>
      <c r="E366" s="485">
        <v>2</v>
      </c>
      <c r="F366" s="1332"/>
      <c r="G366" s="1170"/>
    </row>
    <row r="367" spans="1:7">
      <c r="A367" s="492"/>
      <c r="B367" s="484"/>
      <c r="C367" s="486"/>
      <c r="D367" s="484"/>
      <c r="E367" s="485"/>
      <c r="F367" s="1332"/>
      <c r="G367" s="1170"/>
    </row>
    <row r="368" spans="1:7" ht="25.5">
      <c r="A368" s="366" t="s">
        <v>2268</v>
      </c>
      <c r="B368" s="484" t="s">
        <v>2266</v>
      </c>
      <c r="C368" s="487" t="s">
        <v>2269</v>
      </c>
      <c r="D368" s="453" t="s">
        <v>70</v>
      </c>
      <c r="E368" s="485">
        <v>2</v>
      </c>
      <c r="F368" s="1332"/>
      <c r="G368" s="1170"/>
    </row>
    <row r="369" spans="1:7">
      <c r="A369" s="366"/>
      <c r="B369" s="484"/>
      <c r="C369" s="487"/>
      <c r="D369" s="453"/>
      <c r="E369" s="485"/>
      <c r="F369" s="1332"/>
      <c r="G369" s="1170"/>
    </row>
    <row r="370" spans="1:7" ht="51">
      <c r="A370" s="418">
        <v>10.16</v>
      </c>
      <c r="B370" s="484"/>
      <c r="C370" s="452" t="s">
        <v>2270</v>
      </c>
      <c r="D370" s="452"/>
      <c r="E370" s="452"/>
      <c r="F370" s="1331"/>
      <c r="G370" s="1331"/>
    </row>
    <row r="371" spans="1:7">
      <c r="A371" s="366"/>
      <c r="B371" s="484"/>
      <c r="C371" s="488"/>
      <c r="D371" s="484"/>
      <c r="E371" s="485"/>
      <c r="F371" s="1332"/>
      <c r="G371" s="1170"/>
    </row>
    <row r="372" spans="1:7">
      <c r="A372" s="366" t="s">
        <v>2271</v>
      </c>
      <c r="B372" s="484" t="s">
        <v>2266</v>
      </c>
      <c r="C372" s="290" t="s">
        <v>2272</v>
      </c>
      <c r="D372" s="453" t="s">
        <v>70</v>
      </c>
      <c r="E372" s="485">
        <v>2</v>
      </c>
      <c r="F372" s="1332"/>
      <c r="G372" s="1170"/>
    </row>
    <row r="373" spans="1:7">
      <c r="A373" s="366"/>
      <c r="B373" s="484"/>
      <c r="C373" s="486"/>
      <c r="D373" s="484"/>
      <c r="E373" s="485"/>
      <c r="F373" s="1332"/>
      <c r="G373" s="1170"/>
    </row>
    <row r="374" spans="1:7" ht="25.5">
      <c r="A374" s="366" t="s">
        <v>2273</v>
      </c>
      <c r="B374" s="484" t="s">
        <v>2266</v>
      </c>
      <c r="C374" s="487" t="s">
        <v>2274</v>
      </c>
      <c r="D374" s="453" t="s">
        <v>70</v>
      </c>
      <c r="E374" s="485">
        <v>2</v>
      </c>
      <c r="F374" s="1332"/>
      <c r="G374" s="1170"/>
    </row>
    <row r="375" spans="1:7">
      <c r="A375" s="366"/>
      <c r="B375" s="484"/>
      <c r="C375" s="489"/>
      <c r="D375" s="484"/>
      <c r="E375" s="485"/>
      <c r="F375" s="1332"/>
      <c r="G375" s="1170"/>
    </row>
    <row r="376" spans="1:7" ht="51">
      <c r="A376" s="418">
        <v>10.17</v>
      </c>
      <c r="B376" s="484"/>
      <c r="C376" s="452" t="s">
        <v>2275</v>
      </c>
      <c r="D376" s="547"/>
      <c r="E376" s="452"/>
      <c r="F376" s="1331"/>
      <c r="G376" s="1331"/>
    </row>
    <row r="377" spans="1:7">
      <c r="A377" s="366"/>
      <c r="B377" s="484"/>
      <c r="C377" s="290"/>
      <c r="D377" s="484"/>
      <c r="E377" s="485"/>
      <c r="F377" s="1164"/>
      <c r="G377" s="1170"/>
    </row>
    <row r="378" spans="1:7">
      <c r="A378" s="366" t="s">
        <v>2276</v>
      </c>
      <c r="B378" s="484" t="s">
        <v>2266</v>
      </c>
      <c r="C378" s="487" t="s">
        <v>2277</v>
      </c>
      <c r="D378" s="453" t="s">
        <v>70</v>
      </c>
      <c r="E378" s="485">
        <v>2</v>
      </c>
      <c r="F378" s="1164"/>
      <c r="G378" s="1170"/>
    </row>
    <row r="379" spans="1:7">
      <c r="A379" s="366"/>
      <c r="B379" s="484"/>
      <c r="C379" s="487"/>
      <c r="D379" s="453"/>
      <c r="E379" s="485"/>
      <c r="F379" s="1164"/>
      <c r="G379" s="1170"/>
    </row>
    <row r="380" spans="1:7" ht="25.5">
      <c r="A380" s="366" t="s">
        <v>2278</v>
      </c>
      <c r="B380" s="484" t="s">
        <v>2266</v>
      </c>
      <c r="C380" s="487" t="s">
        <v>2274</v>
      </c>
      <c r="D380" s="453" t="s">
        <v>70</v>
      </c>
      <c r="E380" s="485">
        <v>2</v>
      </c>
      <c r="F380" s="1332"/>
      <c r="G380" s="1170"/>
    </row>
    <row r="381" spans="1:7">
      <c r="A381" s="541"/>
      <c r="B381" s="376"/>
      <c r="C381" s="413"/>
      <c r="D381" s="995"/>
      <c r="E381" s="454"/>
      <c r="F381" s="1331"/>
      <c r="G381" s="1331"/>
    </row>
    <row r="382" spans="1:7" ht="38.25">
      <c r="A382" s="418">
        <v>10.18</v>
      </c>
      <c r="B382" s="484"/>
      <c r="C382" s="454" t="s">
        <v>2279</v>
      </c>
      <c r="D382" s="995"/>
      <c r="E382" s="454"/>
      <c r="F382" s="1331"/>
      <c r="G382" s="1331"/>
    </row>
    <row r="383" spans="1:7">
      <c r="A383" s="366"/>
      <c r="B383" s="484"/>
      <c r="C383" s="486"/>
      <c r="D383" s="484"/>
      <c r="E383" s="485"/>
      <c r="F383" s="1164"/>
      <c r="G383" s="1170"/>
    </row>
    <row r="384" spans="1:7">
      <c r="A384" s="366" t="s">
        <v>2280</v>
      </c>
      <c r="B384" s="484" t="s">
        <v>2266</v>
      </c>
      <c r="C384" s="290" t="s">
        <v>2281</v>
      </c>
      <c r="D384" s="453" t="s">
        <v>70</v>
      </c>
      <c r="E384" s="485">
        <v>2</v>
      </c>
      <c r="F384" s="1332"/>
      <c r="G384" s="1170"/>
    </row>
    <row r="385" spans="1:7">
      <c r="A385" s="366"/>
      <c r="B385" s="375"/>
      <c r="C385" s="290"/>
      <c r="D385" s="479"/>
      <c r="E385" s="480"/>
      <c r="F385" s="1340"/>
      <c r="G385" s="1170"/>
    </row>
    <row r="386" spans="1:7" ht="25.5">
      <c r="A386" s="366" t="s">
        <v>2282</v>
      </c>
      <c r="B386" s="484" t="s">
        <v>2266</v>
      </c>
      <c r="C386" s="487" t="s">
        <v>2274</v>
      </c>
      <c r="D386" s="453" t="s">
        <v>70</v>
      </c>
      <c r="E386" s="485">
        <v>2</v>
      </c>
      <c r="F386" s="1332"/>
      <c r="G386" s="1170"/>
    </row>
    <row r="387" spans="1:7">
      <c r="A387" s="243"/>
      <c r="B387" s="1003"/>
      <c r="C387" s="476"/>
      <c r="D387" s="459"/>
      <c r="E387" s="455"/>
      <c r="F387" s="1332"/>
      <c r="G387" s="1170"/>
    </row>
    <row r="388" spans="1:7">
      <c r="A388" s="239">
        <v>10.19</v>
      </c>
      <c r="B388" s="242"/>
      <c r="C388" s="463" t="s">
        <v>2283</v>
      </c>
      <c r="D388" s="464"/>
      <c r="E388" s="465"/>
      <c r="F388" s="1340"/>
      <c r="G388" s="1282"/>
    </row>
    <row r="389" spans="1:7">
      <c r="A389" s="239"/>
      <c r="B389" s="242"/>
      <c r="C389" s="466"/>
      <c r="D389" s="464"/>
      <c r="E389" s="465"/>
      <c r="F389" s="1340"/>
      <c r="G389" s="1282"/>
    </row>
    <row r="390" spans="1:7" ht="38.25">
      <c r="A390" s="239"/>
      <c r="B390" s="242"/>
      <c r="C390" s="452" t="s">
        <v>2145</v>
      </c>
      <c r="D390" s="452"/>
      <c r="E390" s="452"/>
      <c r="F390" s="1331"/>
      <c r="G390" s="1331"/>
    </row>
    <row r="391" spans="1:7">
      <c r="A391" s="239"/>
      <c r="B391" s="467"/>
      <c r="C391" s="454"/>
      <c r="D391" s="464"/>
      <c r="E391" s="465"/>
      <c r="F391" s="1340"/>
      <c r="G391" s="1282"/>
    </row>
    <row r="392" spans="1:7">
      <c r="A392" s="243" t="s">
        <v>2284</v>
      </c>
      <c r="B392" s="453"/>
      <c r="C392" s="456" t="s">
        <v>2285</v>
      </c>
      <c r="D392" s="461" t="s">
        <v>357</v>
      </c>
      <c r="E392" s="455" t="s">
        <v>2286</v>
      </c>
      <c r="F392" s="1411">
        <v>350000</v>
      </c>
      <c r="G392" s="1411">
        <v>350000</v>
      </c>
    </row>
    <row r="393" spans="1:7">
      <c r="A393" s="239"/>
      <c r="B393" s="453"/>
      <c r="C393" s="456"/>
      <c r="D393" s="453"/>
      <c r="E393" s="455"/>
      <c r="F393" s="1332"/>
      <c r="G393" s="1175"/>
    </row>
    <row r="394" spans="1:7">
      <c r="A394" s="243" t="s">
        <v>2287</v>
      </c>
      <c r="B394" s="453"/>
      <c r="C394" s="456" t="s">
        <v>2288</v>
      </c>
      <c r="D394" s="453" t="s">
        <v>362</v>
      </c>
      <c r="E394" s="1029">
        <f>F392</f>
        <v>350000</v>
      </c>
      <c r="F394" s="1341"/>
      <c r="G394" s="1175"/>
    </row>
    <row r="395" spans="1:7">
      <c r="A395" s="239"/>
      <c r="B395" s="453"/>
      <c r="C395" s="487"/>
      <c r="D395" s="453"/>
      <c r="E395" s="455"/>
      <c r="F395" s="1332"/>
      <c r="G395" s="1175"/>
    </row>
    <row r="396" spans="1:7">
      <c r="A396" s="243" t="s">
        <v>2289</v>
      </c>
      <c r="B396" s="453"/>
      <c r="C396" s="456" t="s">
        <v>2290</v>
      </c>
      <c r="D396" s="461" t="s">
        <v>357</v>
      </c>
      <c r="E396" s="455">
        <v>1</v>
      </c>
      <c r="F396" s="1445">
        <v>2000000</v>
      </c>
      <c r="G396" s="1371">
        <v>2000000</v>
      </c>
    </row>
    <row r="397" spans="1:7">
      <c r="A397" s="239"/>
      <c r="B397" s="453"/>
      <c r="C397" s="456"/>
      <c r="D397" s="453"/>
      <c r="E397" s="455"/>
      <c r="F397" s="1332"/>
      <c r="G397" s="1175"/>
    </row>
    <row r="398" spans="1:7">
      <c r="A398" s="243" t="s">
        <v>2291</v>
      </c>
      <c r="B398" s="453"/>
      <c r="C398" s="456" t="s">
        <v>2292</v>
      </c>
      <c r="D398" s="453" t="s">
        <v>362</v>
      </c>
      <c r="E398" s="1029">
        <f>F396</f>
        <v>2000000</v>
      </c>
      <c r="F398" s="1341"/>
      <c r="G398" s="1175"/>
    </row>
    <row r="399" spans="1:7">
      <c r="A399" s="239"/>
      <c r="B399" s="484"/>
      <c r="C399" s="487"/>
      <c r="D399" s="453"/>
      <c r="E399" s="485"/>
      <c r="F399" s="1332"/>
      <c r="G399" s="1170"/>
    </row>
    <row r="400" spans="1:7">
      <c r="A400" s="241"/>
      <c r="B400" s="453"/>
      <c r="C400" s="454" t="s">
        <v>2293</v>
      </c>
      <c r="D400" s="461"/>
      <c r="E400" s="455"/>
      <c r="F400" s="1332"/>
      <c r="G400" s="1170"/>
    </row>
    <row r="401" spans="1:7">
      <c r="A401" s="243"/>
      <c r="B401" s="453"/>
      <c r="C401" s="456"/>
      <c r="D401" s="453"/>
      <c r="E401" s="455"/>
      <c r="F401" s="1332"/>
      <c r="G401" s="1170"/>
    </row>
    <row r="402" spans="1:7" ht="38.25">
      <c r="A402" s="252" t="s">
        <v>2294</v>
      </c>
      <c r="B402" s="453"/>
      <c r="C402" s="454" t="s">
        <v>2295</v>
      </c>
      <c r="D402" s="453"/>
      <c r="E402" s="455"/>
      <c r="F402" s="1332"/>
      <c r="G402" s="1170"/>
    </row>
    <row r="403" spans="1:7">
      <c r="A403" s="243"/>
      <c r="B403" s="1003"/>
      <c r="C403" s="456"/>
      <c r="D403" s="459"/>
      <c r="E403" s="455"/>
      <c r="F403" s="1332"/>
      <c r="G403" s="1170"/>
    </row>
    <row r="404" spans="1:7">
      <c r="A404" s="243" t="s">
        <v>2296</v>
      </c>
      <c r="B404" s="1003"/>
      <c r="C404" s="456" t="s">
        <v>2297</v>
      </c>
      <c r="D404" s="461" t="s">
        <v>357</v>
      </c>
      <c r="E404" s="455">
        <v>1</v>
      </c>
      <c r="F404" s="1411">
        <v>55000</v>
      </c>
      <c r="G404" s="1411">
        <v>55000</v>
      </c>
    </row>
    <row r="405" spans="1:7">
      <c r="A405" s="243"/>
      <c r="B405" s="1003"/>
      <c r="C405" s="456"/>
      <c r="D405" s="459"/>
      <c r="E405" s="455"/>
      <c r="F405" s="1332"/>
      <c r="G405" s="1170"/>
    </row>
    <row r="406" spans="1:7">
      <c r="A406" s="243" t="s">
        <v>2298</v>
      </c>
      <c r="B406" s="1003"/>
      <c r="C406" s="456" t="s">
        <v>2299</v>
      </c>
      <c r="D406" s="459" t="s">
        <v>362</v>
      </c>
      <c r="E406" s="1029">
        <f>F404</f>
        <v>55000</v>
      </c>
      <c r="F406" s="1341"/>
      <c r="G406" s="1175"/>
    </row>
    <row r="407" spans="1:7">
      <c r="A407" s="243"/>
      <c r="B407" s="1003"/>
      <c r="C407" s="456"/>
      <c r="D407" s="459"/>
      <c r="E407" s="455"/>
      <c r="F407" s="1332"/>
      <c r="G407" s="1170"/>
    </row>
    <row r="408" spans="1:7">
      <c r="A408" s="243" t="s">
        <v>2300</v>
      </c>
      <c r="B408" s="1003"/>
      <c r="C408" s="456" t="s">
        <v>2301</v>
      </c>
      <c r="D408" s="461" t="s">
        <v>357</v>
      </c>
      <c r="E408" s="455">
        <v>1</v>
      </c>
      <c r="F408" s="1411">
        <v>75000</v>
      </c>
      <c r="G408" s="1411">
        <v>75000</v>
      </c>
    </row>
    <row r="409" spans="1:7">
      <c r="A409" s="243"/>
      <c r="B409" s="1003"/>
      <c r="C409" s="456"/>
      <c r="D409" s="459"/>
      <c r="E409" s="455"/>
      <c r="F409" s="1332"/>
      <c r="G409" s="1170"/>
    </row>
    <row r="410" spans="1:7">
      <c r="A410" s="243" t="s">
        <v>2302</v>
      </c>
      <c r="B410" s="1003"/>
      <c r="C410" s="456" t="s">
        <v>2303</v>
      </c>
      <c r="D410" s="459" t="s">
        <v>362</v>
      </c>
      <c r="E410" s="1029">
        <f>F408</f>
        <v>75000</v>
      </c>
      <c r="F410" s="1341"/>
      <c r="G410" s="1175"/>
    </row>
    <row r="411" spans="1:7">
      <c r="A411" s="366"/>
      <c r="B411" s="375"/>
      <c r="C411" s="456"/>
      <c r="D411" s="459"/>
      <c r="E411" s="455"/>
      <c r="F411" s="1340"/>
      <c r="G411" s="1170"/>
    </row>
    <row r="412" spans="1:7">
      <c r="A412" s="712"/>
      <c r="B412" s="453"/>
      <c r="C412" s="454" t="s">
        <v>2304</v>
      </c>
      <c r="D412" s="461"/>
      <c r="E412" s="455"/>
      <c r="F412" s="1332"/>
      <c r="G412" s="1170"/>
    </row>
    <row r="413" spans="1:7">
      <c r="A413" s="243"/>
      <c r="B413" s="453"/>
      <c r="C413" s="456"/>
      <c r="D413" s="453"/>
      <c r="E413" s="455"/>
      <c r="F413" s="1332"/>
      <c r="G413" s="1170"/>
    </row>
    <row r="414" spans="1:7" ht="38.25">
      <c r="A414" s="241">
        <v>10.210000000000001</v>
      </c>
      <c r="B414" s="1027" t="s">
        <v>2305</v>
      </c>
      <c r="C414" s="454" t="s">
        <v>2295</v>
      </c>
      <c r="D414" s="453"/>
      <c r="E414" s="455"/>
      <c r="F414" s="1332"/>
      <c r="G414" s="1170"/>
    </row>
    <row r="415" spans="1:7">
      <c r="A415" s="243"/>
      <c r="B415" s="1003"/>
      <c r="C415" s="456"/>
      <c r="D415" s="459"/>
      <c r="E415" s="455"/>
      <c r="F415" s="1332"/>
      <c r="G415" s="1170"/>
    </row>
    <row r="416" spans="1:7">
      <c r="A416" s="243" t="s">
        <v>2306</v>
      </c>
      <c r="B416" s="1003" t="s">
        <v>2307</v>
      </c>
      <c r="C416" s="456" t="s">
        <v>2308</v>
      </c>
      <c r="D416" s="461" t="s">
        <v>1319</v>
      </c>
      <c r="E416" s="455">
        <v>1</v>
      </c>
      <c r="F416" s="1332"/>
      <c r="G416" s="1170"/>
    </row>
    <row r="417" spans="1:7">
      <c r="A417" s="243"/>
      <c r="B417" s="1003"/>
      <c r="C417" s="456"/>
      <c r="D417" s="1048"/>
      <c r="E417" s="455"/>
      <c r="F417" s="1332"/>
      <c r="G417" s="1170"/>
    </row>
    <row r="418" spans="1:7">
      <c r="A418" s="243"/>
      <c r="B418" s="1003"/>
      <c r="C418" s="456"/>
      <c r="D418" s="1048"/>
      <c r="E418" s="455"/>
      <c r="F418" s="1332"/>
      <c r="G418" s="1170"/>
    </row>
    <row r="419" spans="1:7">
      <c r="A419" s="243"/>
      <c r="B419" s="1003"/>
      <c r="C419" s="456"/>
      <c r="D419" s="1048"/>
      <c r="E419" s="455"/>
      <c r="F419" s="1332"/>
      <c r="G419" s="1170"/>
    </row>
    <row r="420" spans="1:7">
      <c r="A420" s="1570" t="s">
        <v>96</v>
      </c>
      <c r="B420" s="1571"/>
      <c r="C420" s="1571"/>
      <c r="D420" s="1571"/>
      <c r="E420" s="1571"/>
      <c r="F420" s="1514"/>
      <c r="G420" s="1514"/>
    </row>
    <row r="421" spans="1:7">
      <c r="A421" s="1572"/>
      <c r="B421" s="1573"/>
      <c r="C421" s="1573"/>
      <c r="D421" s="1573"/>
      <c r="E421" s="1573"/>
      <c r="F421" s="1514"/>
      <c r="G421" s="1514"/>
    </row>
    <row r="422" spans="1:7">
      <c r="A422" s="578"/>
      <c r="B422" s="460"/>
      <c r="C422" s="332" t="s">
        <v>220</v>
      </c>
      <c r="D422" s="369"/>
      <c r="E422" s="370"/>
      <c r="F422" s="1183"/>
      <c r="G422" s="1337"/>
    </row>
    <row r="423" spans="1:7">
      <c r="A423" s="492"/>
      <c r="B423" s="477"/>
      <c r="C423" s="478"/>
      <c r="D423" s="479"/>
      <c r="E423" s="480"/>
      <c r="F423" s="1340"/>
      <c r="G423" s="1170"/>
    </row>
    <row r="424" spans="1:7">
      <c r="A424" s="243" t="s">
        <v>2309</v>
      </c>
      <c r="B424" s="1003" t="s">
        <v>2307</v>
      </c>
      <c r="C424" s="456" t="s">
        <v>2310</v>
      </c>
      <c r="D424" s="459" t="s">
        <v>1319</v>
      </c>
      <c r="E424" s="455">
        <v>1</v>
      </c>
      <c r="F424" s="1332"/>
      <c r="G424" s="1170"/>
    </row>
    <row r="425" spans="1:7">
      <c r="A425" s="243"/>
      <c r="B425" s="1003"/>
      <c r="C425" s="456"/>
      <c r="D425" s="459"/>
      <c r="E425" s="455"/>
      <c r="F425" s="1332"/>
      <c r="G425" s="1170"/>
    </row>
    <row r="426" spans="1:7">
      <c r="A426" s="243" t="s">
        <v>2311</v>
      </c>
      <c r="B426" s="1003" t="s">
        <v>2312</v>
      </c>
      <c r="C426" s="456" t="s">
        <v>2313</v>
      </c>
      <c r="D426" s="461" t="s">
        <v>335</v>
      </c>
      <c r="E426" s="455">
        <v>1</v>
      </c>
      <c r="F426" s="1332"/>
      <c r="G426" s="1170"/>
    </row>
    <row r="427" spans="1:7">
      <c r="A427" s="243"/>
      <c r="B427" s="1003"/>
      <c r="C427" s="456"/>
      <c r="D427" s="459"/>
      <c r="E427" s="455"/>
      <c r="F427" s="1332"/>
      <c r="G427" s="1170"/>
    </row>
    <row r="428" spans="1:7" ht="38.25">
      <c r="A428" s="243" t="s">
        <v>2314</v>
      </c>
      <c r="B428" s="1003" t="s">
        <v>2307</v>
      </c>
      <c r="C428" s="456" t="s">
        <v>2315</v>
      </c>
      <c r="D428" s="459" t="s">
        <v>1319</v>
      </c>
      <c r="E428" s="455">
        <v>20</v>
      </c>
      <c r="F428" s="1341"/>
      <c r="G428" s="1170"/>
    </row>
    <row r="429" spans="1:7">
      <c r="A429" s="243"/>
      <c r="B429" s="453"/>
      <c r="C429" s="454"/>
      <c r="D429" s="461"/>
      <c r="E429" s="455"/>
      <c r="F429" s="1332"/>
      <c r="G429" s="1170"/>
    </row>
    <row r="430" spans="1:7">
      <c r="A430" s="243" t="s">
        <v>2316</v>
      </c>
      <c r="B430" s="1003" t="s">
        <v>2307</v>
      </c>
      <c r="C430" s="456" t="s">
        <v>2317</v>
      </c>
      <c r="D430" s="461" t="s">
        <v>357</v>
      </c>
      <c r="E430" s="455">
        <v>1</v>
      </c>
      <c r="F430" s="1444">
        <v>35000</v>
      </c>
      <c r="G430" s="1411">
        <v>35000</v>
      </c>
    </row>
    <row r="431" spans="1:7">
      <c r="A431" s="243"/>
      <c r="B431" s="453"/>
      <c r="C431" s="454"/>
      <c r="D431" s="453"/>
      <c r="E431" s="455"/>
      <c r="F431" s="1332"/>
      <c r="G431" s="1170"/>
    </row>
    <row r="432" spans="1:7">
      <c r="A432" s="243" t="s">
        <v>2318</v>
      </c>
      <c r="B432" s="1003" t="s">
        <v>2307</v>
      </c>
      <c r="C432" s="456" t="s">
        <v>2319</v>
      </c>
      <c r="D432" s="459" t="s">
        <v>335</v>
      </c>
      <c r="E432" s="455">
        <v>1</v>
      </c>
      <c r="F432" s="1332"/>
      <c r="G432" s="1170"/>
    </row>
    <row r="433" spans="1:7">
      <c r="A433" s="243"/>
      <c r="B433" s="1003"/>
      <c r="C433" s="456"/>
      <c r="D433" s="459"/>
      <c r="E433" s="455"/>
      <c r="F433" s="1332"/>
      <c r="G433" s="1170"/>
    </row>
    <row r="434" spans="1:7">
      <c r="A434" s="241">
        <v>10.220000000000001</v>
      </c>
      <c r="B434" s="1003"/>
      <c r="C434" s="454" t="s">
        <v>2320</v>
      </c>
      <c r="D434" s="461"/>
      <c r="E434" s="455"/>
      <c r="F434" s="1332"/>
      <c r="G434" s="1170"/>
    </row>
    <row r="435" spans="1:7">
      <c r="A435" s="243"/>
      <c r="B435" s="1003"/>
      <c r="C435" s="456"/>
      <c r="D435" s="459"/>
      <c r="E435" s="455"/>
      <c r="F435" s="1332"/>
      <c r="G435" s="1170"/>
    </row>
    <row r="436" spans="1:7" ht="38.25">
      <c r="A436" s="243" t="s">
        <v>2321</v>
      </c>
      <c r="B436" s="1003"/>
      <c r="C436" s="456" t="s">
        <v>2322</v>
      </c>
      <c r="D436" s="459" t="s">
        <v>335</v>
      </c>
      <c r="E436" s="455">
        <v>1</v>
      </c>
      <c r="F436" s="1341"/>
      <c r="G436" s="1175"/>
    </row>
    <row r="437" spans="1:7">
      <c r="A437" s="243"/>
      <c r="B437" s="1003"/>
      <c r="C437" s="456"/>
      <c r="D437" s="459"/>
      <c r="E437" s="455"/>
      <c r="F437" s="1332"/>
      <c r="G437" s="1170"/>
    </row>
    <row r="438" spans="1:7" ht="25.5">
      <c r="A438" s="243" t="s">
        <v>2323</v>
      </c>
      <c r="B438" s="1003"/>
      <c r="C438" s="456" t="s">
        <v>2324</v>
      </c>
      <c r="D438" s="459" t="s">
        <v>335</v>
      </c>
      <c r="E438" s="455">
        <v>1</v>
      </c>
      <c r="F438" s="1332"/>
      <c r="G438" s="1170"/>
    </row>
    <row r="439" spans="1:7">
      <c r="A439" s="243"/>
      <c r="B439" s="1003"/>
      <c r="C439" s="456"/>
      <c r="D439" s="459"/>
      <c r="E439" s="455"/>
      <c r="F439" s="1332"/>
      <c r="G439" s="1170"/>
    </row>
    <row r="440" spans="1:7">
      <c r="A440" s="243"/>
      <c r="B440" s="1003"/>
      <c r="C440" s="456"/>
      <c r="D440" s="461"/>
      <c r="E440" s="455"/>
      <c r="F440" s="1332"/>
      <c r="G440" s="1170"/>
    </row>
    <row r="441" spans="1:7">
      <c r="A441" s="243"/>
      <c r="B441" s="1003"/>
      <c r="C441" s="456"/>
      <c r="D441" s="459"/>
      <c r="E441" s="455"/>
      <c r="F441" s="1332"/>
      <c r="G441" s="1170"/>
    </row>
    <row r="442" spans="1:7">
      <c r="A442" s="243"/>
      <c r="B442" s="1003"/>
      <c r="C442" s="456"/>
      <c r="D442" s="459"/>
      <c r="E442" s="455"/>
      <c r="F442" s="1341"/>
      <c r="G442" s="1175"/>
    </row>
    <row r="443" spans="1:7">
      <c r="A443" s="243"/>
      <c r="B443" s="1003"/>
      <c r="C443" s="456"/>
      <c r="D443" s="461"/>
      <c r="E443" s="455"/>
      <c r="F443" s="1332"/>
      <c r="G443" s="1170"/>
    </row>
    <row r="444" spans="1:7">
      <c r="A444" s="243"/>
      <c r="B444" s="1003"/>
      <c r="C444" s="456"/>
      <c r="D444" s="459"/>
      <c r="E444" s="455"/>
      <c r="F444" s="1332"/>
      <c r="G444" s="1170"/>
    </row>
    <row r="445" spans="1:7">
      <c r="A445" s="243"/>
      <c r="B445" s="1003"/>
      <c r="C445" s="456"/>
      <c r="D445" s="459"/>
      <c r="E445" s="455"/>
      <c r="F445" s="1341"/>
      <c r="G445" s="1175"/>
    </row>
    <row r="446" spans="1:7">
      <c r="A446" s="243"/>
      <c r="B446" s="1003"/>
      <c r="C446" s="456"/>
      <c r="D446" s="459"/>
      <c r="E446" s="455"/>
      <c r="F446" s="1332"/>
      <c r="G446" s="1170"/>
    </row>
    <row r="447" spans="1:7">
      <c r="A447" s="243"/>
      <c r="B447" s="1003"/>
      <c r="C447" s="456"/>
      <c r="D447" s="459"/>
      <c r="E447" s="455"/>
      <c r="F447" s="1332"/>
      <c r="G447" s="1170"/>
    </row>
    <row r="448" spans="1:7">
      <c r="A448" s="243"/>
      <c r="B448" s="1003"/>
      <c r="C448" s="456"/>
      <c r="D448" s="459"/>
      <c r="E448" s="455"/>
      <c r="F448" s="1332"/>
      <c r="G448" s="1170"/>
    </row>
    <row r="449" spans="1:7">
      <c r="A449" s="243"/>
      <c r="B449" s="1003"/>
      <c r="C449" s="456"/>
      <c r="D449" s="461"/>
      <c r="E449" s="455"/>
      <c r="F449" s="1332"/>
      <c r="G449" s="1170"/>
    </row>
    <row r="450" spans="1:7">
      <c r="A450" s="243"/>
      <c r="B450" s="1003"/>
      <c r="C450" s="456"/>
      <c r="D450" s="459"/>
      <c r="E450" s="455"/>
      <c r="F450" s="1332"/>
      <c r="G450" s="1170"/>
    </row>
    <row r="451" spans="1:7">
      <c r="A451" s="243"/>
      <c r="B451" s="1003"/>
      <c r="C451" s="456"/>
      <c r="D451" s="459"/>
      <c r="E451" s="455"/>
      <c r="F451" s="1341"/>
      <c r="G451" s="1175"/>
    </row>
    <row r="452" spans="1:7">
      <c r="A452" s="243"/>
      <c r="B452" s="1003"/>
      <c r="C452" s="456"/>
      <c r="D452" s="461"/>
      <c r="E452" s="455"/>
      <c r="F452" s="1332"/>
      <c r="G452" s="1170"/>
    </row>
    <row r="453" spans="1:7">
      <c r="A453" s="243"/>
      <c r="B453" s="1003"/>
      <c r="C453" s="456"/>
      <c r="D453" s="459"/>
      <c r="E453" s="455"/>
      <c r="F453" s="1332"/>
      <c r="G453" s="1170"/>
    </row>
    <row r="454" spans="1:7">
      <c r="A454" s="243"/>
      <c r="B454" s="1003"/>
      <c r="C454" s="456"/>
      <c r="D454" s="459"/>
      <c r="E454" s="455"/>
      <c r="F454" s="1341"/>
      <c r="G454" s="1175"/>
    </row>
    <row r="455" spans="1:7">
      <c r="A455" s="243"/>
      <c r="B455" s="1003"/>
      <c r="C455" s="456"/>
      <c r="D455" s="459"/>
      <c r="E455" s="455"/>
      <c r="F455" s="1332"/>
      <c r="G455" s="1170"/>
    </row>
    <row r="456" spans="1:7">
      <c r="A456" s="243"/>
      <c r="B456" s="1003"/>
      <c r="C456" s="456"/>
      <c r="D456" s="459"/>
      <c r="E456" s="455"/>
      <c r="F456" s="1332"/>
      <c r="G456" s="1170"/>
    </row>
    <row r="457" spans="1:7">
      <c r="A457" s="243"/>
      <c r="B457" s="1003"/>
      <c r="C457" s="456"/>
      <c r="D457" s="459"/>
      <c r="E457" s="455"/>
      <c r="F457" s="1332"/>
      <c r="G457" s="1170"/>
    </row>
    <row r="458" spans="1:7">
      <c r="A458" s="243"/>
      <c r="B458" s="1003"/>
      <c r="C458" s="456"/>
      <c r="D458" s="459"/>
      <c r="E458" s="455"/>
      <c r="F458" s="1332"/>
      <c r="G458" s="1170"/>
    </row>
    <row r="459" spans="1:7">
      <c r="A459" s="243"/>
      <c r="B459" s="1003"/>
      <c r="C459" s="456"/>
      <c r="D459" s="461"/>
      <c r="E459" s="455"/>
      <c r="F459" s="1332"/>
      <c r="G459" s="1170"/>
    </row>
    <row r="460" spans="1:7">
      <c r="A460" s="243"/>
      <c r="B460" s="1003"/>
      <c r="C460" s="456"/>
      <c r="D460" s="459"/>
      <c r="E460" s="455"/>
      <c r="F460" s="1332"/>
      <c r="G460" s="1170"/>
    </row>
    <row r="461" spans="1:7">
      <c r="A461" s="243"/>
      <c r="B461" s="1003"/>
      <c r="C461" s="456"/>
      <c r="D461" s="459"/>
      <c r="E461" s="455"/>
      <c r="F461" s="1341"/>
      <c r="G461" s="1175"/>
    </row>
    <row r="462" spans="1:7">
      <c r="A462" s="243"/>
      <c r="B462" s="1003"/>
      <c r="C462" s="456"/>
      <c r="D462" s="461"/>
      <c r="E462" s="455"/>
      <c r="F462" s="1332"/>
      <c r="G462" s="1170"/>
    </row>
    <row r="463" spans="1:7">
      <c r="A463" s="243"/>
      <c r="B463" s="1003"/>
      <c r="C463" s="456"/>
      <c r="D463" s="459"/>
      <c r="E463" s="455"/>
      <c r="F463" s="1332"/>
      <c r="G463" s="1170"/>
    </row>
    <row r="464" spans="1:7">
      <c r="A464" s="243"/>
      <c r="B464" s="1003"/>
      <c r="C464" s="456"/>
      <c r="D464" s="459"/>
      <c r="E464" s="455"/>
      <c r="F464" s="1341"/>
      <c r="G464" s="1175"/>
    </row>
    <row r="465" spans="1:7">
      <c r="A465" s="243"/>
      <c r="B465" s="1003"/>
      <c r="C465" s="456"/>
      <c r="D465" s="459"/>
      <c r="E465" s="455"/>
      <c r="F465" s="1332"/>
      <c r="G465" s="1170"/>
    </row>
    <row r="466" spans="1:7">
      <c r="A466" s="243"/>
      <c r="B466" s="1003"/>
      <c r="C466" s="456"/>
      <c r="D466" s="459"/>
      <c r="E466" s="455"/>
      <c r="F466" s="1332"/>
      <c r="G466" s="1170"/>
    </row>
    <row r="467" spans="1:7">
      <c r="A467" s="243"/>
      <c r="B467" s="1003"/>
      <c r="C467" s="456"/>
      <c r="D467" s="459"/>
      <c r="E467" s="455"/>
      <c r="F467" s="1332"/>
      <c r="G467" s="1170"/>
    </row>
    <row r="468" spans="1:7">
      <c r="A468" s="243"/>
      <c r="B468" s="1003"/>
      <c r="C468" s="456"/>
      <c r="D468" s="461"/>
      <c r="E468" s="455"/>
      <c r="F468" s="1332"/>
      <c r="G468" s="1170"/>
    </row>
    <row r="469" spans="1:7">
      <c r="A469" s="243"/>
      <c r="B469" s="1003"/>
      <c r="C469" s="456"/>
      <c r="D469" s="459"/>
      <c r="E469" s="455"/>
      <c r="F469" s="1332"/>
      <c r="G469" s="1170"/>
    </row>
    <row r="470" spans="1:7">
      <c r="A470" s="243"/>
      <c r="B470" s="1003"/>
      <c r="C470" s="456"/>
      <c r="D470" s="459"/>
      <c r="E470" s="455"/>
      <c r="F470" s="1341"/>
      <c r="G470" s="1175"/>
    </row>
    <row r="471" spans="1:7">
      <c r="A471" s="243"/>
      <c r="B471" s="1003"/>
      <c r="C471" s="456"/>
      <c r="D471" s="461"/>
      <c r="E471" s="455"/>
      <c r="F471" s="1332"/>
      <c r="G471" s="1170"/>
    </row>
    <row r="472" spans="1:7">
      <c r="A472" s="243"/>
      <c r="B472" s="1003"/>
      <c r="C472" s="456"/>
      <c r="D472" s="459"/>
      <c r="E472" s="455"/>
      <c r="F472" s="1332"/>
      <c r="G472" s="1170"/>
    </row>
    <row r="473" spans="1:7">
      <c r="A473" s="243"/>
      <c r="B473" s="1003"/>
      <c r="C473" s="456"/>
      <c r="D473" s="459"/>
      <c r="E473" s="455"/>
      <c r="F473" s="1341"/>
      <c r="G473" s="1175"/>
    </row>
    <row r="474" spans="1:7">
      <c r="A474" s="243"/>
      <c r="B474" s="1003"/>
      <c r="C474" s="456"/>
      <c r="D474" s="459"/>
      <c r="E474" s="455"/>
      <c r="F474" s="1332"/>
      <c r="G474" s="1170"/>
    </row>
    <row r="475" spans="1:7">
      <c r="A475" s="243"/>
      <c r="B475" s="1003"/>
      <c r="C475" s="456"/>
      <c r="D475" s="459"/>
      <c r="E475" s="455"/>
      <c r="F475" s="1332"/>
      <c r="G475" s="1170"/>
    </row>
    <row r="476" spans="1:7">
      <c r="A476" s="243"/>
      <c r="B476" s="1003"/>
      <c r="C476" s="456"/>
      <c r="D476" s="459"/>
      <c r="E476" s="455"/>
      <c r="F476" s="1332"/>
      <c r="G476" s="1170"/>
    </row>
    <row r="477" spans="1:7">
      <c r="A477" s="243"/>
      <c r="B477" s="1003"/>
      <c r="C477" s="456"/>
      <c r="D477" s="461"/>
      <c r="E477" s="455"/>
      <c r="F477" s="1332"/>
      <c r="G477" s="1170"/>
    </row>
    <row r="478" spans="1:7">
      <c r="A478" s="243"/>
      <c r="B478" s="1003"/>
      <c r="C478" s="456"/>
      <c r="D478" s="459"/>
      <c r="E478" s="455"/>
      <c r="F478" s="1332"/>
      <c r="G478" s="1170"/>
    </row>
    <row r="479" spans="1:7">
      <c r="A479" s="243"/>
      <c r="B479" s="1003"/>
      <c r="C479" s="456"/>
      <c r="D479" s="459"/>
      <c r="E479" s="455"/>
      <c r="F479" s="1341"/>
      <c r="G479" s="1175"/>
    </row>
    <row r="480" spans="1:7">
      <c r="A480" s="243"/>
      <c r="B480" s="1003"/>
      <c r="C480" s="456"/>
      <c r="D480" s="461"/>
      <c r="E480" s="455"/>
      <c r="F480" s="1332"/>
      <c r="G480" s="1170"/>
    </row>
    <row r="481" spans="1:7">
      <c r="A481" s="243"/>
      <c r="B481" s="1003"/>
      <c r="C481" s="456"/>
      <c r="D481" s="1048"/>
      <c r="E481" s="455"/>
      <c r="F481" s="1332"/>
      <c r="G481" s="1170"/>
    </row>
    <row r="482" spans="1:7">
      <c r="A482" s="243"/>
      <c r="B482" s="1003"/>
      <c r="C482" s="456"/>
      <c r="D482" s="1048"/>
      <c r="E482" s="455"/>
      <c r="F482" s="1332"/>
      <c r="G482" s="1170"/>
    </row>
    <row r="483" spans="1:7">
      <c r="A483" s="243"/>
      <c r="B483" s="1003"/>
      <c r="C483" s="456"/>
      <c r="D483" s="1048"/>
      <c r="E483" s="455"/>
      <c r="F483" s="1332"/>
      <c r="G483" s="1170"/>
    </row>
    <row r="484" spans="1:7">
      <c r="A484" s="243"/>
      <c r="B484" s="1003"/>
      <c r="C484" s="456"/>
      <c r="D484" s="1048"/>
      <c r="E484" s="455"/>
      <c r="F484" s="1332"/>
      <c r="G484" s="1170"/>
    </row>
    <row r="485" spans="1:7">
      <c r="A485" s="243"/>
      <c r="B485" s="1003"/>
      <c r="C485" s="456"/>
      <c r="D485" s="1048"/>
      <c r="E485" s="455"/>
      <c r="F485" s="1332"/>
      <c r="G485" s="1170"/>
    </row>
    <row r="486" spans="1:7">
      <c r="A486" s="243"/>
      <c r="B486" s="1003"/>
      <c r="C486" s="456"/>
      <c r="D486" s="1048"/>
      <c r="E486" s="455"/>
      <c r="F486" s="1332"/>
      <c r="G486" s="1170"/>
    </row>
    <row r="487" spans="1:7">
      <c r="A487" s="243"/>
      <c r="B487" s="1003"/>
      <c r="C487" s="456"/>
      <c r="D487" s="1048"/>
      <c r="E487" s="455"/>
      <c r="F487" s="1332"/>
      <c r="G487" s="1170"/>
    </row>
    <row r="488" spans="1:7">
      <c r="A488" s="243"/>
      <c r="B488" s="1003"/>
      <c r="C488" s="456"/>
      <c r="D488" s="1048"/>
      <c r="E488" s="455"/>
      <c r="F488" s="1332"/>
      <c r="G488" s="1170"/>
    </row>
    <row r="489" spans="1:7">
      <c r="A489" s="243"/>
      <c r="B489" s="1003"/>
      <c r="C489" s="456"/>
      <c r="D489" s="1048"/>
      <c r="E489" s="455"/>
      <c r="F489" s="1332"/>
      <c r="G489" s="1170"/>
    </row>
    <row r="490" spans="1:7">
      <c r="A490" s="243"/>
      <c r="B490" s="1003"/>
      <c r="C490" s="456"/>
      <c r="D490" s="1048"/>
      <c r="E490" s="455"/>
      <c r="F490" s="1332"/>
      <c r="G490" s="1170"/>
    </row>
    <row r="491" spans="1:7">
      <c r="A491" s="243"/>
      <c r="B491" s="1003"/>
      <c r="C491" s="456"/>
      <c r="D491" s="1048"/>
      <c r="E491" s="455"/>
      <c r="F491" s="1332"/>
      <c r="G491" s="1170"/>
    </row>
    <row r="492" spans="1:7">
      <c r="A492" s="243"/>
      <c r="B492" s="1003"/>
      <c r="C492" s="456"/>
      <c r="D492" s="1048"/>
      <c r="E492" s="455"/>
      <c r="F492" s="1332"/>
      <c r="G492" s="1170"/>
    </row>
    <row r="493" spans="1:7">
      <c r="A493" s="243"/>
      <c r="B493" s="1003"/>
      <c r="C493" s="456"/>
      <c r="D493" s="1048"/>
      <c r="E493" s="455"/>
      <c r="F493" s="1332"/>
      <c r="G493" s="1170"/>
    </row>
    <row r="494" spans="1:7">
      <c r="A494" s="243"/>
      <c r="B494" s="1003"/>
      <c r="C494" s="456"/>
      <c r="D494" s="1048"/>
      <c r="E494" s="455"/>
      <c r="F494" s="1332"/>
      <c r="G494" s="1170"/>
    </row>
    <row r="495" spans="1:7">
      <c r="A495" s="243"/>
      <c r="B495" s="1003"/>
      <c r="C495" s="456"/>
      <c r="D495" s="1048"/>
      <c r="E495" s="455"/>
      <c r="F495" s="1332"/>
      <c r="G495" s="1170"/>
    </row>
    <row r="496" spans="1:7">
      <c r="A496" s="243"/>
      <c r="B496" s="1003"/>
      <c r="C496" s="456"/>
      <c r="D496" s="1048"/>
      <c r="E496" s="455"/>
      <c r="F496" s="1332"/>
      <c r="G496" s="1170"/>
    </row>
    <row r="497" spans="1:7">
      <c r="A497" s="243"/>
      <c r="B497" s="1003"/>
      <c r="C497" s="456"/>
      <c r="D497" s="1048"/>
      <c r="E497" s="455"/>
      <c r="F497" s="1332"/>
      <c r="G497" s="1170"/>
    </row>
    <row r="498" spans="1:7">
      <c r="A498" s="243"/>
      <c r="B498" s="1003"/>
      <c r="C498" s="456"/>
      <c r="D498" s="1048"/>
      <c r="E498" s="455"/>
      <c r="F498" s="1332"/>
      <c r="G498" s="1170"/>
    </row>
    <row r="499" spans="1:7">
      <c r="A499" s="1594" t="s">
        <v>2325</v>
      </c>
      <c r="B499" s="1595"/>
      <c r="C499" s="1595"/>
      <c r="D499" s="1595"/>
      <c r="E499" s="1595"/>
      <c r="F499" s="1596"/>
      <c r="G499" s="1511"/>
    </row>
    <row r="500" spans="1:7">
      <c r="A500" s="1597"/>
      <c r="B500" s="1598"/>
      <c r="C500" s="1598"/>
      <c r="D500" s="1598"/>
      <c r="E500" s="1598"/>
      <c r="F500" s="1599"/>
      <c r="G500" s="1512"/>
    </row>
  </sheetData>
  <sheetProtection algorithmName="SHA-512" hashValue="TgsCuBQ/ctqyRSpn9hYbGr/+56vzrYl1Zn5Z0bDoIy06L1A5OzbAgilcKAbUQHfDaq5cyYQBhWTafTNi4q2Urw==" saltValue="HHUtAyFbggqb0pfAh+HwRQ==" spinCount="100000" sheet="1" objects="1" scenarios="1"/>
  <mergeCells count="28">
    <mergeCell ref="A499:F500"/>
    <mergeCell ref="G499:G500"/>
    <mergeCell ref="G293:G294"/>
    <mergeCell ref="A3:A4"/>
    <mergeCell ref="B3:B4"/>
    <mergeCell ref="C3:C4"/>
    <mergeCell ref="D3:D4"/>
    <mergeCell ref="E3:E4"/>
    <mergeCell ref="F3:F4"/>
    <mergeCell ref="G3:G4"/>
    <mergeCell ref="A293:E294"/>
    <mergeCell ref="F293:F294"/>
    <mergeCell ref="A358:E359"/>
    <mergeCell ref="F358:F359"/>
    <mergeCell ref="A420:E421"/>
    <mergeCell ref="F420:F421"/>
    <mergeCell ref="A1:G1"/>
    <mergeCell ref="G420:G421"/>
    <mergeCell ref="G358:G359"/>
    <mergeCell ref="G80:G81"/>
    <mergeCell ref="G155:G156"/>
    <mergeCell ref="G221:G222"/>
    <mergeCell ref="A80:E81"/>
    <mergeCell ref="F80:F81"/>
    <mergeCell ref="A155:E156"/>
    <mergeCell ref="F155:F156"/>
    <mergeCell ref="A221:E222"/>
    <mergeCell ref="F221:F222"/>
  </mergeCells>
  <phoneticPr fontId="38" type="noConversion"/>
  <pageMargins left="0.70866141732283472" right="0.70866141732283472" top="0.86614173228346458" bottom="0.78740157480314965" header="0.31496062992125984" footer="0.19685039370078741"/>
  <pageSetup paperSize="9" scale="67" firstPageNumber="81" orientation="portrait" useFirstPageNumber="1" r:id="rId1"/>
  <headerFooter>
    <oddHeader>&amp;L&amp;G&amp;CCONSTRUCTION OF 20ML CARLSWALD RESERVOIR
SCHEDULE OF QUANTITIES&amp;R&amp;G</oddHeader>
    <oddFooter>&amp;C&amp;G
C.&amp;P</oddFooter>
  </headerFooter>
  <rowBreaks count="6" manualBreakCount="6">
    <brk id="81" max="6" man="1"/>
    <brk id="156" max="6" man="1"/>
    <brk id="222" max="6" man="1"/>
    <brk id="294" max="6" man="1"/>
    <brk id="359" max="6" man="1"/>
    <brk id="421" max="6" man="1"/>
  </rowBreaks>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BB406-9561-4030-8551-BE61686A3CD8}">
  <sheetPr>
    <pageSetUpPr fitToPage="1"/>
  </sheetPr>
  <dimension ref="A1:J36"/>
  <sheetViews>
    <sheetView view="pageBreakPreview" topLeftCell="A16" zoomScale="79" zoomScaleNormal="79" zoomScaleSheetLayoutView="79" workbookViewId="0">
      <selection activeCell="D23" sqref="D23"/>
    </sheetView>
  </sheetViews>
  <sheetFormatPr defaultColWidth="8.85546875" defaultRowHeight="15" customHeight="1"/>
  <cols>
    <col min="1" max="1" width="15.7109375" style="253" customWidth="1"/>
    <col min="2" max="2" width="36.28515625" style="253" customWidth="1"/>
    <col min="3" max="3" width="46.42578125" style="245" customWidth="1"/>
    <col min="4" max="4" width="31.7109375" style="388" customWidth="1"/>
    <col min="5" max="5" width="8.85546875" style="245" hidden="1" customWidth="1"/>
    <col min="6" max="6" width="5" style="245" hidden="1" customWidth="1"/>
    <col min="7" max="7" width="8.85546875" style="245" hidden="1" customWidth="1"/>
    <col min="8" max="8" width="22.140625" style="245" hidden="1" customWidth="1"/>
    <col min="9" max="9" width="8.85546875" style="245" hidden="1" customWidth="1"/>
    <col min="10" max="10" width="10.140625" style="245" hidden="1" customWidth="1"/>
    <col min="11" max="11" width="8.85546875" style="245"/>
    <col min="12" max="12" width="16" style="245" bestFit="1" customWidth="1"/>
    <col min="13" max="16384" width="8.85546875" style="245"/>
  </cols>
  <sheetData>
    <row r="1" spans="1:9" ht="15" customHeight="1">
      <c r="A1" s="312"/>
      <c r="B1" s="312"/>
      <c r="C1" s="1589" t="s">
        <v>2326</v>
      </c>
      <c r="D1" s="1589"/>
      <c r="E1" s="674"/>
      <c r="F1" s="674"/>
      <c r="G1" s="674"/>
      <c r="H1" s="674"/>
      <c r="I1" s="674"/>
    </row>
    <row r="2" spans="1:9" ht="15" customHeight="1" thickBot="1">
      <c r="A2" s="312"/>
      <c r="B2" s="312"/>
      <c r="C2" s="312"/>
      <c r="D2" s="312"/>
      <c r="E2" s="674"/>
      <c r="F2" s="674"/>
      <c r="G2" s="674"/>
      <c r="H2" s="674"/>
      <c r="I2" s="674"/>
    </row>
    <row r="3" spans="1:9" s="509" customFormat="1" ht="15" customHeight="1">
      <c r="A3" s="1614" t="s">
        <v>2327</v>
      </c>
      <c r="B3" s="1615"/>
      <c r="C3" s="1615"/>
      <c r="D3" s="1616"/>
    </row>
    <row r="4" spans="1:9" s="509" customFormat="1" ht="15" customHeight="1" thickBot="1">
      <c r="A4" s="548"/>
      <c r="B4" s="549"/>
      <c r="C4" s="550"/>
      <c r="D4" s="551"/>
    </row>
    <row r="5" spans="1:9" s="509" customFormat="1" ht="24.95" customHeight="1">
      <c r="A5" s="1617" t="s">
        <v>2328</v>
      </c>
      <c r="B5" s="1621" t="s">
        <v>0</v>
      </c>
      <c r="C5" s="1621"/>
      <c r="D5" s="1619" t="s">
        <v>2329</v>
      </c>
    </row>
    <row r="6" spans="1:9" s="509" customFormat="1" ht="24.95" customHeight="1">
      <c r="A6" s="1618"/>
      <c r="B6" s="1622"/>
      <c r="C6" s="1622"/>
      <c r="D6" s="1620"/>
    </row>
    <row r="7" spans="1:9" s="306" customFormat="1" ht="24.95" customHeight="1">
      <c r="A7" s="1024">
        <v>1</v>
      </c>
      <c r="B7" s="1613" t="s">
        <v>2330</v>
      </c>
      <c r="C7" s="1613"/>
      <c r="D7" s="1343"/>
      <c r="F7" s="511" t="s">
        <v>2331</v>
      </c>
      <c r="G7" s="997" t="e">
        <f>D7/D18</f>
        <v>#DIV/0!</v>
      </c>
      <c r="H7" s="666">
        <f>SUM('1. P&amp;G'!G152:G241)</f>
        <v>7143000</v>
      </c>
    </row>
    <row r="8" spans="1:9" s="306" customFormat="1" ht="24.95" customHeight="1">
      <c r="A8" s="1049">
        <v>2</v>
      </c>
      <c r="B8" s="1612" t="s">
        <v>2332</v>
      </c>
      <c r="C8" s="1612"/>
      <c r="D8" s="1344"/>
    </row>
    <row r="9" spans="1:9" s="306" customFormat="1" ht="24.95" customHeight="1">
      <c r="A9" s="1049">
        <v>3</v>
      </c>
      <c r="B9" s="1612" t="s">
        <v>2333</v>
      </c>
      <c r="C9" s="1612"/>
      <c r="D9" s="1345"/>
    </row>
    <row r="10" spans="1:9" s="306" customFormat="1" ht="24.95" customHeight="1">
      <c r="A10" s="1049">
        <v>4</v>
      </c>
      <c r="B10" s="1612" t="s">
        <v>1234</v>
      </c>
      <c r="C10" s="1612"/>
      <c r="D10" s="1345"/>
    </row>
    <row r="11" spans="1:9" s="306" customFormat="1" ht="24.95" customHeight="1">
      <c r="A11" s="1049">
        <v>5</v>
      </c>
      <c r="B11" s="1612" t="s">
        <v>2334</v>
      </c>
      <c r="C11" s="1612"/>
      <c r="D11" s="1345"/>
    </row>
    <row r="12" spans="1:9" s="306" customFormat="1" ht="24.95" customHeight="1">
      <c r="A12" s="1049">
        <v>6</v>
      </c>
      <c r="B12" s="1612" t="s">
        <v>1666</v>
      </c>
      <c r="C12" s="1612"/>
      <c r="D12" s="1345"/>
    </row>
    <row r="13" spans="1:9" s="306" customFormat="1" ht="24.95" customHeight="1">
      <c r="A13" s="1049">
        <v>7</v>
      </c>
      <c r="B13" s="1612" t="s">
        <v>2335</v>
      </c>
      <c r="C13" s="1612"/>
      <c r="D13" s="1344"/>
    </row>
    <row r="14" spans="1:9" s="306" customFormat="1" ht="24.95" customHeight="1">
      <c r="A14" s="1049">
        <v>8</v>
      </c>
      <c r="B14" s="1612" t="s">
        <v>2336</v>
      </c>
      <c r="C14" s="1612"/>
      <c r="D14" s="1344"/>
    </row>
    <row r="15" spans="1:9" s="306" customFormat="1" ht="24.95" customHeight="1">
      <c r="A15" s="1049">
        <v>9</v>
      </c>
      <c r="B15" s="1612" t="s">
        <v>2031</v>
      </c>
      <c r="C15" s="1612"/>
      <c r="D15" s="1345"/>
    </row>
    <row r="16" spans="1:9" s="306" customFormat="1" ht="24.95" customHeight="1">
      <c r="A16" s="1049">
        <v>10</v>
      </c>
      <c r="B16" s="1612" t="s">
        <v>2337</v>
      </c>
      <c r="C16" s="1612"/>
      <c r="D16" s="1345"/>
      <c r="H16" s="1001">
        <f>SUM(D8:D16)</f>
        <v>0</v>
      </c>
      <c r="I16" s="306" t="e">
        <f>#REF!/H16</f>
        <v>#REF!</v>
      </c>
    </row>
    <row r="17" spans="1:9" s="306" customFormat="1" ht="24.95" customHeight="1">
      <c r="A17" s="1022"/>
      <c r="B17" s="1632"/>
      <c r="C17" s="1632"/>
      <c r="D17" s="1346"/>
    </row>
    <row r="18" spans="1:9" s="306" customFormat="1" ht="24.95" customHeight="1">
      <c r="A18" s="1023"/>
      <c r="B18" s="1630" t="s">
        <v>2338</v>
      </c>
      <c r="C18" s="1631"/>
      <c r="D18" s="1347">
        <f>ROUND(SUM(D7:D16),2)</f>
        <v>0</v>
      </c>
      <c r="F18" s="247" t="s">
        <v>2339</v>
      </c>
    </row>
    <row r="19" spans="1:9" s="306" customFormat="1" ht="29.25" customHeight="1">
      <c r="A19" s="1024"/>
      <c r="B19" s="1613" t="s">
        <v>2340</v>
      </c>
      <c r="C19" s="1613"/>
      <c r="D19" s="1348"/>
    </row>
    <row r="20" spans="1:9" s="306" customFormat="1" ht="29.25" customHeight="1">
      <c r="A20" s="1049"/>
      <c r="B20" s="1068"/>
      <c r="C20" s="1040"/>
      <c r="D20" s="1345"/>
    </row>
    <row r="21" spans="1:9" s="306" customFormat="1" ht="29.25" customHeight="1">
      <c r="A21" s="1049"/>
      <c r="B21" s="1612" t="s">
        <v>2341</v>
      </c>
      <c r="C21" s="1612"/>
      <c r="D21" s="1345"/>
    </row>
    <row r="22" spans="1:9" s="306" customFormat="1" ht="29.25" customHeight="1">
      <c r="A22" s="1049"/>
      <c r="B22" s="1633" t="s">
        <v>2342</v>
      </c>
      <c r="C22" s="1633"/>
      <c r="D22" s="1345"/>
    </row>
    <row r="23" spans="1:9" s="306" customFormat="1" ht="29.25" customHeight="1">
      <c r="A23" s="1049"/>
      <c r="B23"/>
      <c r="C23" s="1040"/>
      <c r="D23" s="1345"/>
    </row>
    <row r="24" spans="1:9" s="306" customFormat="1" ht="29.25" customHeight="1">
      <c r="A24" s="1049" t="s">
        <v>2343</v>
      </c>
      <c r="B24" s="1625" t="s">
        <v>2353</v>
      </c>
      <c r="C24" s="1625"/>
      <c r="D24" s="1345"/>
    </row>
    <row r="25" spans="1:9" s="306" customFormat="1" ht="29.25" customHeight="1">
      <c r="A25" s="1049"/>
      <c r="B25" s="1070"/>
      <c r="C25" s="1069"/>
      <c r="D25" s="1345"/>
    </row>
    <row r="26" spans="1:9" s="306" customFormat="1" ht="29.25" customHeight="1">
      <c r="A26" s="1023"/>
      <c r="B26" s="1630" t="s">
        <v>2344</v>
      </c>
      <c r="C26" s="1631"/>
      <c r="D26" s="1347"/>
    </row>
    <row r="27" spans="1:9" s="306" customFormat="1" ht="29.25" customHeight="1">
      <c r="A27" s="1049"/>
      <c r="B27"/>
      <c r="C27" s="1040"/>
      <c r="D27" s="1345"/>
    </row>
    <row r="28" spans="1:9" s="306" customFormat="1" ht="29.25" customHeight="1">
      <c r="A28" s="1023"/>
      <c r="B28" s="1630" t="s">
        <v>2345</v>
      </c>
      <c r="C28" s="1631"/>
      <c r="D28" s="1347">
        <f>ROUND(D26+D18,2)</f>
        <v>0</v>
      </c>
    </row>
    <row r="29" spans="1:9" ht="24.95" customHeight="1">
      <c r="A29" s="1025"/>
      <c r="B29" s="1628"/>
      <c r="C29" s="1629"/>
      <c r="D29" s="1349"/>
      <c r="E29" s="674"/>
      <c r="F29" s="674"/>
      <c r="G29" s="674"/>
      <c r="H29" s="674"/>
      <c r="I29" s="674"/>
    </row>
    <row r="30" spans="1:9" ht="24.95" customHeight="1">
      <c r="A30" s="1095" t="s">
        <v>2346</v>
      </c>
      <c r="B30" s="1096" t="s">
        <v>2347</v>
      </c>
      <c r="C30" s="1094"/>
      <c r="D30" s="1449">
        <f>ROUND($D$28*0.1,2)</f>
        <v>0</v>
      </c>
      <c r="E30" s="674"/>
      <c r="F30" s="674"/>
      <c r="G30" s="674"/>
      <c r="H30" s="674"/>
      <c r="I30" s="674"/>
    </row>
    <row r="31" spans="1:9" ht="24.95" customHeight="1">
      <c r="A31" s="1025"/>
      <c r="B31" s="1093"/>
      <c r="C31" s="1094"/>
      <c r="D31" s="1349"/>
      <c r="E31" s="674"/>
      <c r="F31" s="674"/>
      <c r="G31" s="674"/>
      <c r="H31" s="674"/>
      <c r="I31" s="674"/>
    </row>
    <row r="32" spans="1:9" ht="24.95" customHeight="1">
      <c r="A32" s="1025"/>
      <c r="B32" s="1096" t="s">
        <v>2348</v>
      </c>
      <c r="C32" s="1094"/>
      <c r="D32" s="1349"/>
      <c r="E32" s="674"/>
      <c r="F32" s="674"/>
      <c r="G32" s="674"/>
      <c r="H32" s="674"/>
      <c r="I32" s="674"/>
    </row>
    <row r="33" spans="1:9" ht="24.95" customHeight="1">
      <c r="A33" s="1025"/>
      <c r="B33" s="1093"/>
      <c r="C33" s="1094"/>
      <c r="D33" s="1349"/>
      <c r="E33" s="674"/>
      <c r="F33" s="674"/>
      <c r="G33" s="674"/>
      <c r="H33" s="674"/>
      <c r="I33" s="674"/>
    </row>
    <row r="34" spans="1:9" ht="24.95" customHeight="1">
      <c r="A34" s="1097" t="s">
        <v>2346</v>
      </c>
      <c r="B34" s="1626" t="s">
        <v>2349</v>
      </c>
      <c r="C34" s="1627"/>
      <c r="D34" s="1350">
        <f>ROUND($D$32*0.15,2)</f>
        <v>0</v>
      </c>
      <c r="E34" s="674"/>
      <c r="F34" s="674"/>
      <c r="G34" s="674"/>
      <c r="H34" s="674"/>
      <c r="I34" s="674"/>
    </row>
    <row r="35" spans="1:9" ht="24.95" customHeight="1" thickBot="1">
      <c r="A35" s="1026"/>
      <c r="B35" s="1623"/>
      <c r="C35" s="1624"/>
      <c r="D35" s="1351"/>
      <c r="E35" s="674"/>
      <c r="F35" s="674"/>
      <c r="G35" s="674"/>
      <c r="H35" s="674"/>
      <c r="I35" s="674"/>
    </row>
    <row r="36" spans="1:9" ht="24.95" customHeight="1" thickBot="1">
      <c r="A36" s="996"/>
      <c r="B36" s="1020" t="s">
        <v>2350</v>
      </c>
      <c r="C36" s="1021"/>
      <c r="D36" s="1352"/>
      <c r="E36" s="674"/>
      <c r="F36" s="674"/>
      <c r="G36" s="674"/>
      <c r="H36" s="674"/>
      <c r="I36" s="674"/>
    </row>
  </sheetData>
  <sheetProtection algorithmName="SHA-512" hashValue="F0ZK+wKPwWWdCYPjDZq43JMGGY1WB/rS9wgN0jBLXkkLwWWG0VFdLdxEUKmv6SR/yfvY0kVYp8TdXbXsujBEuA==" saltValue="jDrAbq7oALKfmYKr0+xY2A==" spinCount="100000" sheet="1" objects="1" scenarios="1"/>
  <mergeCells count="26">
    <mergeCell ref="B35:C35"/>
    <mergeCell ref="B9:C9"/>
    <mergeCell ref="B24:C24"/>
    <mergeCell ref="B34:C34"/>
    <mergeCell ref="B29:C29"/>
    <mergeCell ref="B18:C18"/>
    <mergeCell ref="B17:C17"/>
    <mergeCell ref="B16:C16"/>
    <mergeCell ref="B19:C19"/>
    <mergeCell ref="B14:C14"/>
    <mergeCell ref="B26:C26"/>
    <mergeCell ref="B28:C28"/>
    <mergeCell ref="B15:C15"/>
    <mergeCell ref="B21:C21"/>
    <mergeCell ref="B22:C22"/>
    <mergeCell ref="B7:C7"/>
    <mergeCell ref="A3:D3"/>
    <mergeCell ref="A5:A6"/>
    <mergeCell ref="C1:D1"/>
    <mergeCell ref="D5:D6"/>
    <mergeCell ref="B5:C6"/>
    <mergeCell ref="B8:C8"/>
    <mergeCell ref="B10:C10"/>
    <mergeCell ref="B11:C11"/>
    <mergeCell ref="B12:C12"/>
    <mergeCell ref="B13:C13"/>
  </mergeCells>
  <pageMargins left="0.70866141732283472" right="0.70866141732283472" top="1.0236220472440944" bottom="0.74803149606299213" header="0.31496062992125984" footer="0.31496062992125984"/>
  <pageSetup paperSize="9" scale="67"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77618-FBD7-445F-88D5-016F30ED3DBC}">
  <dimension ref="F4:M12"/>
  <sheetViews>
    <sheetView workbookViewId="0">
      <selection activeCell="J12" sqref="J12"/>
    </sheetView>
  </sheetViews>
  <sheetFormatPr defaultRowHeight="15"/>
  <cols>
    <col min="7" max="7" width="13.85546875" customWidth="1"/>
  </cols>
  <sheetData>
    <row r="4" spans="6:13">
      <c r="F4">
        <v>4400</v>
      </c>
      <c r="G4">
        <f>F4*(1+0.06)^6</f>
        <v>6241.4840939264022</v>
      </c>
      <c r="I4">
        <f>G4/1.1</f>
        <v>5674.0764490240017</v>
      </c>
      <c r="L4">
        <f>G4*6</f>
        <v>37448.904563558412</v>
      </c>
      <c r="M4">
        <f>20000*1.8</f>
        <v>36000</v>
      </c>
    </row>
    <row r="5" spans="6:13">
      <c r="I5">
        <f>I4*6</f>
        <v>34044.458694144007</v>
      </c>
      <c r="L5">
        <f>L4/100</f>
        <v>374.48904563558409</v>
      </c>
      <c r="M5">
        <f>L5*1900</f>
        <v>711529.1867076098</v>
      </c>
    </row>
    <row r="11" spans="6:13">
      <c r="F11">
        <f>7800*6</f>
        <v>46800</v>
      </c>
      <c r="I11">
        <f>1.8*1.8*2.2</f>
        <v>7.128000000000001</v>
      </c>
      <c r="J11">
        <f>I11*12</f>
        <v>85.536000000000016</v>
      </c>
    </row>
    <row r="12" spans="6:13">
      <c r="F12">
        <f>12000*4</f>
        <v>48000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55FA6-48BD-44CA-83E8-31649A092C2C}">
  <dimension ref="A1:I19"/>
  <sheetViews>
    <sheetView view="pageLayout" topLeftCell="A4" zoomScale="70" zoomScaleNormal="70" zoomScaleSheetLayoutView="100" zoomScalePageLayoutView="70" workbookViewId="0">
      <selection activeCell="I11" sqref="I11"/>
    </sheetView>
  </sheetViews>
  <sheetFormatPr defaultColWidth="9.140625" defaultRowHeight="12.75"/>
  <cols>
    <col min="1" max="1" width="8.5703125" style="173" customWidth="1"/>
    <col min="2" max="2" width="5.85546875" style="173" customWidth="1"/>
    <col min="3" max="3" width="9.42578125" style="173" customWidth="1"/>
    <col min="4" max="4" width="25.7109375" style="191" customWidth="1"/>
    <col min="5" max="5" width="28.7109375" style="173" customWidth="1"/>
    <col min="6" max="6" width="7.28515625" style="173" customWidth="1"/>
    <col min="7" max="7" width="15.7109375" style="173" customWidth="1"/>
    <col min="8" max="8" width="20.7109375" style="173" customWidth="1"/>
    <col min="9" max="9" width="22" style="233" customWidth="1"/>
    <col min="10" max="16384" width="9.140625" style="173"/>
  </cols>
  <sheetData>
    <row r="1" spans="1:9" s="172" customFormat="1">
      <c r="C1" s="1466" t="s">
        <v>59</v>
      </c>
      <c r="D1" s="1466"/>
      <c r="E1" s="1466"/>
      <c r="F1" s="1466"/>
      <c r="G1" s="1466"/>
      <c r="H1" s="1466"/>
      <c r="I1" s="234"/>
    </row>
    <row r="2" spans="1:9" s="172" customFormat="1">
      <c r="C2" s="1466" t="s">
        <v>60</v>
      </c>
      <c r="D2" s="1466"/>
      <c r="E2" s="1466"/>
      <c r="F2" s="1466"/>
      <c r="G2" s="1466"/>
      <c r="H2" s="1466"/>
      <c r="I2" s="234"/>
    </row>
    <row r="3" spans="1:9" s="172" customFormat="1">
      <c r="I3" s="234"/>
    </row>
    <row r="4" spans="1:9" s="172" customFormat="1">
      <c r="C4" s="174"/>
      <c r="D4" s="174"/>
      <c r="E4" s="1466"/>
      <c r="F4" s="1466"/>
      <c r="G4" s="1466"/>
      <c r="H4" s="1466"/>
      <c r="I4" s="234"/>
    </row>
    <row r="5" spans="1:9" s="172" customFormat="1">
      <c r="C5" s="1466" t="s">
        <v>61</v>
      </c>
      <c r="D5" s="1466"/>
      <c r="E5" s="1466"/>
      <c r="F5" s="1466"/>
      <c r="G5" s="1466"/>
      <c r="H5" s="1466"/>
      <c r="I5" s="234"/>
    </row>
    <row r="6" spans="1:9" s="171" customFormat="1">
      <c r="F6" s="180"/>
      <c r="G6" s="179"/>
      <c r="I6" s="233"/>
    </row>
    <row r="7" spans="1:9" s="171" customFormat="1">
      <c r="A7" s="172" t="s">
        <v>62</v>
      </c>
      <c r="C7" s="172" t="s">
        <v>63</v>
      </c>
      <c r="F7" s="180"/>
      <c r="G7" s="179"/>
      <c r="I7" s="233"/>
    </row>
    <row r="8" spans="1:9" s="171" customFormat="1">
      <c r="C8" s="172" t="s">
        <v>64</v>
      </c>
      <c r="F8" s="180"/>
      <c r="G8" s="179"/>
      <c r="I8" s="233"/>
    </row>
    <row r="9" spans="1:9" s="171" customFormat="1">
      <c r="F9" s="180"/>
      <c r="G9" s="179"/>
      <c r="I9" s="233"/>
    </row>
    <row r="10" spans="1:9" ht="25.5">
      <c r="A10" s="181" t="s">
        <v>65</v>
      </c>
      <c r="B10" s="181" t="s">
        <v>66</v>
      </c>
      <c r="C10" s="181" t="s">
        <v>67</v>
      </c>
      <c r="D10" s="182" t="s">
        <v>68</v>
      </c>
      <c r="E10" s="182" t="s">
        <v>69</v>
      </c>
      <c r="F10" s="182" t="s">
        <v>70</v>
      </c>
      <c r="G10" s="182" t="s">
        <v>71</v>
      </c>
      <c r="H10" s="182" t="s">
        <v>1</v>
      </c>
    </row>
    <row r="11" spans="1:9" ht="110.1" customHeight="1">
      <c r="A11" s="181" t="s">
        <v>72</v>
      </c>
      <c r="B11" s="181">
        <v>150</v>
      </c>
      <c r="C11" s="181" t="s">
        <v>73</v>
      </c>
      <c r="D11" s="195" t="s">
        <v>74</v>
      </c>
      <c r="E11" s="181"/>
      <c r="F11" s="181">
        <v>1</v>
      </c>
      <c r="G11" s="184"/>
      <c r="H11" s="181"/>
    </row>
    <row r="12" spans="1:9" ht="69.95" customHeight="1">
      <c r="A12" s="181" t="s">
        <v>75</v>
      </c>
      <c r="B12" s="181">
        <v>150</v>
      </c>
      <c r="C12" s="181" t="s">
        <v>73</v>
      </c>
      <c r="D12" s="195" t="s">
        <v>76</v>
      </c>
      <c r="E12" s="181"/>
      <c r="F12" s="181">
        <v>1</v>
      </c>
      <c r="G12" s="184"/>
      <c r="H12" s="181"/>
    </row>
    <row r="13" spans="1:9" ht="15" customHeight="1">
      <c r="A13" s="1463" t="s">
        <v>77</v>
      </c>
      <c r="B13" s="1463"/>
      <c r="C13" s="1463"/>
      <c r="D13" s="1463"/>
      <c r="E13" s="1463"/>
      <c r="F13" s="1463"/>
      <c r="G13" s="1463"/>
      <c r="H13" s="1464">
        <f>SUM(H11:H12)</f>
        <v>0</v>
      </c>
    </row>
    <row r="14" spans="1:9" ht="15" customHeight="1">
      <c r="A14" s="1463"/>
      <c r="B14" s="1463"/>
      <c r="C14" s="1463"/>
      <c r="D14" s="1463"/>
      <c r="E14" s="1463"/>
      <c r="F14" s="1463"/>
      <c r="G14" s="1463"/>
      <c r="H14" s="1465"/>
    </row>
    <row r="15" spans="1:9" s="171" customFormat="1">
      <c r="I15" s="233"/>
    </row>
    <row r="16" spans="1:9" s="171" customFormat="1">
      <c r="I16" s="233"/>
    </row>
    <row r="17" ht="90" customHeight="1"/>
    <row r="18" ht="90" customHeight="1"/>
    <row r="19" ht="90" customHeight="1"/>
  </sheetData>
  <mergeCells count="6">
    <mergeCell ref="A13:G14"/>
    <mergeCell ref="H13:H14"/>
    <mergeCell ref="C1:H1"/>
    <mergeCell ref="C2:H2"/>
    <mergeCell ref="E4:H4"/>
    <mergeCell ref="C5:H5"/>
  </mergeCells>
  <pageMargins left="0.70866141732283472" right="0.70866141732283472" top="0.74803149606299213" bottom="0.74803149606299213" header="0.31496062992125984" footer="0.31496062992125984"/>
  <pageSetup paperSize="9" scale="7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2D579-D781-463F-A091-37B99971E8B3}">
  <dimension ref="A1:I20"/>
  <sheetViews>
    <sheetView view="pageLayout" topLeftCell="A4" zoomScale="70" zoomScaleNormal="70" zoomScaleSheetLayoutView="100" zoomScalePageLayoutView="70" workbookViewId="0">
      <selection activeCell="E18" sqref="E18"/>
    </sheetView>
  </sheetViews>
  <sheetFormatPr defaultColWidth="9.140625" defaultRowHeight="12.75"/>
  <cols>
    <col min="1" max="1" width="8.5703125" style="173" customWidth="1"/>
    <col min="2" max="2" width="5.85546875" style="173" customWidth="1"/>
    <col min="3" max="3" width="9.42578125" style="173" customWidth="1"/>
    <col min="4" max="4" width="25.7109375" style="191" customWidth="1"/>
    <col min="5" max="5" width="28.7109375" style="173" customWidth="1"/>
    <col min="6" max="6" width="7.28515625" style="173" customWidth="1"/>
    <col min="7" max="7" width="15.7109375" style="173" customWidth="1"/>
    <col min="8" max="8" width="20.7109375" style="173" customWidth="1"/>
    <col min="9" max="9" width="22" style="233" customWidth="1"/>
    <col min="10" max="16384" width="9.140625" style="173"/>
  </cols>
  <sheetData>
    <row r="1" spans="1:9" s="172" customFormat="1">
      <c r="C1" s="1466" t="s">
        <v>59</v>
      </c>
      <c r="D1" s="1466"/>
      <c r="E1" s="1466"/>
      <c r="F1" s="1466"/>
      <c r="G1" s="1466"/>
      <c r="H1" s="1466"/>
      <c r="I1" s="234"/>
    </row>
    <row r="2" spans="1:9" s="172" customFormat="1">
      <c r="C2" s="1466" t="s">
        <v>60</v>
      </c>
      <c r="D2" s="1466"/>
      <c r="E2" s="1466"/>
      <c r="F2" s="1466"/>
      <c r="G2" s="1466"/>
      <c r="H2" s="1466"/>
      <c r="I2" s="234"/>
    </row>
    <row r="3" spans="1:9" s="172" customFormat="1">
      <c r="I3" s="234"/>
    </row>
    <row r="4" spans="1:9" s="172" customFormat="1">
      <c r="C4" s="174"/>
      <c r="D4" s="174"/>
      <c r="E4" s="1466"/>
      <c r="F4" s="1466"/>
      <c r="G4" s="1466"/>
      <c r="H4" s="1466"/>
      <c r="I4" s="234"/>
    </row>
    <row r="5" spans="1:9" s="172" customFormat="1">
      <c r="C5" s="1466" t="s">
        <v>61</v>
      </c>
      <c r="D5" s="1466"/>
      <c r="E5" s="1466"/>
      <c r="F5" s="1466"/>
      <c r="G5" s="1466"/>
      <c r="H5" s="1466"/>
      <c r="I5" s="234"/>
    </row>
    <row r="6" spans="1:9" s="171" customFormat="1">
      <c r="F6" s="180"/>
      <c r="G6" s="179"/>
      <c r="I6" s="233"/>
    </row>
    <row r="7" spans="1:9" s="171" customFormat="1">
      <c r="A7" s="172" t="s">
        <v>62</v>
      </c>
      <c r="C7" s="172" t="s">
        <v>63</v>
      </c>
      <c r="F7" s="180"/>
      <c r="G7" s="179"/>
      <c r="I7" s="233"/>
    </row>
    <row r="8" spans="1:9" s="171" customFormat="1">
      <c r="C8" s="172" t="s">
        <v>78</v>
      </c>
      <c r="F8" s="180"/>
      <c r="G8" s="179"/>
      <c r="I8" s="233"/>
    </row>
    <row r="9" spans="1:9" s="171" customFormat="1">
      <c r="F9" s="180"/>
      <c r="G9" s="179"/>
      <c r="I9" s="233"/>
    </row>
    <row r="10" spans="1:9" ht="25.5">
      <c r="A10" s="181" t="s">
        <v>65</v>
      </c>
      <c r="B10" s="181" t="s">
        <v>66</v>
      </c>
      <c r="C10" s="181" t="s">
        <v>67</v>
      </c>
      <c r="D10" s="182" t="s">
        <v>68</v>
      </c>
      <c r="E10" s="182" t="s">
        <v>69</v>
      </c>
      <c r="F10" s="182" t="s">
        <v>70</v>
      </c>
      <c r="G10" s="182" t="s">
        <v>71</v>
      </c>
      <c r="H10" s="182" t="s">
        <v>1</v>
      </c>
    </row>
    <row r="11" spans="1:9" ht="69.95" customHeight="1">
      <c r="A11" s="182" t="s">
        <v>79</v>
      </c>
      <c r="B11" s="182">
        <v>350</v>
      </c>
      <c r="C11" s="181" t="s">
        <v>73</v>
      </c>
      <c r="D11" s="195" t="s">
        <v>80</v>
      </c>
      <c r="E11" s="182"/>
      <c r="F11" s="182">
        <v>1</v>
      </c>
      <c r="G11" s="183"/>
      <c r="H11" s="182"/>
    </row>
    <row r="12" spans="1:9" ht="69.95" customHeight="1">
      <c r="A12" s="182" t="s">
        <v>81</v>
      </c>
      <c r="B12" s="182">
        <v>350</v>
      </c>
      <c r="C12" s="181" t="s">
        <v>73</v>
      </c>
      <c r="D12" s="671" t="s">
        <v>82</v>
      </c>
      <c r="E12" s="182"/>
      <c r="F12" s="182">
        <v>1</v>
      </c>
      <c r="G12" s="183"/>
      <c r="H12" s="182"/>
    </row>
    <row r="13" spans="1:9" ht="69.95" customHeight="1">
      <c r="A13" s="182" t="s">
        <v>83</v>
      </c>
      <c r="B13" s="182">
        <v>350</v>
      </c>
      <c r="C13" s="181" t="s">
        <v>73</v>
      </c>
      <c r="D13" s="195" t="s">
        <v>84</v>
      </c>
      <c r="E13" s="182"/>
      <c r="F13" s="182">
        <v>1</v>
      </c>
      <c r="G13" s="182"/>
      <c r="H13" s="182"/>
    </row>
    <row r="14" spans="1:9" ht="15" customHeight="1">
      <c r="A14" s="1463" t="s">
        <v>77</v>
      </c>
      <c r="B14" s="1463"/>
      <c r="C14" s="1463"/>
      <c r="D14" s="1463"/>
      <c r="E14" s="1463"/>
      <c r="F14" s="1463"/>
      <c r="G14" s="1463"/>
      <c r="H14" s="1464">
        <f>SUM(H11:H13)</f>
        <v>0</v>
      </c>
    </row>
    <row r="15" spans="1:9" ht="15" customHeight="1">
      <c r="A15" s="1463"/>
      <c r="B15" s="1463"/>
      <c r="C15" s="1463"/>
      <c r="D15" s="1463"/>
      <c r="E15" s="1463"/>
      <c r="F15" s="1463"/>
      <c r="G15" s="1463"/>
      <c r="H15" s="1465"/>
    </row>
    <row r="16" spans="1:9" s="171" customFormat="1">
      <c r="I16" s="233"/>
    </row>
    <row r="17" spans="9:9" s="171" customFormat="1">
      <c r="I17" s="233"/>
    </row>
    <row r="18" spans="9:9" ht="90" customHeight="1"/>
    <row r="19" spans="9:9" ht="90" customHeight="1"/>
    <row r="20" spans="9:9" ht="90" customHeight="1"/>
  </sheetData>
  <mergeCells count="6">
    <mergeCell ref="A14:G15"/>
    <mergeCell ref="H14:H15"/>
    <mergeCell ref="C1:H1"/>
    <mergeCell ref="C2:H2"/>
    <mergeCell ref="E4:H4"/>
    <mergeCell ref="C5:H5"/>
  </mergeCells>
  <pageMargins left="0.70866141732283472" right="0.70866141732283472" top="0.74803149606299213" bottom="0.74803149606299213" header="0.31496062992125984" footer="0.31496062992125984"/>
  <pageSetup paperSize="9" scale="70"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D63C-D277-40CC-BB4E-D84713C71FD1}">
  <dimension ref="A1:I22"/>
  <sheetViews>
    <sheetView view="pageBreakPreview" topLeftCell="A13" zoomScaleNormal="70" zoomScaleSheetLayoutView="100" zoomScalePageLayoutView="70" workbookViewId="0">
      <selection activeCell="M15" sqref="M15"/>
    </sheetView>
  </sheetViews>
  <sheetFormatPr defaultColWidth="9.140625" defaultRowHeight="12.75"/>
  <cols>
    <col min="1" max="1" width="8.5703125" style="173" customWidth="1"/>
    <col min="2" max="2" width="5.85546875" style="173" customWidth="1"/>
    <col min="3" max="3" width="9.42578125" style="173" customWidth="1"/>
    <col min="4" max="4" width="25.7109375" style="191" customWidth="1"/>
    <col min="5" max="5" width="28.7109375" style="173" customWidth="1"/>
    <col min="6" max="6" width="7.28515625" style="173" customWidth="1"/>
    <col min="7" max="7" width="15.7109375" style="173" customWidth="1"/>
    <col min="8" max="8" width="20.7109375" style="173" customWidth="1"/>
    <col min="9" max="9" width="22" style="233" customWidth="1"/>
    <col min="10" max="16384" width="9.140625" style="173"/>
  </cols>
  <sheetData>
    <row r="1" spans="1:9" s="172" customFormat="1">
      <c r="C1" s="1466" t="s">
        <v>59</v>
      </c>
      <c r="D1" s="1466"/>
      <c r="E1" s="1466"/>
      <c r="F1" s="1466"/>
      <c r="G1" s="1466"/>
      <c r="H1" s="1466"/>
      <c r="I1" s="234"/>
    </row>
    <row r="2" spans="1:9" s="172" customFormat="1">
      <c r="C2" s="1466" t="s">
        <v>60</v>
      </c>
      <c r="D2" s="1466"/>
      <c r="E2" s="1466"/>
      <c r="F2" s="1466"/>
      <c r="G2" s="1466"/>
      <c r="H2" s="1466"/>
      <c r="I2" s="234"/>
    </row>
    <row r="3" spans="1:9" s="172" customFormat="1">
      <c r="I3" s="234"/>
    </row>
    <row r="4" spans="1:9" s="172" customFormat="1">
      <c r="C4" s="174"/>
      <c r="D4" s="174"/>
      <c r="E4" s="1466"/>
      <c r="F4" s="1466"/>
      <c r="G4" s="1466"/>
      <c r="H4" s="1466"/>
      <c r="I4" s="234"/>
    </row>
    <row r="5" spans="1:9" s="172" customFormat="1">
      <c r="C5" s="1466" t="s">
        <v>61</v>
      </c>
      <c r="D5" s="1466"/>
      <c r="E5" s="1466"/>
      <c r="F5" s="1466"/>
      <c r="G5" s="1466"/>
      <c r="H5" s="1466"/>
      <c r="I5" s="234"/>
    </row>
    <row r="6" spans="1:9" s="171" customFormat="1">
      <c r="F6" s="180"/>
      <c r="G6" s="179"/>
      <c r="I6" s="233"/>
    </row>
    <row r="7" spans="1:9" s="171" customFormat="1">
      <c r="A7" s="172" t="s">
        <v>62</v>
      </c>
      <c r="C7" s="172" t="s">
        <v>63</v>
      </c>
      <c r="F7" s="180"/>
      <c r="G7" s="179"/>
      <c r="I7" s="233"/>
    </row>
    <row r="8" spans="1:9" s="171" customFormat="1">
      <c r="C8" s="172" t="s">
        <v>85</v>
      </c>
      <c r="F8" s="180"/>
      <c r="G8" s="179"/>
      <c r="I8" s="233"/>
    </row>
    <row r="9" spans="1:9" s="171" customFormat="1">
      <c r="F9" s="180"/>
      <c r="G9" s="179"/>
      <c r="I9" s="233"/>
    </row>
    <row r="10" spans="1:9" ht="25.5">
      <c r="A10" s="181" t="s">
        <v>65</v>
      </c>
      <c r="B10" s="181" t="s">
        <v>66</v>
      </c>
      <c r="C10" s="181" t="s">
        <v>67</v>
      </c>
      <c r="D10" s="182" t="s">
        <v>68</v>
      </c>
      <c r="E10" s="182" t="s">
        <v>69</v>
      </c>
      <c r="F10" s="182" t="s">
        <v>70</v>
      </c>
      <c r="G10" s="182" t="s">
        <v>71</v>
      </c>
      <c r="H10" s="182" t="s">
        <v>1</v>
      </c>
    </row>
    <row r="11" spans="1:9" ht="90" customHeight="1">
      <c r="A11" s="181" t="s">
        <v>86</v>
      </c>
      <c r="B11" s="181">
        <v>150</v>
      </c>
      <c r="C11" s="181" t="s">
        <v>73</v>
      </c>
      <c r="D11" s="195" t="s">
        <v>87</v>
      </c>
      <c r="E11" s="181"/>
      <c r="F11" s="181">
        <v>1</v>
      </c>
      <c r="G11" s="181"/>
      <c r="H11" s="181"/>
    </row>
    <row r="12" spans="1:9" ht="110.1" customHeight="1">
      <c r="A12" s="181" t="s">
        <v>88</v>
      </c>
      <c r="B12" s="181">
        <v>150</v>
      </c>
      <c r="C12" s="181" t="s">
        <v>73</v>
      </c>
      <c r="D12" s="195" t="s">
        <v>89</v>
      </c>
      <c r="E12" s="181"/>
      <c r="F12" s="181">
        <v>1</v>
      </c>
      <c r="G12" s="181"/>
      <c r="H12" s="181"/>
    </row>
    <row r="13" spans="1:9" ht="69.95" customHeight="1">
      <c r="A13" s="181" t="s">
        <v>90</v>
      </c>
      <c r="B13" s="181">
        <v>150</v>
      </c>
      <c r="C13" s="181" t="s">
        <v>73</v>
      </c>
      <c r="D13" s="195" t="s">
        <v>91</v>
      </c>
      <c r="E13" s="182"/>
      <c r="F13" s="182">
        <v>1</v>
      </c>
      <c r="G13" s="182"/>
      <c r="H13" s="182"/>
    </row>
    <row r="14" spans="1:9" ht="69.95" customHeight="1">
      <c r="A14" s="181" t="s">
        <v>92</v>
      </c>
      <c r="B14" s="181">
        <v>150</v>
      </c>
      <c r="C14" s="181" t="s">
        <v>73</v>
      </c>
      <c r="D14" s="195" t="s">
        <v>93</v>
      </c>
      <c r="E14" s="182"/>
      <c r="F14" s="182">
        <v>2</v>
      </c>
      <c r="G14" s="186">
        <v>60000</v>
      </c>
      <c r="H14" s="186">
        <f>F14*G14</f>
        <v>120000</v>
      </c>
    </row>
    <row r="15" spans="1:9" ht="69.95" customHeight="1">
      <c r="A15" s="181" t="s">
        <v>94</v>
      </c>
      <c r="B15" s="181">
        <v>150</v>
      </c>
      <c r="C15" s="181" t="s">
        <v>73</v>
      </c>
      <c r="D15" s="195" t="s">
        <v>95</v>
      </c>
      <c r="E15" s="182"/>
      <c r="F15" s="182">
        <v>1</v>
      </c>
      <c r="G15" s="182"/>
      <c r="H15" s="182"/>
    </row>
    <row r="16" spans="1:9" ht="15" customHeight="1">
      <c r="A16" s="1467" t="s">
        <v>96</v>
      </c>
      <c r="B16" s="1468"/>
      <c r="C16" s="1468"/>
      <c r="D16" s="1468"/>
      <c r="E16" s="1468"/>
      <c r="F16" s="1468"/>
      <c r="G16" s="1469"/>
      <c r="H16" s="1473">
        <f>SUM(H11:H15)</f>
        <v>120000</v>
      </c>
    </row>
    <row r="17" spans="1:9" ht="15" customHeight="1">
      <c r="A17" s="1470"/>
      <c r="B17" s="1471"/>
      <c r="C17" s="1471"/>
      <c r="D17" s="1471"/>
      <c r="E17" s="1471"/>
      <c r="F17" s="1471"/>
      <c r="G17" s="1472"/>
      <c r="H17" s="1474"/>
    </row>
    <row r="18" spans="1:9" s="171" customFormat="1">
      <c r="I18" s="233"/>
    </row>
    <row r="19" spans="1:9" s="171" customFormat="1">
      <c r="I19" s="233"/>
    </row>
    <row r="20" spans="1:9" ht="90" customHeight="1"/>
    <row r="21" spans="1:9" ht="90" customHeight="1"/>
    <row r="22" spans="1:9" ht="90" customHeight="1"/>
  </sheetData>
  <mergeCells count="6">
    <mergeCell ref="A16:G17"/>
    <mergeCell ref="H16:H17"/>
    <mergeCell ref="C1:H1"/>
    <mergeCell ref="C2:H2"/>
    <mergeCell ref="E4:H4"/>
    <mergeCell ref="C5:H5"/>
  </mergeCells>
  <pageMargins left="0.70866141732283472" right="0.70866141732283472" top="0.74803149606299213" bottom="0.74803149606299213" header="0.31496062992125984" footer="0.31496062992125984"/>
  <pageSetup paperSize="9" scale="70"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C3D04-B90C-4155-85AA-C5CD3A5A40BD}">
  <dimension ref="A1:I55"/>
  <sheetViews>
    <sheetView view="pageBreakPreview" topLeftCell="A40" zoomScale="85" zoomScaleNormal="70" zoomScaleSheetLayoutView="85" zoomScalePageLayoutView="70" workbookViewId="0">
      <selection activeCell="H48" sqref="H48"/>
    </sheetView>
  </sheetViews>
  <sheetFormatPr defaultColWidth="9.140625" defaultRowHeight="12.75"/>
  <cols>
    <col min="1" max="1" width="8.5703125" style="173" customWidth="1"/>
    <col min="2" max="2" width="5.85546875" style="173" customWidth="1"/>
    <col min="3" max="3" width="9.42578125" style="173" customWidth="1"/>
    <col min="4" max="4" width="25.7109375" style="191" customWidth="1"/>
    <col min="5" max="5" width="28.7109375" style="173" customWidth="1"/>
    <col min="6" max="6" width="7.28515625" style="173" customWidth="1"/>
    <col min="7" max="7" width="15.7109375" style="173" customWidth="1"/>
    <col min="8" max="8" width="20.7109375" style="173" customWidth="1"/>
    <col min="9" max="9" width="22" style="233" customWidth="1"/>
    <col min="10" max="16384" width="9.140625" style="173"/>
  </cols>
  <sheetData>
    <row r="1" spans="1:9" s="172" customFormat="1">
      <c r="C1" s="1466" t="s">
        <v>59</v>
      </c>
      <c r="D1" s="1466"/>
      <c r="E1" s="1466"/>
      <c r="F1" s="1466"/>
      <c r="G1" s="1466"/>
      <c r="H1" s="1466"/>
      <c r="I1" s="234"/>
    </row>
    <row r="2" spans="1:9" s="172" customFormat="1">
      <c r="C2" s="1466" t="s">
        <v>60</v>
      </c>
      <c r="D2" s="1466"/>
      <c r="E2" s="1466"/>
      <c r="F2" s="1466"/>
      <c r="G2" s="1466"/>
      <c r="H2" s="1466"/>
      <c r="I2" s="234"/>
    </row>
    <row r="3" spans="1:9" s="172" customFormat="1">
      <c r="I3" s="234"/>
    </row>
    <row r="4" spans="1:9" s="172" customFormat="1">
      <c r="C4" s="174"/>
      <c r="D4" s="174"/>
      <c r="E4" s="1466"/>
      <c r="F4" s="1466"/>
      <c r="G4" s="1466"/>
      <c r="H4" s="1466"/>
      <c r="I4" s="234"/>
    </row>
    <row r="5" spans="1:9" s="172" customFormat="1">
      <c r="C5" s="1466" t="s">
        <v>61</v>
      </c>
      <c r="D5" s="1466"/>
      <c r="E5" s="1466"/>
      <c r="F5" s="1466"/>
      <c r="G5" s="1466"/>
      <c r="H5" s="1466"/>
      <c r="I5" s="234"/>
    </row>
    <row r="6" spans="1:9" s="171" customFormat="1">
      <c r="F6" s="180"/>
      <c r="G6" s="179"/>
      <c r="I6" s="233"/>
    </row>
    <row r="7" spans="1:9" s="171" customFormat="1">
      <c r="A7" s="172" t="s">
        <v>62</v>
      </c>
      <c r="C7" s="172" t="s">
        <v>63</v>
      </c>
      <c r="F7" s="180"/>
      <c r="G7" s="179"/>
      <c r="I7" s="233"/>
    </row>
    <row r="8" spans="1:9" s="171" customFormat="1">
      <c r="C8" s="172" t="s">
        <v>97</v>
      </c>
      <c r="F8" s="180"/>
      <c r="G8" s="179"/>
      <c r="I8" s="233"/>
    </row>
    <row r="9" spans="1:9" s="171" customFormat="1">
      <c r="F9" s="180"/>
      <c r="G9" s="179"/>
      <c r="I9" s="233"/>
    </row>
    <row r="10" spans="1:9" ht="25.5">
      <c r="A10" s="181" t="s">
        <v>65</v>
      </c>
      <c r="B10" s="181" t="s">
        <v>66</v>
      </c>
      <c r="C10" s="181" t="s">
        <v>67</v>
      </c>
      <c r="D10" s="182" t="s">
        <v>68</v>
      </c>
      <c r="E10" s="182" t="s">
        <v>69</v>
      </c>
      <c r="F10" s="182" t="s">
        <v>70</v>
      </c>
      <c r="G10" s="182" t="s">
        <v>71</v>
      </c>
      <c r="H10" s="182" t="s">
        <v>1</v>
      </c>
    </row>
    <row r="11" spans="1:9" ht="69.95" customHeight="1">
      <c r="A11" s="181" t="s">
        <v>98</v>
      </c>
      <c r="B11" s="181">
        <v>600</v>
      </c>
      <c r="C11" s="181" t="s">
        <v>73</v>
      </c>
      <c r="D11" s="195" t="s">
        <v>99</v>
      </c>
      <c r="E11" s="181"/>
      <c r="F11" s="181">
        <v>2</v>
      </c>
      <c r="G11" s="190">
        <v>85000</v>
      </c>
      <c r="H11" s="190">
        <f>F11*G11</f>
        <v>170000</v>
      </c>
    </row>
    <row r="12" spans="1:9" ht="110.1" customHeight="1">
      <c r="A12" s="181" t="s">
        <v>100</v>
      </c>
      <c r="B12" s="181">
        <v>600</v>
      </c>
      <c r="C12" s="181" t="s">
        <v>73</v>
      </c>
      <c r="D12" s="195" t="s">
        <v>101</v>
      </c>
      <c r="E12" s="181"/>
      <c r="F12" s="181">
        <v>1</v>
      </c>
      <c r="G12" s="181"/>
      <c r="H12" s="181"/>
    </row>
    <row r="13" spans="1:9" ht="69.95" customHeight="1">
      <c r="A13" s="181" t="s">
        <v>102</v>
      </c>
      <c r="B13" s="181">
        <v>600</v>
      </c>
      <c r="C13" s="181" t="s">
        <v>73</v>
      </c>
      <c r="D13" s="181" t="s">
        <v>103</v>
      </c>
      <c r="E13" s="181"/>
      <c r="F13" s="181">
        <v>4</v>
      </c>
      <c r="G13" s="190">
        <v>75000</v>
      </c>
      <c r="H13" s="190">
        <f>F13*G13</f>
        <v>300000</v>
      </c>
    </row>
    <row r="14" spans="1:9" ht="69.95" customHeight="1">
      <c r="A14" s="181" t="s">
        <v>104</v>
      </c>
      <c r="B14" s="181">
        <v>600</v>
      </c>
      <c r="C14" s="181" t="s">
        <v>73</v>
      </c>
      <c r="D14" s="181" t="s">
        <v>105</v>
      </c>
      <c r="E14" s="181"/>
      <c r="F14" s="181">
        <v>2</v>
      </c>
      <c r="G14" s="181"/>
      <c r="H14" s="181"/>
    </row>
    <row r="15" spans="1:9" ht="69.95" customHeight="1">
      <c r="A15" s="181" t="s">
        <v>106</v>
      </c>
      <c r="B15" s="181">
        <v>600</v>
      </c>
      <c r="C15" s="181" t="s">
        <v>73</v>
      </c>
      <c r="D15" s="195" t="s">
        <v>107</v>
      </c>
      <c r="E15" s="181"/>
      <c r="F15" s="181">
        <v>2</v>
      </c>
      <c r="G15" s="190">
        <v>25000</v>
      </c>
      <c r="H15" s="190">
        <f>F15*G15</f>
        <v>50000</v>
      </c>
    </row>
    <row r="16" spans="1:9" ht="90" customHeight="1">
      <c r="A16" s="181" t="s">
        <v>108</v>
      </c>
      <c r="B16" s="181">
        <v>600</v>
      </c>
      <c r="C16" s="181" t="s">
        <v>73</v>
      </c>
      <c r="D16" s="195" t="s">
        <v>109</v>
      </c>
      <c r="E16" s="181"/>
      <c r="F16" s="181">
        <v>2</v>
      </c>
      <c r="G16" s="190">
        <v>110000</v>
      </c>
      <c r="H16" s="192">
        <f>F16*G16</f>
        <v>220000</v>
      </c>
    </row>
    <row r="17" spans="1:8" ht="90" customHeight="1">
      <c r="A17" s="181" t="s">
        <v>110</v>
      </c>
      <c r="B17" s="181" t="s">
        <v>111</v>
      </c>
      <c r="C17" s="181" t="s">
        <v>73</v>
      </c>
      <c r="D17" s="195" t="s">
        <v>112</v>
      </c>
      <c r="E17" s="181"/>
      <c r="F17" s="181">
        <v>2</v>
      </c>
      <c r="G17" s="181"/>
      <c r="H17" s="181"/>
    </row>
    <row r="18" spans="1:8" ht="110.1" customHeight="1">
      <c r="A18" s="181" t="s">
        <v>113</v>
      </c>
      <c r="B18" s="181">
        <v>600</v>
      </c>
      <c r="C18" s="181" t="s">
        <v>73</v>
      </c>
      <c r="D18" s="181" t="s">
        <v>114</v>
      </c>
      <c r="E18" s="181"/>
      <c r="F18" s="181">
        <v>1</v>
      </c>
      <c r="G18" s="190">
        <v>125000</v>
      </c>
      <c r="H18" s="192">
        <f>F18*G18</f>
        <v>125000</v>
      </c>
    </row>
    <row r="19" spans="1:8" ht="69.95" customHeight="1">
      <c r="A19" s="181" t="s">
        <v>115</v>
      </c>
      <c r="B19" s="181">
        <v>150</v>
      </c>
      <c r="C19" s="181" t="s">
        <v>73</v>
      </c>
      <c r="D19" s="181" t="s">
        <v>116</v>
      </c>
      <c r="E19" s="181"/>
      <c r="F19" s="181">
        <v>1</v>
      </c>
      <c r="G19" s="181"/>
      <c r="H19" s="181"/>
    </row>
    <row r="20" spans="1:8" ht="69.95" customHeight="1">
      <c r="A20" s="181" t="s">
        <v>117</v>
      </c>
      <c r="B20" s="181">
        <v>500</v>
      </c>
      <c r="C20" s="181" t="s">
        <v>73</v>
      </c>
      <c r="D20" s="181" t="s">
        <v>118</v>
      </c>
      <c r="E20" s="181"/>
      <c r="F20" s="181">
        <v>2</v>
      </c>
      <c r="G20" s="190">
        <v>50000</v>
      </c>
      <c r="H20" s="190">
        <f>F20*G20</f>
        <v>100000</v>
      </c>
    </row>
    <row r="21" spans="1:8" ht="90" customHeight="1">
      <c r="A21" s="181" t="s">
        <v>119</v>
      </c>
      <c r="B21" s="181">
        <v>500</v>
      </c>
      <c r="C21" s="181" t="s">
        <v>73</v>
      </c>
      <c r="D21" s="195" t="s">
        <v>120</v>
      </c>
      <c r="E21" s="181"/>
      <c r="F21" s="181">
        <v>1</v>
      </c>
      <c r="G21" s="190">
        <f>85000</f>
        <v>85000</v>
      </c>
      <c r="H21" s="190">
        <f>F21*G21</f>
        <v>85000</v>
      </c>
    </row>
    <row r="22" spans="1:8">
      <c r="A22" s="204"/>
      <c r="B22" s="205"/>
      <c r="C22" s="205"/>
      <c r="D22" s="206"/>
      <c r="E22" s="205"/>
      <c r="F22" s="205"/>
      <c r="G22" s="401"/>
      <c r="H22" s="402"/>
    </row>
    <row r="23" spans="1:8" ht="15" customHeight="1">
      <c r="A23" s="1467" t="s">
        <v>96</v>
      </c>
      <c r="B23" s="1468"/>
      <c r="C23" s="1468"/>
      <c r="D23" s="1468"/>
      <c r="E23" s="1468"/>
      <c r="F23" s="1468"/>
      <c r="G23" s="1469"/>
      <c r="H23" s="1473">
        <f>SUM(H11:H21)</f>
        <v>1050000</v>
      </c>
    </row>
    <row r="24" spans="1:8" ht="15" customHeight="1">
      <c r="A24" s="1470"/>
      <c r="B24" s="1471"/>
      <c r="C24" s="1471"/>
      <c r="D24" s="1471"/>
      <c r="E24" s="1471"/>
      <c r="F24" s="1471"/>
      <c r="G24" s="1472"/>
      <c r="H24" s="1474"/>
    </row>
    <row r="25" spans="1:8" ht="15" customHeight="1">
      <c r="A25" s="1467" t="s">
        <v>121</v>
      </c>
      <c r="B25" s="1468"/>
      <c r="C25" s="1468"/>
      <c r="D25" s="1468"/>
      <c r="E25" s="1468"/>
      <c r="F25" s="1468"/>
      <c r="G25" s="1469"/>
      <c r="H25" s="1473">
        <f>H23</f>
        <v>1050000</v>
      </c>
    </row>
    <row r="26" spans="1:8" ht="15" customHeight="1">
      <c r="A26" s="1470"/>
      <c r="B26" s="1471"/>
      <c r="C26" s="1471"/>
      <c r="D26" s="1471"/>
      <c r="E26" s="1471"/>
      <c r="F26" s="1471"/>
      <c r="G26" s="1472"/>
      <c r="H26" s="1474"/>
    </row>
    <row r="27" spans="1:8" ht="69.95" customHeight="1">
      <c r="A27" s="181" t="s">
        <v>122</v>
      </c>
      <c r="B27" s="181">
        <v>500</v>
      </c>
      <c r="C27" s="181" t="s">
        <v>73</v>
      </c>
      <c r="D27" s="195" t="s">
        <v>123</v>
      </c>
      <c r="E27" s="181"/>
      <c r="F27" s="181">
        <v>4</v>
      </c>
      <c r="G27" s="190">
        <v>48000</v>
      </c>
      <c r="H27" s="190">
        <f>F27*G27</f>
        <v>192000</v>
      </c>
    </row>
    <row r="28" spans="1:8" ht="69.95" customHeight="1">
      <c r="A28" s="181" t="s">
        <v>124</v>
      </c>
      <c r="B28" s="181" t="s">
        <v>125</v>
      </c>
      <c r="C28" s="181" t="s">
        <v>73</v>
      </c>
      <c r="D28" s="195" t="s">
        <v>126</v>
      </c>
      <c r="E28" s="182"/>
      <c r="F28" s="182">
        <v>2</v>
      </c>
      <c r="G28" s="182"/>
      <c r="H28" s="182"/>
    </row>
    <row r="29" spans="1:8" ht="69.95" customHeight="1">
      <c r="A29" s="181" t="s">
        <v>127</v>
      </c>
      <c r="B29" s="182">
        <v>300</v>
      </c>
      <c r="C29" s="181"/>
      <c r="D29" s="195" t="s">
        <v>107</v>
      </c>
      <c r="E29" s="182"/>
      <c r="F29" s="182">
        <v>4</v>
      </c>
      <c r="G29" s="186">
        <v>10000</v>
      </c>
      <c r="H29" s="186">
        <f>F29*G29</f>
        <v>40000</v>
      </c>
    </row>
    <row r="30" spans="1:8" ht="69.95" customHeight="1">
      <c r="A30" s="181" t="s">
        <v>128</v>
      </c>
      <c r="B30" s="182">
        <v>300</v>
      </c>
      <c r="C30" s="181" t="s">
        <v>73</v>
      </c>
      <c r="D30" s="195" t="s">
        <v>129</v>
      </c>
      <c r="E30" s="182"/>
      <c r="F30" s="182">
        <v>2</v>
      </c>
      <c r="G30" s="182"/>
      <c r="H30" s="182"/>
    </row>
    <row r="31" spans="1:8" ht="69.95" customHeight="1">
      <c r="A31" s="181" t="s">
        <v>130</v>
      </c>
      <c r="B31" s="182">
        <v>300</v>
      </c>
      <c r="C31" s="181" t="s">
        <v>73</v>
      </c>
      <c r="D31" s="195" t="s">
        <v>131</v>
      </c>
      <c r="E31" s="182"/>
      <c r="F31" s="182">
        <v>2</v>
      </c>
      <c r="G31" s="182"/>
      <c r="H31" s="182"/>
    </row>
    <row r="32" spans="1:8" ht="110.1" customHeight="1">
      <c r="A32" s="181" t="s">
        <v>132</v>
      </c>
      <c r="B32" s="182">
        <v>500</v>
      </c>
      <c r="C32" s="181" t="s">
        <v>73</v>
      </c>
      <c r="D32" s="195" t="s">
        <v>133</v>
      </c>
      <c r="E32" s="182"/>
      <c r="F32" s="182">
        <v>1</v>
      </c>
      <c r="G32" s="182"/>
      <c r="H32" s="182"/>
    </row>
    <row r="33" spans="1:8" ht="69.95" customHeight="1">
      <c r="A33" s="181" t="s">
        <v>134</v>
      </c>
      <c r="B33" s="182">
        <v>600</v>
      </c>
      <c r="C33" s="181"/>
      <c r="D33" s="195" t="s">
        <v>135</v>
      </c>
      <c r="E33" s="182"/>
      <c r="F33" s="182">
        <v>2</v>
      </c>
      <c r="G33" s="186">
        <v>350000</v>
      </c>
      <c r="H33" s="186">
        <f>F33*G33</f>
        <v>700000</v>
      </c>
    </row>
    <row r="34" spans="1:8" ht="69.95" customHeight="1">
      <c r="A34" s="181" t="s">
        <v>136</v>
      </c>
      <c r="B34" s="182">
        <v>100</v>
      </c>
      <c r="C34" s="181"/>
      <c r="D34" s="195" t="s">
        <v>137</v>
      </c>
      <c r="E34" s="182"/>
      <c r="F34" s="182">
        <v>2</v>
      </c>
      <c r="G34" s="186">
        <v>6000</v>
      </c>
      <c r="H34" s="186">
        <f>F34*G34</f>
        <v>12000</v>
      </c>
    </row>
    <row r="35" spans="1:8" ht="69.95" customHeight="1">
      <c r="A35" s="181" t="s">
        <v>138</v>
      </c>
      <c r="B35" s="182">
        <v>100</v>
      </c>
      <c r="C35" s="181"/>
      <c r="D35" s="195" t="s">
        <v>139</v>
      </c>
      <c r="E35" s="182" t="s">
        <v>140</v>
      </c>
      <c r="F35" s="182">
        <v>2</v>
      </c>
      <c r="G35" s="186">
        <v>100000</v>
      </c>
      <c r="H35" s="186">
        <f>F35*G35</f>
        <v>200000</v>
      </c>
    </row>
    <row r="36" spans="1:8" ht="50.1" customHeight="1">
      <c r="A36" s="181" t="s">
        <v>141</v>
      </c>
      <c r="B36" s="182">
        <v>600</v>
      </c>
      <c r="C36" s="181"/>
      <c r="D36" s="195" t="s">
        <v>142</v>
      </c>
      <c r="E36" s="182"/>
      <c r="F36" s="182">
        <v>2</v>
      </c>
      <c r="G36" s="186">
        <f>455000</f>
        <v>455000</v>
      </c>
      <c r="H36" s="186">
        <f>F36*G36</f>
        <v>910000</v>
      </c>
    </row>
    <row r="37" spans="1:8" ht="50.1" customHeight="1">
      <c r="A37" s="181" t="s">
        <v>143</v>
      </c>
      <c r="B37" s="182">
        <v>300</v>
      </c>
      <c r="C37" s="181"/>
      <c r="D37" s="195" t="s">
        <v>144</v>
      </c>
      <c r="E37" s="182"/>
      <c r="F37" s="182">
        <v>2</v>
      </c>
      <c r="G37" s="186">
        <v>100000</v>
      </c>
      <c r="H37" s="186">
        <f>F37*G37</f>
        <v>200000</v>
      </c>
    </row>
    <row r="38" spans="1:8" ht="50.1" customHeight="1">
      <c r="A38" s="193" t="s">
        <v>145</v>
      </c>
      <c r="B38" s="194">
        <v>300</v>
      </c>
      <c r="C38" s="193"/>
      <c r="D38" s="215" t="s">
        <v>146</v>
      </c>
      <c r="E38" s="194" t="s">
        <v>140</v>
      </c>
      <c r="F38" s="194">
        <v>2</v>
      </c>
      <c r="G38" s="194"/>
      <c r="H38" s="194"/>
    </row>
    <row r="39" spans="1:8" ht="50.1" customHeight="1">
      <c r="A39" s="181" t="s">
        <v>147</v>
      </c>
      <c r="B39" s="182">
        <v>300</v>
      </c>
      <c r="C39" s="181"/>
      <c r="D39" s="216" t="s">
        <v>148</v>
      </c>
      <c r="E39" s="182" t="s">
        <v>140</v>
      </c>
      <c r="F39" s="182">
        <v>2</v>
      </c>
      <c r="G39" s="186">
        <v>50000</v>
      </c>
      <c r="H39" s="186">
        <f>F39*G39</f>
        <v>100000</v>
      </c>
    </row>
    <row r="40" spans="1:8">
      <c r="A40" s="204"/>
      <c r="B40" s="403"/>
      <c r="C40" s="205"/>
      <c r="D40" s="404"/>
      <c r="E40" s="403"/>
      <c r="F40" s="403"/>
      <c r="G40" s="405"/>
      <c r="H40" s="406"/>
    </row>
    <row r="41" spans="1:8">
      <c r="A41" s="204"/>
      <c r="B41" s="403"/>
      <c r="C41" s="205"/>
      <c r="D41" s="404"/>
      <c r="E41" s="403"/>
      <c r="F41" s="403"/>
      <c r="G41" s="405"/>
      <c r="H41" s="406"/>
    </row>
    <row r="42" spans="1:8">
      <c r="A42" s="204"/>
      <c r="B42" s="403"/>
      <c r="C42" s="205"/>
      <c r="D42" s="404"/>
      <c r="E42" s="403"/>
      <c r="F42" s="403"/>
      <c r="G42" s="405"/>
      <c r="H42" s="406"/>
    </row>
    <row r="43" spans="1:8">
      <c r="A43" s="1467" t="s">
        <v>96</v>
      </c>
      <c r="B43" s="1468"/>
      <c r="C43" s="1468"/>
      <c r="D43" s="1468"/>
      <c r="E43" s="1468"/>
      <c r="F43" s="1468"/>
      <c r="G43" s="1469"/>
      <c r="H43" s="1473">
        <f>SUM(H25:H39)</f>
        <v>3404000</v>
      </c>
    </row>
    <row r="44" spans="1:8">
      <c r="A44" s="1470"/>
      <c r="B44" s="1471"/>
      <c r="C44" s="1471"/>
      <c r="D44" s="1471"/>
      <c r="E44" s="1471"/>
      <c r="F44" s="1471"/>
      <c r="G44" s="1472"/>
      <c r="H44" s="1474"/>
    </row>
    <row r="45" spans="1:8" ht="15" customHeight="1">
      <c r="A45" s="1467" t="s">
        <v>121</v>
      </c>
      <c r="B45" s="1468"/>
      <c r="C45" s="1468"/>
      <c r="D45" s="1468"/>
      <c r="E45" s="1468"/>
      <c r="F45" s="1468"/>
      <c r="G45" s="1469"/>
      <c r="H45" s="1473">
        <f>H43</f>
        <v>3404000</v>
      </c>
    </row>
    <row r="46" spans="1:8" ht="15" customHeight="1">
      <c r="A46" s="1470"/>
      <c r="B46" s="1471"/>
      <c r="C46" s="1471"/>
      <c r="D46" s="1471"/>
      <c r="E46" s="1471"/>
      <c r="F46" s="1471"/>
      <c r="G46" s="1472"/>
      <c r="H46" s="1474"/>
    </row>
    <row r="47" spans="1:8" ht="50.1" customHeight="1">
      <c r="A47" s="181" t="s">
        <v>149</v>
      </c>
      <c r="B47" s="182">
        <v>50</v>
      </c>
      <c r="C47" s="181"/>
      <c r="D47" s="195" t="s">
        <v>150</v>
      </c>
      <c r="E47" s="182"/>
      <c r="F47" s="182">
        <v>2</v>
      </c>
      <c r="G47" s="186">
        <v>3000</v>
      </c>
      <c r="H47" s="186">
        <f>F47*G47</f>
        <v>6000</v>
      </c>
    </row>
    <row r="48" spans="1:8" ht="50.1" customHeight="1">
      <c r="A48" s="181" t="s">
        <v>151</v>
      </c>
      <c r="B48" s="182">
        <v>50</v>
      </c>
      <c r="C48" s="181"/>
      <c r="D48" s="195" t="s">
        <v>139</v>
      </c>
      <c r="E48" s="182" t="s">
        <v>140</v>
      </c>
      <c r="F48" s="182">
        <v>2</v>
      </c>
      <c r="G48" s="182"/>
      <c r="H48" s="182"/>
    </row>
    <row r="49" spans="1:9">
      <c r="A49" s="1467" t="s">
        <v>96</v>
      </c>
      <c r="B49" s="1468"/>
      <c r="C49" s="1468"/>
      <c r="D49" s="1468"/>
      <c r="E49" s="1468"/>
      <c r="F49" s="1468"/>
      <c r="G49" s="1469"/>
      <c r="H49" s="1473">
        <f>SUM(H31:H45)</f>
        <v>8930000</v>
      </c>
    </row>
    <row r="50" spans="1:9">
      <c r="A50" s="1470"/>
      <c r="B50" s="1471"/>
      <c r="C50" s="1471"/>
      <c r="D50" s="1471"/>
      <c r="E50" s="1471"/>
      <c r="F50" s="1471"/>
      <c r="G50" s="1472"/>
      <c r="H50" s="1474"/>
    </row>
    <row r="51" spans="1:9" s="171" customFormat="1">
      <c r="I51" s="233"/>
    </row>
    <row r="52" spans="1:9" s="171" customFormat="1">
      <c r="I52" s="233"/>
    </row>
    <row r="53" spans="1:9" ht="90" customHeight="1"/>
    <row r="54" spans="1:9" ht="90" customHeight="1"/>
    <row r="55" spans="1:9" ht="90" customHeight="1"/>
  </sheetData>
  <mergeCells count="14">
    <mergeCell ref="A23:G24"/>
    <mergeCell ref="H23:H24"/>
    <mergeCell ref="C1:H1"/>
    <mergeCell ref="C2:H2"/>
    <mergeCell ref="E4:H4"/>
    <mergeCell ref="C5:H5"/>
    <mergeCell ref="A25:G26"/>
    <mergeCell ref="H25:H26"/>
    <mergeCell ref="A45:G46"/>
    <mergeCell ref="H45:H46"/>
    <mergeCell ref="A49:G50"/>
    <mergeCell ref="H49:H50"/>
    <mergeCell ref="A43:G44"/>
    <mergeCell ref="H43:H44"/>
  </mergeCells>
  <pageMargins left="0.70866141732283472" right="0.70866141732283472" top="0.74803149606299213" bottom="0.74803149606299213" header="0.31496062992125984" footer="0.31496062992125984"/>
  <pageSetup paperSize="9" scale="70"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2399F-9DCC-45D6-8BE4-FF84664B0DA5}">
  <dimension ref="A1:I24"/>
  <sheetViews>
    <sheetView view="pageBreakPreview" topLeftCell="A4" zoomScaleNormal="70" zoomScaleSheetLayoutView="100" zoomScalePageLayoutView="70" workbookViewId="0">
      <selection activeCell="I18" sqref="A18:XFD19"/>
    </sheetView>
  </sheetViews>
  <sheetFormatPr defaultColWidth="9.140625" defaultRowHeight="12.75"/>
  <cols>
    <col min="1" max="1" width="8.5703125" style="173" customWidth="1"/>
    <col min="2" max="2" width="5.85546875" style="173" customWidth="1"/>
    <col min="3" max="3" width="9.42578125" style="173" customWidth="1"/>
    <col min="4" max="4" width="25.7109375" style="191" customWidth="1"/>
    <col min="5" max="5" width="28.7109375" style="173" customWidth="1"/>
    <col min="6" max="6" width="7.28515625" style="173" customWidth="1"/>
    <col min="7" max="7" width="15.7109375" style="173" customWidth="1"/>
    <col min="8" max="8" width="20.7109375" style="173" customWidth="1"/>
    <col min="9" max="9" width="22" style="233" customWidth="1"/>
    <col min="10" max="16384" width="9.140625" style="173"/>
  </cols>
  <sheetData>
    <row r="1" spans="1:9" s="172" customFormat="1">
      <c r="C1" s="1466" t="s">
        <v>59</v>
      </c>
      <c r="D1" s="1466"/>
      <c r="E1" s="1466"/>
      <c r="F1" s="1466"/>
      <c r="G1" s="1466"/>
      <c r="H1" s="1466"/>
      <c r="I1" s="234"/>
    </row>
    <row r="2" spans="1:9" s="172" customFormat="1">
      <c r="C2" s="1466" t="s">
        <v>60</v>
      </c>
      <c r="D2" s="1466"/>
      <c r="E2" s="1466"/>
      <c r="F2" s="1466"/>
      <c r="G2" s="1466"/>
      <c r="H2" s="1466"/>
      <c r="I2" s="234"/>
    </row>
    <row r="3" spans="1:9" s="172" customFormat="1">
      <c r="I3" s="234"/>
    </row>
    <row r="4" spans="1:9" s="172" customFormat="1">
      <c r="C4" s="174"/>
      <c r="D4" s="174"/>
      <c r="E4" s="1466"/>
      <c r="F4" s="1466"/>
      <c r="G4" s="1466"/>
      <c r="H4" s="1466"/>
      <c r="I4" s="234"/>
    </row>
    <row r="5" spans="1:9" s="172" customFormat="1">
      <c r="C5" s="1466" t="s">
        <v>61</v>
      </c>
      <c r="D5" s="1466"/>
      <c r="E5" s="1466"/>
      <c r="F5" s="1466"/>
      <c r="G5" s="1466"/>
      <c r="H5" s="1466"/>
      <c r="I5" s="234"/>
    </row>
    <row r="6" spans="1:9" s="171" customFormat="1">
      <c r="F6" s="180"/>
      <c r="G6" s="179"/>
      <c r="I6" s="233"/>
    </row>
    <row r="7" spans="1:9" s="171" customFormat="1">
      <c r="A7" s="172" t="s">
        <v>62</v>
      </c>
      <c r="C7" s="172" t="s">
        <v>63</v>
      </c>
      <c r="F7" s="180"/>
      <c r="G7" s="179"/>
      <c r="I7" s="233"/>
    </row>
    <row r="8" spans="1:9" s="171" customFormat="1">
      <c r="C8" s="172" t="s">
        <v>152</v>
      </c>
      <c r="F8" s="180"/>
      <c r="G8" s="179"/>
      <c r="I8" s="233"/>
    </row>
    <row r="9" spans="1:9" s="171" customFormat="1">
      <c r="F9" s="180"/>
      <c r="G9" s="179"/>
      <c r="I9" s="233"/>
    </row>
    <row r="10" spans="1:9" ht="25.5">
      <c r="A10" s="181" t="s">
        <v>65</v>
      </c>
      <c r="B10" s="181" t="s">
        <v>66</v>
      </c>
      <c r="C10" s="181" t="s">
        <v>67</v>
      </c>
      <c r="D10" s="182" t="s">
        <v>68</v>
      </c>
      <c r="E10" s="182" t="s">
        <v>69</v>
      </c>
      <c r="F10" s="182" t="s">
        <v>70</v>
      </c>
      <c r="G10" s="182" t="s">
        <v>71</v>
      </c>
      <c r="H10" s="182" t="s">
        <v>1</v>
      </c>
    </row>
    <row r="11" spans="1:9" ht="69.95" customHeight="1">
      <c r="A11" s="181" t="s">
        <v>153</v>
      </c>
      <c r="B11" s="181">
        <v>150</v>
      </c>
      <c r="C11" s="181" t="s">
        <v>73</v>
      </c>
      <c r="D11" s="195" t="s">
        <v>154</v>
      </c>
      <c r="E11" s="182"/>
      <c r="F11" s="182">
        <v>1</v>
      </c>
      <c r="G11" s="186">
        <v>10500</v>
      </c>
      <c r="H11" s="186">
        <f>F11*G11</f>
        <v>10500</v>
      </c>
    </row>
    <row r="12" spans="1:9" ht="69.95" customHeight="1">
      <c r="A12" s="181" t="s">
        <v>155</v>
      </c>
      <c r="B12" s="181">
        <v>150</v>
      </c>
      <c r="C12" s="181" t="s">
        <v>73</v>
      </c>
      <c r="D12" s="195" t="s">
        <v>156</v>
      </c>
      <c r="E12" s="182"/>
      <c r="F12" s="182">
        <v>1</v>
      </c>
      <c r="G12" s="186">
        <v>15000</v>
      </c>
      <c r="H12" s="186">
        <f>F12*G12</f>
        <v>15000</v>
      </c>
    </row>
    <row r="13" spans="1:9" ht="75" customHeight="1">
      <c r="A13" s="181" t="s">
        <v>157</v>
      </c>
      <c r="B13" s="181">
        <v>350</v>
      </c>
      <c r="C13" s="181" t="s">
        <v>73</v>
      </c>
      <c r="D13" s="195" t="s">
        <v>158</v>
      </c>
      <c r="E13" s="182"/>
      <c r="F13" s="182">
        <v>1</v>
      </c>
      <c r="G13" s="186">
        <v>30000</v>
      </c>
      <c r="H13" s="186">
        <f>F13*G13</f>
        <v>30000</v>
      </c>
    </row>
    <row r="14" spans="1:9" ht="75" customHeight="1">
      <c r="A14" s="181" t="s">
        <v>159</v>
      </c>
      <c r="B14" s="181">
        <v>150</v>
      </c>
      <c r="C14" s="181" t="s">
        <v>73</v>
      </c>
      <c r="D14" s="195" t="s">
        <v>160</v>
      </c>
      <c r="E14" s="182"/>
      <c r="F14" s="182">
        <v>2</v>
      </c>
      <c r="G14" s="182"/>
      <c r="H14" s="186">
        <f>F14*G14</f>
        <v>0</v>
      </c>
    </row>
    <row r="15" spans="1:9" ht="69.95" customHeight="1">
      <c r="A15" s="181" t="s">
        <v>161</v>
      </c>
      <c r="B15" s="181">
        <v>150</v>
      </c>
      <c r="C15" s="181"/>
      <c r="D15" s="195" t="s">
        <v>162</v>
      </c>
      <c r="E15" s="182"/>
      <c r="F15" s="182">
        <v>2</v>
      </c>
      <c r="G15" s="182"/>
      <c r="H15" s="186"/>
    </row>
    <row r="16" spans="1:9" ht="69.95" customHeight="1">
      <c r="A16" s="181" t="s">
        <v>163</v>
      </c>
      <c r="B16" s="181">
        <v>150</v>
      </c>
      <c r="C16" s="188"/>
      <c r="D16" s="195" t="s">
        <v>164</v>
      </c>
      <c r="E16" s="36"/>
      <c r="F16" s="182">
        <v>2</v>
      </c>
      <c r="G16" s="189">
        <v>50000</v>
      </c>
      <c r="H16" s="189">
        <f>F16*G16</f>
        <v>100000</v>
      </c>
    </row>
    <row r="17" spans="1:9" ht="69.95" customHeight="1">
      <c r="A17" s="181" t="s">
        <v>165</v>
      </c>
      <c r="B17" s="181">
        <v>50</v>
      </c>
      <c r="C17" s="188"/>
      <c r="D17" s="195" t="s">
        <v>166</v>
      </c>
      <c r="E17" s="36"/>
      <c r="F17" s="182">
        <v>1</v>
      </c>
      <c r="G17" s="189">
        <v>3000</v>
      </c>
      <c r="H17" s="189">
        <f>F17*G17</f>
        <v>3000</v>
      </c>
    </row>
    <row r="18" spans="1:9" ht="15" customHeight="1">
      <c r="A18" s="1467" t="s">
        <v>96</v>
      </c>
      <c r="B18" s="1468"/>
      <c r="C18" s="1468"/>
      <c r="D18" s="1468"/>
      <c r="E18" s="1468"/>
      <c r="F18" s="1468"/>
      <c r="G18" s="1469"/>
      <c r="H18" s="1473">
        <f>SUM(H11:H15)</f>
        <v>55500</v>
      </c>
    </row>
    <row r="19" spans="1:9" ht="15" customHeight="1">
      <c r="A19" s="1470"/>
      <c r="B19" s="1471"/>
      <c r="C19" s="1471"/>
      <c r="D19" s="1471"/>
      <c r="E19" s="1471"/>
      <c r="F19" s="1471"/>
      <c r="G19" s="1472"/>
      <c r="H19" s="1474"/>
    </row>
    <row r="20" spans="1:9" s="171" customFormat="1">
      <c r="I20" s="233"/>
    </row>
    <row r="21" spans="1:9" s="171" customFormat="1">
      <c r="I21" s="233"/>
    </row>
    <row r="22" spans="1:9" ht="90" customHeight="1"/>
    <row r="23" spans="1:9" ht="90" customHeight="1"/>
    <row r="24" spans="1:9" ht="90" customHeight="1"/>
  </sheetData>
  <mergeCells count="6">
    <mergeCell ref="A18:G19"/>
    <mergeCell ref="H18:H19"/>
    <mergeCell ref="C1:H1"/>
    <mergeCell ref="C2:H2"/>
    <mergeCell ref="E4:H4"/>
    <mergeCell ref="C5:H5"/>
  </mergeCells>
  <pageMargins left="0.70866141732283472" right="0.70866141732283472" top="0.74803149606299213" bottom="0.74803149606299213" header="0.31496062992125984" footer="0.31496062992125984"/>
  <pageSetup paperSize="9" scale="70"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3A470-96E7-4F3A-94C7-75A97FB52B99}">
  <dimension ref="A1:I54"/>
  <sheetViews>
    <sheetView view="pageBreakPreview" topLeftCell="A22" zoomScaleNormal="70" zoomScaleSheetLayoutView="100" zoomScalePageLayoutView="70" workbookViewId="0">
      <selection activeCell="G44" sqref="G44"/>
    </sheetView>
  </sheetViews>
  <sheetFormatPr defaultColWidth="9.140625" defaultRowHeight="12.75"/>
  <cols>
    <col min="1" max="1" width="8.5703125" style="173" customWidth="1"/>
    <col min="2" max="2" width="5.85546875" style="173" customWidth="1"/>
    <col min="3" max="3" width="9.42578125" style="173" customWidth="1"/>
    <col min="4" max="4" width="25.7109375" style="191" customWidth="1"/>
    <col min="5" max="5" width="28.7109375" style="173" customWidth="1"/>
    <col min="6" max="6" width="7.28515625" style="173" customWidth="1"/>
    <col min="7" max="7" width="15.7109375" style="173" customWidth="1"/>
    <col min="8" max="8" width="20.7109375" style="173" customWidth="1"/>
    <col min="9" max="9" width="22" style="233" customWidth="1"/>
    <col min="10" max="16384" width="9.140625" style="173"/>
  </cols>
  <sheetData>
    <row r="1" spans="1:9" s="172" customFormat="1">
      <c r="C1" s="1466" t="s">
        <v>59</v>
      </c>
      <c r="D1" s="1466"/>
      <c r="E1" s="1466"/>
      <c r="F1" s="1466"/>
      <c r="G1" s="1466"/>
      <c r="H1" s="1466"/>
      <c r="I1" s="234"/>
    </row>
    <row r="2" spans="1:9" s="172" customFormat="1">
      <c r="C2" s="1466" t="s">
        <v>60</v>
      </c>
      <c r="D2" s="1466"/>
      <c r="E2" s="1466"/>
      <c r="F2" s="1466"/>
      <c r="G2" s="1466"/>
      <c r="H2" s="1466"/>
      <c r="I2" s="234"/>
    </row>
    <row r="3" spans="1:9" s="172" customFormat="1">
      <c r="I3" s="234"/>
    </row>
    <row r="4" spans="1:9" s="172" customFormat="1">
      <c r="C4" s="174"/>
      <c r="D4" s="174"/>
      <c r="E4" s="1466"/>
      <c r="F4" s="1466"/>
      <c r="G4" s="1466"/>
      <c r="H4" s="1466"/>
      <c r="I4" s="234"/>
    </row>
    <row r="5" spans="1:9" s="172" customFormat="1">
      <c r="C5" s="1466" t="s">
        <v>61</v>
      </c>
      <c r="D5" s="1466"/>
      <c r="E5" s="1466"/>
      <c r="F5" s="1466"/>
      <c r="G5" s="1466"/>
      <c r="H5" s="1466"/>
      <c r="I5" s="234"/>
    </row>
    <row r="6" spans="1:9" s="171" customFormat="1">
      <c r="F6" s="180"/>
      <c r="G6" s="179"/>
      <c r="I6" s="233"/>
    </row>
    <row r="7" spans="1:9" s="171" customFormat="1">
      <c r="A7" s="172" t="s">
        <v>62</v>
      </c>
      <c r="C7" s="172" t="s">
        <v>63</v>
      </c>
      <c r="F7" s="180"/>
      <c r="G7" s="179"/>
      <c r="I7" s="233"/>
    </row>
    <row r="8" spans="1:9" s="171" customFormat="1">
      <c r="C8" s="172" t="s">
        <v>167</v>
      </c>
      <c r="F8" s="180"/>
      <c r="G8" s="179"/>
      <c r="I8" s="233"/>
    </row>
    <row r="9" spans="1:9" s="171" customFormat="1">
      <c r="F9" s="180"/>
      <c r="G9" s="179"/>
      <c r="I9" s="233"/>
    </row>
    <row r="10" spans="1:9" ht="25.5">
      <c r="A10" s="181" t="s">
        <v>65</v>
      </c>
      <c r="B10" s="181" t="s">
        <v>66</v>
      </c>
      <c r="C10" s="181" t="s">
        <v>67</v>
      </c>
      <c r="D10" s="182" t="s">
        <v>68</v>
      </c>
      <c r="E10" s="182" t="s">
        <v>69</v>
      </c>
      <c r="F10" s="182" t="s">
        <v>70</v>
      </c>
      <c r="G10" s="182" t="s">
        <v>71</v>
      </c>
      <c r="H10" s="182" t="s">
        <v>1</v>
      </c>
    </row>
    <row r="11" spans="1:9" ht="69.95" customHeight="1">
      <c r="A11" s="181" t="s">
        <v>168</v>
      </c>
      <c r="B11" s="181">
        <v>500</v>
      </c>
      <c r="C11" s="181" t="s">
        <v>73</v>
      </c>
      <c r="D11" s="195" t="s">
        <v>169</v>
      </c>
      <c r="E11" s="181"/>
      <c r="F11" s="181">
        <v>2</v>
      </c>
      <c r="G11" s="190">
        <v>55000</v>
      </c>
      <c r="H11" s="190">
        <f>F11*G11</f>
        <v>110000</v>
      </c>
    </row>
    <row r="12" spans="1:9" ht="69.95" customHeight="1">
      <c r="A12" s="181" t="s">
        <v>170</v>
      </c>
      <c r="B12" s="181">
        <v>500</v>
      </c>
      <c r="C12" s="181" t="s">
        <v>73</v>
      </c>
      <c r="D12" s="195" t="s">
        <v>171</v>
      </c>
      <c r="E12" s="182"/>
      <c r="F12" s="182">
        <v>1</v>
      </c>
      <c r="G12" s="182"/>
      <c r="H12" s="182"/>
    </row>
    <row r="13" spans="1:9" s="233" customFormat="1" ht="69.95" customHeight="1">
      <c r="A13" s="181" t="s">
        <v>172</v>
      </c>
      <c r="B13" s="181">
        <v>500</v>
      </c>
      <c r="C13" s="181"/>
      <c r="D13" s="195" t="s">
        <v>107</v>
      </c>
      <c r="E13" s="182"/>
      <c r="F13" s="182">
        <v>1</v>
      </c>
      <c r="G13" s="186">
        <f>20000</f>
        <v>20000</v>
      </c>
      <c r="H13" s="186">
        <f>F13*G13</f>
        <v>20000</v>
      </c>
    </row>
    <row r="14" spans="1:9" s="233" customFormat="1" ht="69.95" customHeight="1">
      <c r="A14" s="181" t="s">
        <v>173</v>
      </c>
      <c r="B14" s="181">
        <v>500</v>
      </c>
      <c r="C14" s="181"/>
      <c r="D14" s="195" t="s">
        <v>174</v>
      </c>
      <c r="E14" s="182" t="s">
        <v>140</v>
      </c>
      <c r="F14" s="181">
        <v>1</v>
      </c>
      <c r="G14" s="182"/>
      <c r="H14" s="182"/>
    </row>
    <row r="15" spans="1:9" s="233" customFormat="1" ht="69.95" customHeight="1">
      <c r="A15" s="181" t="s">
        <v>175</v>
      </c>
      <c r="B15" s="181">
        <v>500</v>
      </c>
      <c r="C15" s="181" t="s">
        <v>73</v>
      </c>
      <c r="D15" s="181" t="s">
        <v>176</v>
      </c>
      <c r="E15" s="181"/>
      <c r="F15" s="181">
        <v>2</v>
      </c>
      <c r="G15" s="181"/>
      <c r="H15" s="181"/>
    </row>
    <row r="16" spans="1:9" s="233" customFormat="1" ht="69.95" customHeight="1">
      <c r="A16" s="181" t="s">
        <v>177</v>
      </c>
      <c r="B16" s="181">
        <v>500</v>
      </c>
      <c r="C16" s="181" t="s">
        <v>73</v>
      </c>
      <c r="D16" s="181" t="s">
        <v>178</v>
      </c>
      <c r="E16" s="181"/>
      <c r="F16" s="181">
        <v>1</v>
      </c>
      <c r="G16" s="181"/>
      <c r="H16" s="181"/>
    </row>
    <row r="17" spans="1:8" s="233" customFormat="1" ht="69.95" customHeight="1">
      <c r="A17" s="181" t="s">
        <v>179</v>
      </c>
      <c r="B17" s="181">
        <v>500</v>
      </c>
      <c r="C17" s="181"/>
      <c r="D17" s="181" t="s">
        <v>107</v>
      </c>
      <c r="E17" s="181"/>
      <c r="F17" s="181">
        <v>1</v>
      </c>
      <c r="G17" s="181"/>
      <c r="H17" s="181"/>
    </row>
    <row r="18" spans="1:8" s="233" customFormat="1" ht="69.95" customHeight="1">
      <c r="A18" s="181" t="s">
        <v>180</v>
      </c>
      <c r="B18" s="181">
        <v>500</v>
      </c>
      <c r="C18" s="181"/>
      <c r="D18" s="181" t="s">
        <v>174</v>
      </c>
      <c r="E18" s="181" t="s">
        <v>140</v>
      </c>
      <c r="F18" s="181">
        <v>1</v>
      </c>
      <c r="G18" s="181"/>
      <c r="H18" s="181"/>
    </row>
    <row r="19" spans="1:8" s="233" customFormat="1" ht="69.95" customHeight="1">
      <c r="A19" s="181" t="s">
        <v>181</v>
      </c>
      <c r="B19" s="182">
        <v>500</v>
      </c>
      <c r="C19" s="181" t="s">
        <v>182</v>
      </c>
      <c r="D19" s="181" t="s">
        <v>183</v>
      </c>
      <c r="E19" s="182"/>
      <c r="F19" s="182">
        <v>13</v>
      </c>
      <c r="G19" s="186">
        <v>60000</v>
      </c>
      <c r="H19" s="186">
        <f>F19*G19</f>
        <v>780000</v>
      </c>
    </row>
    <row r="20" spans="1:8" s="233" customFormat="1" ht="69.95" customHeight="1">
      <c r="A20" s="181" t="s">
        <v>184</v>
      </c>
      <c r="B20" s="182">
        <v>500</v>
      </c>
      <c r="C20" s="181" t="s">
        <v>182</v>
      </c>
      <c r="D20" s="181" t="s">
        <v>185</v>
      </c>
      <c r="E20" s="182"/>
      <c r="F20" s="182">
        <v>1</v>
      </c>
      <c r="G20" s="182"/>
      <c r="H20" s="182"/>
    </row>
    <row r="21" spans="1:8" s="233" customFormat="1" ht="69.95" customHeight="1">
      <c r="A21" s="181" t="s">
        <v>186</v>
      </c>
      <c r="B21" s="182">
        <v>500</v>
      </c>
      <c r="C21" s="181" t="s">
        <v>182</v>
      </c>
      <c r="D21" s="181" t="s">
        <v>187</v>
      </c>
      <c r="E21" s="182"/>
      <c r="F21" s="182">
        <v>1</v>
      </c>
      <c r="G21" s="182"/>
      <c r="H21" s="182"/>
    </row>
    <row r="22" spans="1:8" s="233" customFormat="1" ht="69.95" customHeight="1">
      <c r="A22" s="181" t="s">
        <v>188</v>
      </c>
      <c r="B22" s="182">
        <v>500</v>
      </c>
      <c r="C22" s="181" t="s">
        <v>182</v>
      </c>
      <c r="D22" s="181" t="s">
        <v>189</v>
      </c>
      <c r="E22" s="182"/>
      <c r="F22" s="182">
        <v>1</v>
      </c>
      <c r="G22" s="186">
        <v>50000</v>
      </c>
      <c r="H22" s="186">
        <f>F22*G22</f>
        <v>50000</v>
      </c>
    </row>
    <row r="23" spans="1:8" ht="15" customHeight="1">
      <c r="A23" s="1467" t="s">
        <v>96</v>
      </c>
      <c r="B23" s="1468"/>
      <c r="C23" s="1468"/>
      <c r="D23" s="1468"/>
      <c r="E23" s="1468"/>
      <c r="F23" s="1468"/>
      <c r="G23" s="1469"/>
      <c r="H23" s="1473">
        <f>SUM(H11:H22)</f>
        <v>960000</v>
      </c>
    </row>
    <row r="24" spans="1:8" ht="15" customHeight="1">
      <c r="A24" s="1470"/>
      <c r="B24" s="1471"/>
      <c r="C24" s="1471"/>
      <c r="D24" s="1471"/>
      <c r="E24" s="1471"/>
      <c r="F24" s="1471"/>
      <c r="G24" s="1472"/>
      <c r="H24" s="1474"/>
    </row>
    <row r="25" spans="1:8" ht="15" customHeight="1">
      <c r="A25" s="1467" t="s">
        <v>121</v>
      </c>
      <c r="B25" s="1468"/>
      <c r="C25" s="1468"/>
      <c r="D25" s="1468"/>
      <c r="E25" s="1468"/>
      <c r="F25" s="1468"/>
      <c r="G25" s="1469"/>
      <c r="H25" s="1473">
        <f>H23</f>
        <v>960000</v>
      </c>
    </row>
    <row r="26" spans="1:8" ht="15" customHeight="1">
      <c r="A26" s="1470"/>
      <c r="B26" s="1471"/>
      <c r="C26" s="1471"/>
      <c r="D26" s="1471"/>
      <c r="E26" s="1471"/>
      <c r="F26" s="1471"/>
      <c r="G26" s="1472"/>
      <c r="H26" s="1474"/>
    </row>
    <row r="27" spans="1:8" s="233" customFormat="1" ht="69.95" customHeight="1">
      <c r="A27" s="181" t="s">
        <v>190</v>
      </c>
      <c r="B27" s="182">
        <v>500</v>
      </c>
      <c r="C27" s="181" t="s">
        <v>182</v>
      </c>
      <c r="D27" s="195" t="s">
        <v>191</v>
      </c>
      <c r="E27" s="182"/>
      <c r="F27" s="182">
        <v>1</v>
      </c>
      <c r="G27" s="186">
        <v>35000</v>
      </c>
      <c r="H27" s="186">
        <f>F27*G27</f>
        <v>35000</v>
      </c>
    </row>
    <row r="28" spans="1:8" s="233" customFormat="1" ht="69.95" customHeight="1">
      <c r="A28" s="181" t="s">
        <v>192</v>
      </c>
      <c r="B28" s="182">
        <v>500</v>
      </c>
      <c r="C28" s="181" t="s">
        <v>182</v>
      </c>
      <c r="D28" s="195" t="s">
        <v>193</v>
      </c>
      <c r="E28" s="182"/>
      <c r="F28" s="182">
        <v>1</v>
      </c>
      <c r="G28" s="182"/>
      <c r="H28" s="182"/>
    </row>
    <row r="29" spans="1:8" s="233" customFormat="1" ht="69.95" customHeight="1">
      <c r="A29" s="181" t="s">
        <v>192</v>
      </c>
      <c r="B29" s="182">
        <v>500</v>
      </c>
      <c r="C29" s="181" t="s">
        <v>182</v>
      </c>
      <c r="D29" s="195" t="s">
        <v>194</v>
      </c>
      <c r="E29" s="182"/>
      <c r="F29" s="182">
        <v>1</v>
      </c>
      <c r="G29" s="182"/>
      <c r="H29" s="182"/>
    </row>
    <row r="30" spans="1:8" s="233" customFormat="1" ht="110.1" customHeight="1">
      <c r="A30" s="181" t="s">
        <v>195</v>
      </c>
      <c r="B30" s="182">
        <v>500</v>
      </c>
      <c r="C30" s="181" t="s">
        <v>182</v>
      </c>
      <c r="D30" s="195" t="s">
        <v>196</v>
      </c>
      <c r="E30" s="182"/>
      <c r="F30" s="182">
        <v>1</v>
      </c>
      <c r="G30" s="182"/>
      <c r="H30" s="182"/>
    </row>
    <row r="31" spans="1:8" s="233" customFormat="1" ht="110.1" customHeight="1">
      <c r="A31" s="181" t="s">
        <v>197</v>
      </c>
      <c r="B31" s="182">
        <v>500</v>
      </c>
      <c r="C31" s="181" t="s">
        <v>182</v>
      </c>
      <c r="D31" s="195" t="s">
        <v>198</v>
      </c>
      <c r="E31" s="182"/>
      <c r="F31" s="182">
        <v>1</v>
      </c>
      <c r="G31" s="186">
        <v>55000</v>
      </c>
      <c r="H31" s="186">
        <f>F31*G31</f>
        <v>55000</v>
      </c>
    </row>
    <row r="32" spans="1:8" s="233" customFormat="1" ht="110.1" customHeight="1">
      <c r="A32" s="181" t="s">
        <v>199</v>
      </c>
      <c r="B32" s="182">
        <v>500</v>
      </c>
      <c r="C32" s="181" t="s">
        <v>182</v>
      </c>
      <c r="D32" s="195" t="s">
        <v>200</v>
      </c>
      <c r="E32" s="182"/>
      <c r="F32" s="182">
        <v>1</v>
      </c>
      <c r="G32" s="182"/>
      <c r="H32" s="182"/>
    </row>
    <row r="33" spans="1:8" s="233" customFormat="1" ht="69.95" customHeight="1">
      <c r="A33" s="181" t="s">
        <v>201</v>
      </c>
      <c r="B33" s="182">
        <v>500</v>
      </c>
      <c r="C33" s="181" t="s">
        <v>182</v>
      </c>
      <c r="D33" s="195" t="s">
        <v>202</v>
      </c>
      <c r="E33" s="182"/>
      <c r="F33" s="182">
        <v>1</v>
      </c>
      <c r="G33" s="186">
        <v>60000</v>
      </c>
      <c r="H33" s="186">
        <f>F33*G33</f>
        <v>60000</v>
      </c>
    </row>
    <row r="34" spans="1:8" ht="69.95" customHeight="1">
      <c r="A34" s="181" t="s">
        <v>203</v>
      </c>
      <c r="B34" s="182">
        <v>500</v>
      </c>
      <c r="C34" s="181"/>
      <c r="D34" s="195" t="s">
        <v>107</v>
      </c>
      <c r="E34" s="182"/>
      <c r="F34" s="182">
        <v>1</v>
      </c>
      <c r="G34" s="186">
        <v>20000</v>
      </c>
      <c r="H34" s="186">
        <f>F34*G34</f>
        <v>20000</v>
      </c>
    </row>
    <row r="35" spans="1:8" ht="69.95" customHeight="1">
      <c r="A35" s="181" t="s">
        <v>204</v>
      </c>
      <c r="B35" s="182">
        <v>600</v>
      </c>
      <c r="C35" s="181" t="s">
        <v>205</v>
      </c>
      <c r="D35" s="181" t="s">
        <v>206</v>
      </c>
      <c r="E35" s="182"/>
      <c r="F35" s="182">
        <v>15</v>
      </c>
      <c r="G35" s="186">
        <v>70000</v>
      </c>
      <c r="H35" s="186">
        <f>F35*G35</f>
        <v>1050000</v>
      </c>
    </row>
    <row r="36" spans="1:8" ht="69.95" customHeight="1">
      <c r="A36" s="181" t="s">
        <v>207</v>
      </c>
      <c r="B36" s="182">
        <v>600</v>
      </c>
      <c r="C36" s="181" t="s">
        <v>205</v>
      </c>
      <c r="D36" s="197" t="s">
        <v>208</v>
      </c>
      <c r="E36" s="182"/>
      <c r="F36" s="182">
        <v>1</v>
      </c>
      <c r="G36" s="186">
        <v>60000</v>
      </c>
      <c r="H36" s="186">
        <f>F36*G36</f>
        <v>60000</v>
      </c>
    </row>
    <row r="38" spans="1:8" ht="15" customHeight="1">
      <c r="A38" s="1467" t="s">
        <v>96</v>
      </c>
      <c r="B38" s="1468"/>
      <c r="C38" s="1468"/>
      <c r="D38" s="1468"/>
      <c r="E38" s="1468"/>
      <c r="F38" s="1468"/>
      <c r="G38" s="1469"/>
      <c r="H38" s="1473">
        <f>SUM(H25:H37)</f>
        <v>2240000</v>
      </c>
    </row>
    <row r="39" spans="1:8" ht="15" customHeight="1">
      <c r="A39" s="1470"/>
      <c r="B39" s="1471"/>
      <c r="C39" s="1471"/>
      <c r="D39" s="1471"/>
      <c r="E39" s="1471"/>
      <c r="F39" s="1471"/>
      <c r="G39" s="1472"/>
      <c r="H39" s="1474"/>
    </row>
    <row r="40" spans="1:8" ht="15" customHeight="1">
      <c r="A40" s="1467" t="s">
        <v>121</v>
      </c>
      <c r="B40" s="1468"/>
      <c r="C40" s="1468"/>
      <c r="D40" s="1468"/>
      <c r="E40" s="1468"/>
      <c r="F40" s="1468"/>
      <c r="G40" s="1469"/>
      <c r="H40" s="1473">
        <f>H38</f>
        <v>2240000</v>
      </c>
    </row>
    <row r="41" spans="1:8" ht="15" customHeight="1">
      <c r="A41" s="1470"/>
      <c r="B41" s="1471"/>
      <c r="C41" s="1471"/>
      <c r="D41" s="1471"/>
      <c r="E41" s="1471"/>
      <c r="F41" s="1471"/>
      <c r="G41" s="1472"/>
      <c r="H41" s="1474"/>
    </row>
    <row r="42" spans="1:8" ht="69.95" customHeight="1">
      <c r="A42" s="181" t="s">
        <v>209</v>
      </c>
      <c r="B42" s="182">
        <v>600</v>
      </c>
      <c r="C42" s="181" t="s">
        <v>205</v>
      </c>
      <c r="D42" s="181" t="s">
        <v>210</v>
      </c>
      <c r="E42" s="182"/>
      <c r="F42" s="182">
        <v>1</v>
      </c>
      <c r="G42" s="186">
        <v>50000</v>
      </c>
      <c r="H42" s="186">
        <f>F42*G42</f>
        <v>50000</v>
      </c>
    </row>
    <row r="43" spans="1:8" ht="69.95" customHeight="1">
      <c r="A43" s="181" t="s">
        <v>211</v>
      </c>
      <c r="B43" s="182">
        <v>600</v>
      </c>
      <c r="C43" s="181" t="s">
        <v>205</v>
      </c>
      <c r="D43" s="181" t="s">
        <v>212</v>
      </c>
      <c r="E43" s="182"/>
      <c r="F43" s="182">
        <v>1</v>
      </c>
      <c r="G43" s="182">
        <v>60000</v>
      </c>
      <c r="H43" s="186">
        <f>F43*G43</f>
        <v>60000</v>
      </c>
    </row>
    <row r="44" spans="1:8" ht="69.95" customHeight="1">
      <c r="A44" s="181" t="s">
        <v>213</v>
      </c>
      <c r="B44" s="182">
        <v>600</v>
      </c>
      <c r="C44" s="181" t="s">
        <v>205</v>
      </c>
      <c r="D44" s="181" t="s">
        <v>214</v>
      </c>
      <c r="E44" s="182"/>
      <c r="F44" s="182">
        <v>1</v>
      </c>
      <c r="G44" s="182"/>
      <c r="H44" s="182"/>
    </row>
    <row r="45" spans="1:8" s="233" customFormat="1" ht="110.1" customHeight="1">
      <c r="A45" s="181" t="s">
        <v>215</v>
      </c>
      <c r="B45" s="182">
        <v>600</v>
      </c>
      <c r="C45" s="181" t="s">
        <v>205</v>
      </c>
      <c r="D45" s="195" t="s">
        <v>216</v>
      </c>
      <c r="E45" s="182"/>
      <c r="F45" s="182">
        <v>1</v>
      </c>
      <c r="G45" s="186"/>
      <c r="H45" s="186">
        <f>F45*G45</f>
        <v>0</v>
      </c>
    </row>
    <row r="46" spans="1:8" s="233" customFormat="1" ht="69.95" customHeight="1">
      <c r="A46" s="181" t="s">
        <v>217</v>
      </c>
      <c r="B46" s="182">
        <v>600</v>
      </c>
      <c r="C46" s="181" t="s">
        <v>205</v>
      </c>
      <c r="D46" s="195" t="s">
        <v>218</v>
      </c>
      <c r="E46" s="182"/>
      <c r="F46" s="182">
        <v>1</v>
      </c>
      <c r="G46" s="186">
        <v>45000</v>
      </c>
      <c r="H46" s="186">
        <f>F46*G46</f>
        <v>45000</v>
      </c>
    </row>
    <row r="47" spans="1:8" s="233" customFormat="1" ht="69.95" customHeight="1">
      <c r="A47" s="181" t="s">
        <v>219</v>
      </c>
      <c r="B47" s="182">
        <v>600</v>
      </c>
      <c r="C47" s="181"/>
      <c r="D47" s="195" t="s">
        <v>107</v>
      </c>
      <c r="E47" s="182"/>
      <c r="F47" s="182">
        <v>1</v>
      </c>
      <c r="G47" s="186">
        <v>25000</v>
      </c>
      <c r="H47" s="186">
        <f>F47*G47</f>
        <v>25000</v>
      </c>
    </row>
    <row r="48" spans="1:8" ht="15" customHeight="1">
      <c r="A48" s="1467" t="s">
        <v>96</v>
      </c>
      <c r="B48" s="1468"/>
      <c r="C48" s="1468"/>
      <c r="D48" s="1468"/>
      <c r="E48" s="1468"/>
      <c r="F48" s="1468"/>
      <c r="G48" s="1469"/>
      <c r="H48" s="1473">
        <f>SUM(H40:H47)</f>
        <v>2420000</v>
      </c>
    </row>
    <row r="49" spans="1:9" ht="15" customHeight="1">
      <c r="A49" s="1470"/>
      <c r="B49" s="1471"/>
      <c r="C49" s="1471"/>
      <c r="D49" s="1471"/>
      <c r="E49" s="1471"/>
      <c r="F49" s="1471"/>
      <c r="G49" s="1472"/>
      <c r="H49" s="1474"/>
    </row>
    <row r="50" spans="1:9" s="171" customFormat="1">
      <c r="I50" s="233"/>
    </row>
    <row r="51" spans="1:9" s="171" customFormat="1">
      <c r="I51" s="233"/>
    </row>
    <row r="52" spans="1:9" ht="90" customHeight="1"/>
    <row r="53" spans="1:9" ht="90" customHeight="1"/>
    <row r="54" spans="1:9" ht="90" customHeight="1"/>
  </sheetData>
  <mergeCells count="14">
    <mergeCell ref="C1:H1"/>
    <mergeCell ref="C2:H2"/>
    <mergeCell ref="E4:H4"/>
    <mergeCell ref="C5:H5"/>
    <mergeCell ref="A48:G49"/>
    <mergeCell ref="H48:H49"/>
    <mergeCell ref="A23:G24"/>
    <mergeCell ref="H23:H24"/>
    <mergeCell ref="A25:G26"/>
    <mergeCell ref="H25:H26"/>
    <mergeCell ref="A38:G39"/>
    <mergeCell ref="H38:H39"/>
    <mergeCell ref="A40:G41"/>
    <mergeCell ref="H40:H41"/>
  </mergeCells>
  <pageMargins left="0.70866141732283472" right="0.70866141732283472" top="0.74803149606299213" bottom="0.74803149606299213" header="0.31496062992125984" footer="0.31496062992125984"/>
  <pageSetup paperSize="9" scale="70" orientation="portrait" r:id="rId1"/>
  <rowBreaks count="2" manualBreakCount="2">
    <brk id="24" max="7" man="1"/>
    <brk id="39" max="7" man="1"/>
  </rowBreaks>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1CA44-0D9F-4EAC-BFC5-0EE24133636A}">
  <dimension ref="A1:I314"/>
  <sheetViews>
    <sheetView view="pageBreakPreview" topLeftCell="A292" zoomScaleNormal="70" zoomScaleSheetLayoutView="100" zoomScalePageLayoutView="70" workbookViewId="0">
      <selection activeCell="D18" sqref="D18"/>
    </sheetView>
  </sheetViews>
  <sheetFormatPr defaultColWidth="9.140625" defaultRowHeight="12.75"/>
  <cols>
    <col min="1" max="1" width="8.5703125" style="173" customWidth="1"/>
    <col min="2" max="2" width="5.85546875" style="173" customWidth="1"/>
    <col min="3" max="3" width="9.42578125" style="173" customWidth="1"/>
    <col min="4" max="4" width="25.7109375" style="191" customWidth="1"/>
    <col min="5" max="5" width="28.7109375" style="173" customWidth="1"/>
    <col min="6" max="6" width="7.28515625" style="173" customWidth="1"/>
    <col min="7" max="7" width="15.7109375" style="173" customWidth="1"/>
    <col min="8" max="8" width="20.7109375" style="173" customWidth="1"/>
    <col min="9" max="9" width="22" style="233" customWidth="1"/>
    <col min="10" max="16384" width="9.140625" style="173"/>
  </cols>
  <sheetData>
    <row r="1" spans="1:9" s="172" customFormat="1">
      <c r="C1" s="1466" t="s">
        <v>59</v>
      </c>
      <c r="D1" s="1466"/>
      <c r="E1" s="1466"/>
      <c r="F1" s="1466"/>
      <c r="G1" s="1466"/>
      <c r="H1" s="1466"/>
      <c r="I1" s="234"/>
    </row>
    <row r="2" spans="1:9" s="172" customFormat="1">
      <c r="C2" s="1466" t="s">
        <v>60</v>
      </c>
      <c r="D2" s="1466"/>
      <c r="E2" s="1466"/>
      <c r="F2" s="1466"/>
      <c r="G2" s="1466"/>
      <c r="H2" s="1466"/>
      <c r="I2" s="234"/>
    </row>
    <row r="3" spans="1:9" s="172" customFormat="1">
      <c r="I3" s="234"/>
    </row>
    <row r="4" spans="1:9" s="172" customFormat="1">
      <c r="C4" s="174"/>
      <c r="D4" s="174"/>
      <c r="E4" s="1466"/>
      <c r="F4" s="1466"/>
      <c r="G4" s="1466"/>
      <c r="H4" s="1466"/>
      <c r="I4" s="234"/>
    </row>
    <row r="5" spans="1:9" s="172" customFormat="1">
      <c r="C5" s="1466" t="s">
        <v>61</v>
      </c>
      <c r="D5" s="1466"/>
      <c r="E5" s="1466"/>
      <c r="F5" s="1466"/>
      <c r="G5" s="1466"/>
      <c r="H5" s="1466"/>
      <c r="I5" s="234"/>
    </row>
    <row r="6" spans="1:9" s="171" customFormat="1">
      <c r="F6" s="180"/>
      <c r="G6" s="179"/>
      <c r="I6" s="233"/>
    </row>
    <row r="7" spans="1:9" s="171" customFormat="1">
      <c r="A7" s="172" t="s">
        <v>62</v>
      </c>
      <c r="C7" s="172" t="s">
        <v>63</v>
      </c>
      <c r="F7" s="180"/>
      <c r="G7" s="179"/>
      <c r="I7" s="233"/>
    </row>
    <row r="8" spans="1:9" s="171" customFormat="1">
      <c r="C8" s="172" t="s">
        <v>78</v>
      </c>
      <c r="F8" s="180"/>
      <c r="G8" s="179"/>
      <c r="I8" s="233"/>
    </row>
    <row r="9" spans="1:9" s="171" customFormat="1">
      <c r="F9" s="180"/>
      <c r="G9" s="179"/>
      <c r="I9" s="233"/>
    </row>
    <row r="10" spans="1:9" ht="25.5">
      <c r="A10" s="181" t="s">
        <v>65</v>
      </c>
      <c r="B10" s="181" t="s">
        <v>66</v>
      </c>
      <c r="C10" s="181" t="s">
        <v>67</v>
      </c>
      <c r="D10" s="182" t="s">
        <v>68</v>
      </c>
      <c r="E10" s="182" t="s">
        <v>69</v>
      </c>
      <c r="F10" s="182" t="s">
        <v>70</v>
      </c>
      <c r="G10" s="182" t="s">
        <v>71</v>
      </c>
      <c r="H10" s="182" t="s">
        <v>1</v>
      </c>
    </row>
    <row r="11" spans="1:9" ht="69.95" customHeight="1">
      <c r="A11" s="182" t="s">
        <v>79</v>
      </c>
      <c r="B11" s="182">
        <v>350</v>
      </c>
      <c r="C11" s="181" t="s">
        <v>73</v>
      </c>
      <c r="D11" s="195" t="s">
        <v>80</v>
      </c>
      <c r="E11" s="182"/>
      <c r="F11" s="182">
        <v>1</v>
      </c>
      <c r="G11" s="183"/>
      <c r="H11" s="182"/>
    </row>
    <row r="12" spans="1:9" ht="69.95" customHeight="1">
      <c r="A12" s="182" t="s">
        <v>81</v>
      </c>
      <c r="B12" s="182">
        <v>350</v>
      </c>
      <c r="C12" s="181" t="s">
        <v>73</v>
      </c>
      <c r="D12" s="671" t="s">
        <v>82</v>
      </c>
      <c r="E12" s="182"/>
      <c r="F12" s="182">
        <v>1</v>
      </c>
      <c r="G12" s="183"/>
      <c r="H12" s="182"/>
    </row>
    <row r="13" spans="1:9" ht="69.95" customHeight="1">
      <c r="A13" s="182" t="s">
        <v>83</v>
      </c>
      <c r="B13" s="182">
        <v>350</v>
      </c>
      <c r="C13" s="181" t="s">
        <v>73</v>
      </c>
      <c r="D13" s="195" t="s">
        <v>84</v>
      </c>
      <c r="E13" s="182"/>
      <c r="F13" s="182">
        <v>1</v>
      </c>
      <c r="G13" s="182"/>
      <c r="H13" s="182"/>
    </row>
    <row r="14" spans="1:9">
      <c r="A14" s="1486" t="s">
        <v>96</v>
      </c>
      <c r="B14" s="1486"/>
      <c r="C14" s="1486"/>
      <c r="D14" s="1486"/>
      <c r="E14" s="1486"/>
      <c r="F14" s="1486"/>
      <c r="G14" s="1486"/>
      <c r="H14" s="1487">
        <f>SUM(H11:H13)</f>
        <v>0</v>
      </c>
    </row>
    <row r="15" spans="1:9">
      <c r="A15" s="1486"/>
      <c r="B15" s="1486"/>
      <c r="C15" s="1486"/>
      <c r="D15" s="1486"/>
      <c r="E15" s="1486"/>
      <c r="F15" s="1486"/>
      <c r="G15" s="1486"/>
      <c r="H15" s="1487"/>
    </row>
    <row r="16" spans="1:9">
      <c r="A16" s="232"/>
      <c r="B16" s="232"/>
      <c r="C16" s="232"/>
      <c r="D16" s="232"/>
      <c r="E16" s="232"/>
      <c r="F16" s="232"/>
      <c r="G16" s="232"/>
      <c r="H16" s="400"/>
    </row>
    <row r="17" spans="1:8">
      <c r="A17" s="232"/>
      <c r="B17" s="232"/>
      <c r="C17" s="232"/>
      <c r="D17" s="232"/>
      <c r="E17" s="232"/>
      <c r="F17" s="232"/>
      <c r="G17" s="232"/>
      <c r="H17" s="400"/>
    </row>
    <row r="18" spans="1:8">
      <c r="A18" s="232"/>
      <c r="B18" s="232"/>
      <c r="C18" s="232"/>
      <c r="D18" s="232"/>
      <c r="E18" s="232"/>
      <c r="F18" s="232"/>
      <c r="G18" s="232"/>
      <c r="H18" s="400"/>
    </row>
    <row r="19" spans="1:8">
      <c r="A19" s="232"/>
      <c r="B19" s="232"/>
      <c r="C19" s="232"/>
      <c r="D19" s="232"/>
      <c r="E19" s="232"/>
      <c r="F19" s="232"/>
      <c r="G19" s="232"/>
      <c r="H19" s="400"/>
    </row>
    <row r="20" spans="1:8">
      <c r="A20" s="232"/>
      <c r="B20" s="232"/>
      <c r="C20" s="232"/>
      <c r="D20" s="232"/>
      <c r="E20" s="232"/>
      <c r="F20" s="232"/>
      <c r="G20" s="232"/>
      <c r="H20" s="400"/>
    </row>
    <row r="21" spans="1:8">
      <c r="A21" s="232"/>
      <c r="B21" s="232"/>
      <c r="C21" s="232"/>
      <c r="D21" s="232"/>
      <c r="E21" s="232"/>
      <c r="F21" s="232"/>
      <c r="G21" s="232"/>
      <c r="H21" s="400"/>
    </row>
    <row r="22" spans="1:8">
      <c r="A22" s="232"/>
      <c r="B22" s="232"/>
      <c r="C22" s="232"/>
      <c r="D22" s="232"/>
      <c r="E22" s="232"/>
      <c r="F22" s="232"/>
      <c r="G22" s="232"/>
      <c r="H22" s="400"/>
    </row>
    <row r="23" spans="1:8">
      <c r="A23" s="232"/>
      <c r="B23" s="232"/>
      <c r="C23" s="232"/>
      <c r="D23" s="232"/>
      <c r="E23" s="232"/>
      <c r="F23" s="232"/>
      <c r="G23" s="232"/>
      <c r="H23" s="400"/>
    </row>
    <row r="24" spans="1:8">
      <c r="A24" s="232"/>
      <c r="B24" s="232"/>
      <c r="C24" s="232"/>
      <c r="D24" s="232"/>
      <c r="E24" s="232"/>
      <c r="F24" s="232"/>
      <c r="G24" s="232"/>
      <c r="H24" s="400"/>
    </row>
    <row r="25" spans="1:8">
      <c r="A25" s="232"/>
      <c r="B25" s="232"/>
      <c r="C25" s="232"/>
      <c r="D25" s="232"/>
      <c r="E25" s="232"/>
      <c r="F25" s="232"/>
      <c r="G25" s="232"/>
      <c r="H25" s="400"/>
    </row>
    <row r="26" spans="1:8">
      <c r="A26" s="232"/>
      <c r="B26" s="232"/>
      <c r="C26" s="232"/>
      <c r="D26" s="232"/>
      <c r="E26" s="232"/>
      <c r="F26" s="232"/>
      <c r="G26" s="232"/>
      <c r="H26" s="400"/>
    </row>
    <row r="27" spans="1:8">
      <c r="A27" s="232"/>
      <c r="B27" s="232"/>
      <c r="C27" s="232"/>
      <c r="D27" s="232"/>
      <c r="E27" s="232"/>
      <c r="F27" s="232"/>
      <c r="G27" s="232"/>
      <c r="H27" s="400"/>
    </row>
    <row r="28" spans="1:8">
      <c r="A28" s="232"/>
      <c r="B28" s="232"/>
      <c r="C28" s="232"/>
      <c r="D28" s="232"/>
      <c r="E28" s="232"/>
      <c r="F28" s="232"/>
      <c r="G28" s="232"/>
      <c r="H28" s="400"/>
    </row>
    <row r="29" spans="1:8">
      <c r="A29" s="232"/>
      <c r="B29" s="232"/>
      <c r="C29" s="232"/>
      <c r="D29" s="232"/>
      <c r="E29" s="232"/>
      <c r="F29" s="232"/>
      <c r="G29" s="232"/>
      <c r="H29" s="400"/>
    </row>
    <row r="30" spans="1:8">
      <c r="A30" s="232"/>
      <c r="B30" s="232"/>
      <c r="C30" s="232"/>
      <c r="D30" s="232"/>
      <c r="E30" s="232"/>
      <c r="F30" s="232"/>
      <c r="G30" s="232"/>
      <c r="H30" s="400"/>
    </row>
    <row r="31" spans="1:8">
      <c r="A31" s="232"/>
      <c r="B31" s="232"/>
      <c r="C31" s="232"/>
      <c r="D31" s="232"/>
      <c r="E31" s="232"/>
      <c r="F31" s="232"/>
      <c r="G31" s="232"/>
      <c r="H31" s="400"/>
    </row>
    <row r="32" spans="1:8">
      <c r="A32" s="232"/>
      <c r="B32" s="232"/>
      <c r="C32" s="232"/>
      <c r="D32" s="232"/>
      <c r="E32" s="232"/>
      <c r="F32" s="232"/>
      <c r="G32" s="232"/>
      <c r="H32" s="400"/>
    </row>
    <row r="33" spans="1:8">
      <c r="A33" s="232"/>
      <c r="B33" s="232"/>
      <c r="C33" s="232"/>
      <c r="D33" s="232"/>
      <c r="E33" s="232"/>
      <c r="F33" s="232"/>
      <c r="G33" s="232"/>
      <c r="H33" s="400"/>
    </row>
    <row r="34" spans="1:8">
      <c r="A34" s="232"/>
      <c r="B34" s="232"/>
      <c r="C34" s="232"/>
      <c r="D34" s="232"/>
      <c r="E34" s="232"/>
      <c r="F34" s="232"/>
      <c r="G34" s="232"/>
      <c r="H34" s="400"/>
    </row>
    <row r="35" spans="1:8">
      <c r="A35" s="232"/>
      <c r="B35" s="232"/>
      <c r="C35" s="232"/>
      <c r="D35" s="232"/>
      <c r="E35" s="232"/>
      <c r="F35" s="232"/>
      <c r="G35" s="232"/>
      <c r="H35" s="400"/>
    </row>
    <row r="36" spans="1:8">
      <c r="A36" s="232"/>
      <c r="B36" s="232"/>
      <c r="C36" s="232"/>
      <c r="D36" s="232"/>
      <c r="E36" s="232"/>
      <c r="F36" s="232"/>
      <c r="G36" s="232"/>
      <c r="H36" s="400"/>
    </row>
    <row r="37" spans="1:8">
      <c r="A37" s="232"/>
      <c r="B37" s="232"/>
      <c r="C37" s="232"/>
      <c r="D37" s="232"/>
      <c r="E37" s="232"/>
      <c r="F37" s="232"/>
      <c r="G37" s="232"/>
      <c r="H37" s="400"/>
    </row>
    <row r="38" spans="1:8">
      <c r="A38" s="232"/>
      <c r="B38" s="232"/>
      <c r="C38" s="232"/>
      <c r="D38" s="232"/>
      <c r="E38" s="232"/>
      <c r="F38" s="232"/>
      <c r="G38" s="232"/>
      <c r="H38" s="400"/>
    </row>
    <row r="39" spans="1:8">
      <c r="A39" s="232"/>
      <c r="B39" s="232"/>
      <c r="C39" s="232"/>
      <c r="D39" s="232"/>
      <c r="E39" s="232"/>
      <c r="F39" s="232"/>
      <c r="G39" s="232"/>
      <c r="H39" s="400"/>
    </row>
    <row r="40" spans="1:8">
      <c r="A40" s="232"/>
      <c r="B40" s="232"/>
      <c r="C40" s="232"/>
      <c r="D40" s="232"/>
      <c r="E40" s="232"/>
      <c r="F40" s="232"/>
      <c r="G40" s="232"/>
      <c r="H40" s="400"/>
    </row>
    <row r="41" spans="1:8">
      <c r="A41" s="232"/>
      <c r="B41" s="232"/>
      <c r="C41" s="232"/>
      <c r="D41" s="232"/>
      <c r="E41" s="232"/>
      <c r="F41" s="232"/>
      <c r="G41" s="232"/>
      <c r="H41" s="400"/>
    </row>
    <row r="42" spans="1:8">
      <c r="A42" s="232"/>
      <c r="B42" s="232"/>
      <c r="C42" s="232"/>
      <c r="D42" s="232"/>
      <c r="E42" s="232"/>
      <c r="F42" s="232"/>
      <c r="G42" s="232"/>
      <c r="H42" s="400"/>
    </row>
    <row r="43" spans="1:8">
      <c r="A43" s="232"/>
      <c r="B43" s="232"/>
      <c r="C43" s="232"/>
      <c r="D43" s="232"/>
      <c r="E43" s="232"/>
      <c r="F43" s="232"/>
      <c r="G43" s="232"/>
      <c r="H43" s="400"/>
    </row>
    <row r="44" spans="1:8">
      <c r="A44" s="232"/>
      <c r="B44" s="232"/>
      <c r="C44" s="232"/>
      <c r="D44" s="232"/>
      <c r="E44" s="232"/>
      <c r="F44" s="232"/>
      <c r="G44" s="232"/>
      <c r="H44" s="400"/>
    </row>
    <row r="45" spans="1:8">
      <c r="A45" s="232"/>
      <c r="B45" s="232"/>
      <c r="C45" s="232"/>
      <c r="D45" s="232"/>
      <c r="E45" s="232"/>
      <c r="F45" s="232"/>
      <c r="G45" s="232"/>
      <c r="H45" s="400"/>
    </row>
    <row r="46" spans="1:8">
      <c r="A46" s="232"/>
      <c r="B46" s="232"/>
      <c r="C46" s="232"/>
      <c r="D46" s="232"/>
      <c r="E46" s="232"/>
      <c r="F46" s="232"/>
      <c r="G46" s="232"/>
      <c r="H46" s="400"/>
    </row>
    <row r="47" spans="1:8">
      <c r="A47" s="232"/>
      <c r="B47" s="232"/>
      <c r="C47" s="232"/>
      <c r="D47" s="232"/>
      <c r="E47" s="232"/>
      <c r="F47" s="232"/>
      <c r="G47" s="232"/>
      <c r="H47" s="400"/>
    </row>
    <row r="48" spans="1:8">
      <c r="A48" s="232"/>
      <c r="B48" s="232"/>
      <c r="C48" s="232"/>
      <c r="D48" s="232"/>
      <c r="E48" s="232"/>
      <c r="F48" s="232"/>
      <c r="G48" s="232"/>
      <c r="H48" s="400"/>
    </row>
    <row r="49" spans="1:8">
      <c r="A49" s="232"/>
      <c r="B49" s="232"/>
      <c r="C49" s="232"/>
      <c r="D49" s="232"/>
      <c r="E49" s="232"/>
      <c r="F49" s="232"/>
      <c r="G49" s="232"/>
      <c r="H49" s="400"/>
    </row>
    <row r="50" spans="1:8">
      <c r="A50" s="232"/>
      <c r="B50" s="232"/>
      <c r="C50" s="232"/>
      <c r="D50" s="232"/>
      <c r="E50" s="232"/>
      <c r="F50" s="232"/>
      <c r="G50" s="232"/>
      <c r="H50" s="400"/>
    </row>
    <row r="51" spans="1:8">
      <c r="A51" s="232"/>
      <c r="B51" s="232"/>
      <c r="C51" s="232"/>
      <c r="D51" s="232"/>
      <c r="E51" s="232"/>
      <c r="F51" s="232"/>
      <c r="G51" s="232"/>
      <c r="H51" s="400"/>
    </row>
    <row r="52" spans="1:8">
      <c r="A52" s="232"/>
      <c r="B52" s="232"/>
      <c r="C52" s="232"/>
      <c r="D52" s="232"/>
      <c r="E52" s="232"/>
      <c r="F52" s="232"/>
      <c r="G52" s="232"/>
      <c r="H52" s="400"/>
    </row>
    <row r="53" spans="1:8">
      <c r="A53" s="232"/>
      <c r="B53" s="232"/>
      <c r="C53" s="232"/>
      <c r="D53" s="232"/>
      <c r="E53" s="232"/>
      <c r="F53" s="232"/>
      <c r="G53" s="232"/>
      <c r="H53" s="400"/>
    </row>
    <row r="54" spans="1:8">
      <c r="A54" s="232"/>
      <c r="B54" s="232"/>
      <c r="C54" s="232"/>
      <c r="D54" s="232"/>
      <c r="E54" s="232"/>
      <c r="F54" s="232"/>
      <c r="G54" s="232"/>
      <c r="H54" s="400"/>
    </row>
    <row r="55" spans="1:8">
      <c r="A55" s="232"/>
      <c r="B55" s="232"/>
      <c r="C55" s="232"/>
      <c r="D55" s="232"/>
      <c r="E55" s="232"/>
      <c r="F55" s="232"/>
      <c r="G55" s="232"/>
      <c r="H55" s="400"/>
    </row>
    <row r="56" spans="1:8">
      <c r="A56" s="232"/>
      <c r="B56" s="232"/>
      <c r="C56" s="232"/>
      <c r="D56" s="232"/>
      <c r="E56" s="232"/>
      <c r="F56" s="232"/>
      <c r="G56" s="232"/>
      <c r="H56" s="400"/>
    </row>
    <row r="57" spans="1:8">
      <c r="A57" s="232"/>
      <c r="B57" s="232"/>
      <c r="C57" s="232"/>
      <c r="D57" s="232"/>
      <c r="E57" s="232"/>
      <c r="F57" s="232"/>
      <c r="G57" s="232"/>
      <c r="H57" s="400"/>
    </row>
    <row r="58" spans="1:8">
      <c r="A58" s="232"/>
      <c r="B58" s="232"/>
      <c r="C58" s="232"/>
      <c r="D58" s="232"/>
      <c r="E58" s="232"/>
      <c r="F58" s="232"/>
      <c r="G58" s="232"/>
      <c r="H58" s="400"/>
    </row>
    <row r="59" spans="1:8">
      <c r="A59" s="232"/>
      <c r="B59" s="232"/>
      <c r="C59" s="232"/>
      <c r="D59" s="232"/>
      <c r="E59" s="232"/>
      <c r="F59" s="232"/>
      <c r="G59" s="232"/>
      <c r="H59" s="400"/>
    </row>
    <row r="60" spans="1:8">
      <c r="A60" s="232"/>
      <c r="B60" s="232"/>
      <c r="C60" s="232"/>
      <c r="D60" s="232"/>
      <c r="E60" s="232"/>
      <c r="F60" s="232"/>
      <c r="G60" s="232"/>
      <c r="H60" s="400"/>
    </row>
    <row r="61" spans="1:8">
      <c r="A61" s="232"/>
      <c r="B61" s="232"/>
      <c r="C61" s="232"/>
      <c r="D61" s="232"/>
      <c r="E61" s="232"/>
      <c r="F61" s="232"/>
      <c r="G61" s="232"/>
      <c r="H61" s="400"/>
    </row>
    <row r="62" spans="1:8">
      <c r="A62" s="232"/>
      <c r="B62" s="232"/>
      <c r="C62" s="232"/>
      <c r="D62" s="232"/>
      <c r="E62" s="232"/>
      <c r="F62" s="232"/>
      <c r="G62" s="232"/>
      <c r="H62" s="400"/>
    </row>
    <row r="63" spans="1:8">
      <c r="A63" s="232"/>
      <c r="B63" s="232"/>
      <c r="C63" s="232"/>
      <c r="D63" s="232"/>
      <c r="E63" s="232"/>
      <c r="F63" s="232"/>
      <c r="G63" s="232"/>
      <c r="H63" s="400"/>
    </row>
    <row r="64" spans="1:8">
      <c r="A64" s="232"/>
      <c r="B64" s="232"/>
      <c r="C64" s="232"/>
      <c r="D64" s="232"/>
      <c r="E64" s="232"/>
      <c r="F64" s="232"/>
      <c r="G64" s="232"/>
      <c r="H64" s="400"/>
    </row>
    <row r="65" spans="1:9">
      <c r="A65" s="232"/>
      <c r="B65" s="232"/>
      <c r="C65" s="232"/>
      <c r="D65" s="232"/>
      <c r="E65" s="232"/>
      <c r="F65" s="232"/>
      <c r="G65" s="232"/>
      <c r="H65" s="400"/>
    </row>
    <row r="66" spans="1:9">
      <c r="A66" s="232"/>
      <c r="B66" s="232"/>
      <c r="C66" s="232"/>
      <c r="D66" s="232"/>
      <c r="E66" s="232"/>
      <c r="F66" s="232"/>
      <c r="G66" s="232"/>
      <c r="H66" s="400"/>
    </row>
    <row r="67" spans="1:9">
      <c r="A67" s="232"/>
      <c r="B67" s="232"/>
      <c r="C67" s="232"/>
      <c r="D67" s="232"/>
      <c r="E67" s="232"/>
      <c r="F67" s="232"/>
      <c r="G67" s="232"/>
      <c r="H67" s="400"/>
    </row>
    <row r="68" spans="1:9">
      <c r="A68" s="232"/>
      <c r="B68" s="232"/>
      <c r="C68" s="232"/>
      <c r="D68" s="232"/>
      <c r="E68" s="232"/>
      <c r="F68" s="232"/>
      <c r="G68" s="232"/>
      <c r="H68" s="400"/>
    </row>
    <row r="69" spans="1:9">
      <c r="A69" s="232"/>
      <c r="B69" s="232"/>
      <c r="C69" s="232"/>
      <c r="D69" s="232"/>
      <c r="E69" s="232"/>
      <c r="F69" s="232"/>
      <c r="G69" s="232"/>
      <c r="H69" s="400"/>
    </row>
    <row r="70" spans="1:9">
      <c r="A70" s="232"/>
      <c r="B70" s="232"/>
      <c r="C70" s="232"/>
      <c r="D70" s="232"/>
      <c r="E70" s="232"/>
      <c r="F70" s="232"/>
      <c r="G70" s="232"/>
      <c r="H70" s="400"/>
    </row>
    <row r="71" spans="1:9">
      <c r="A71" s="397"/>
      <c r="B71" s="398"/>
      <c r="C71" s="1488" t="s">
        <v>220</v>
      </c>
      <c r="D71" s="1488"/>
      <c r="E71" s="1488"/>
      <c r="F71" s="1489"/>
      <c r="G71" s="1489"/>
      <c r="H71" s="399">
        <f>H14</f>
        <v>0</v>
      </c>
    </row>
    <row r="72" spans="1:9" ht="15" customHeight="1">
      <c r="A72" s="183"/>
      <c r="B72" s="198"/>
      <c r="C72" s="196"/>
      <c r="D72" s="199"/>
      <c r="E72" s="182"/>
      <c r="F72" s="182"/>
      <c r="G72" s="183"/>
      <c r="H72" s="182"/>
    </row>
    <row r="73" spans="1:9" s="200" customFormat="1" ht="15" customHeight="1">
      <c r="A73" s="1477" t="s">
        <v>221</v>
      </c>
      <c r="B73" s="1478"/>
      <c r="C73" s="1478"/>
      <c r="D73" s="1478"/>
      <c r="E73" s="1478"/>
      <c r="F73" s="1478"/>
      <c r="G73" s="1478"/>
      <c r="H73" s="1479"/>
      <c r="I73" s="235"/>
    </row>
    <row r="74" spans="1:9" ht="15" customHeight="1">
      <c r="A74" s="201"/>
      <c r="B74" s="202"/>
      <c r="C74" s="202"/>
      <c r="D74" s="203"/>
      <c r="E74" s="182"/>
      <c r="F74" s="182"/>
      <c r="G74" s="183"/>
      <c r="H74" s="182"/>
    </row>
    <row r="75" spans="1:9" ht="110.1" customHeight="1">
      <c r="A75" s="181" t="s">
        <v>72</v>
      </c>
      <c r="B75" s="181">
        <v>150</v>
      </c>
      <c r="C75" s="181" t="s">
        <v>73</v>
      </c>
      <c r="D75" s="195" t="s">
        <v>74</v>
      </c>
      <c r="E75" s="181"/>
      <c r="F75" s="181">
        <v>1</v>
      </c>
      <c r="G75" s="184"/>
      <c r="H75" s="181"/>
    </row>
    <row r="76" spans="1:9" ht="69.95" customHeight="1">
      <c r="A76" s="181" t="s">
        <v>75</v>
      </c>
      <c r="B76" s="181">
        <v>150</v>
      </c>
      <c r="C76" s="181" t="s">
        <v>73</v>
      </c>
      <c r="D76" s="195" t="s">
        <v>76</v>
      </c>
      <c r="E76" s="181"/>
      <c r="F76" s="181">
        <v>1</v>
      </c>
      <c r="G76" s="184"/>
      <c r="H76" s="181"/>
    </row>
    <row r="77" spans="1:9" ht="15" customHeight="1">
      <c r="A77" s="204"/>
      <c r="B77" s="205"/>
      <c r="C77" s="205"/>
      <c r="D77" s="206"/>
      <c r="E77" s="205"/>
      <c r="F77" s="205"/>
      <c r="G77" s="205"/>
      <c r="H77" s="193"/>
    </row>
    <row r="78" spans="1:9" ht="15" customHeight="1">
      <c r="A78" s="1477" t="s">
        <v>222</v>
      </c>
      <c r="B78" s="1478"/>
      <c r="C78" s="1478"/>
      <c r="D78" s="1478"/>
      <c r="E78" s="1478"/>
      <c r="F78" s="1478"/>
      <c r="G78" s="1478"/>
      <c r="H78" s="1479"/>
    </row>
    <row r="79" spans="1:9" ht="15" customHeight="1">
      <c r="A79" s="207"/>
      <c r="B79" s="208"/>
      <c r="C79" s="208"/>
      <c r="D79" s="208"/>
      <c r="E79" s="208"/>
      <c r="F79" s="208"/>
      <c r="G79" s="208"/>
      <c r="H79" s="209"/>
    </row>
    <row r="80" spans="1:9" ht="69.95" customHeight="1">
      <c r="A80" s="181" t="s">
        <v>153</v>
      </c>
      <c r="B80" s="181">
        <v>150</v>
      </c>
      <c r="C80" s="181" t="s">
        <v>73</v>
      </c>
      <c r="D80" s="195" t="s">
        <v>154</v>
      </c>
      <c r="E80" s="182"/>
      <c r="F80" s="182">
        <v>1</v>
      </c>
      <c r="G80" s="186">
        <v>10500</v>
      </c>
      <c r="H80" s="186">
        <f>F80*G80</f>
        <v>10500</v>
      </c>
    </row>
    <row r="81" spans="1:8" ht="69.95" customHeight="1">
      <c r="A81" s="181" t="s">
        <v>155</v>
      </c>
      <c r="B81" s="181">
        <v>150</v>
      </c>
      <c r="C81" s="181" t="s">
        <v>73</v>
      </c>
      <c r="D81" s="195" t="s">
        <v>156</v>
      </c>
      <c r="E81" s="182"/>
      <c r="F81" s="182">
        <v>1</v>
      </c>
      <c r="G81" s="186">
        <v>15000</v>
      </c>
      <c r="H81" s="186">
        <f>F81*G81</f>
        <v>15000</v>
      </c>
    </row>
    <row r="82" spans="1:8" ht="75" customHeight="1">
      <c r="A82" s="181" t="s">
        <v>157</v>
      </c>
      <c r="B82" s="181">
        <v>350</v>
      </c>
      <c r="C82" s="181" t="s">
        <v>73</v>
      </c>
      <c r="D82" s="195" t="s">
        <v>158</v>
      </c>
      <c r="E82" s="182"/>
      <c r="F82" s="182">
        <v>1</v>
      </c>
      <c r="G82" s="186">
        <v>30000</v>
      </c>
      <c r="H82" s="186">
        <f>F82*G82</f>
        <v>30000</v>
      </c>
    </row>
    <row r="83" spans="1:8" ht="75" customHeight="1">
      <c r="A83" s="181" t="s">
        <v>159</v>
      </c>
      <c r="B83" s="181">
        <v>150</v>
      </c>
      <c r="C83" s="181" t="s">
        <v>73</v>
      </c>
      <c r="D83" s="195" t="s">
        <v>160</v>
      </c>
      <c r="E83" s="182"/>
      <c r="F83" s="182">
        <v>2</v>
      </c>
      <c r="G83" s="182"/>
      <c r="H83" s="186">
        <f>F83*G83</f>
        <v>0</v>
      </c>
    </row>
    <row r="84" spans="1:8" ht="69.95" customHeight="1">
      <c r="A84" s="181" t="s">
        <v>161</v>
      </c>
      <c r="B84" s="181">
        <v>150</v>
      </c>
      <c r="C84" s="181"/>
      <c r="D84" s="195" t="s">
        <v>162</v>
      </c>
      <c r="E84" s="182"/>
      <c r="F84" s="182">
        <v>2</v>
      </c>
      <c r="G84" s="182"/>
      <c r="H84" s="186"/>
    </row>
    <row r="85" spans="1:8" ht="69.95" customHeight="1">
      <c r="A85" s="181" t="s">
        <v>163</v>
      </c>
      <c r="B85" s="181">
        <v>150</v>
      </c>
      <c r="C85" s="188"/>
      <c r="D85" s="195" t="s">
        <v>164</v>
      </c>
      <c r="E85" s="36"/>
      <c r="F85" s="182">
        <v>2</v>
      </c>
      <c r="G85" s="189">
        <v>50000</v>
      </c>
      <c r="H85" s="189">
        <f>F85*G85</f>
        <v>100000</v>
      </c>
    </row>
    <row r="86" spans="1:8" ht="69.95" customHeight="1">
      <c r="A86" s="181" t="s">
        <v>165</v>
      </c>
      <c r="B86" s="181">
        <v>50</v>
      </c>
      <c r="C86" s="188"/>
      <c r="D86" s="195" t="s">
        <v>166</v>
      </c>
      <c r="E86" s="36"/>
      <c r="F86" s="182">
        <v>1</v>
      </c>
      <c r="G86" s="189">
        <v>3000</v>
      </c>
      <c r="H86" s="189">
        <f>F86*G86</f>
        <v>3000</v>
      </c>
    </row>
    <row r="87" spans="1:8" ht="15" customHeight="1">
      <c r="A87" s="185"/>
      <c r="B87" s="185"/>
      <c r="C87" s="191"/>
      <c r="D87" s="236"/>
      <c r="F87" s="187"/>
      <c r="G87" s="237"/>
      <c r="H87" s="237"/>
    </row>
    <row r="88" spans="1:8" ht="15" customHeight="1">
      <c r="A88" s="185"/>
      <c r="B88" s="185"/>
      <c r="C88" s="191"/>
      <c r="D88" s="236"/>
      <c r="F88" s="187"/>
      <c r="G88" s="237"/>
      <c r="H88" s="237"/>
    </row>
    <row r="89" spans="1:8" ht="15" customHeight="1">
      <c r="A89" s="185"/>
      <c r="B89" s="185"/>
      <c r="C89" s="191"/>
      <c r="D89" s="236"/>
      <c r="F89" s="187"/>
      <c r="G89" s="237"/>
      <c r="H89" s="237"/>
    </row>
    <row r="90" spans="1:8" ht="15" customHeight="1">
      <c r="A90" s="185"/>
      <c r="B90" s="185"/>
      <c r="C90" s="191"/>
      <c r="D90" s="236"/>
      <c r="F90" s="187"/>
      <c r="G90" s="237"/>
      <c r="H90" s="237"/>
    </row>
    <row r="91" spans="1:8" ht="15" customHeight="1">
      <c r="A91" s="185"/>
      <c r="B91" s="185"/>
      <c r="C91" s="191"/>
      <c r="D91" s="236"/>
      <c r="F91" s="187"/>
      <c r="G91" s="237"/>
      <c r="H91" s="237"/>
    </row>
    <row r="92" spans="1:8" ht="15" customHeight="1">
      <c r="A92" s="185"/>
      <c r="B92" s="185"/>
      <c r="C92" s="191"/>
      <c r="D92" s="236"/>
      <c r="F92" s="187"/>
      <c r="G92" s="237"/>
      <c r="H92" s="237"/>
    </row>
    <row r="93" spans="1:8" ht="15" customHeight="1">
      <c r="A93" s="185"/>
      <c r="B93" s="185"/>
      <c r="C93" s="191"/>
      <c r="D93" s="236"/>
      <c r="F93" s="187"/>
      <c r="G93" s="237"/>
      <c r="H93" s="237"/>
    </row>
    <row r="94" spans="1:8" ht="15" customHeight="1">
      <c r="A94" s="185"/>
      <c r="B94" s="185"/>
      <c r="C94" s="191"/>
      <c r="D94" s="236"/>
      <c r="F94" s="187"/>
      <c r="G94" s="237"/>
      <c r="H94" s="237"/>
    </row>
    <row r="95" spans="1:8" ht="15" customHeight="1">
      <c r="A95" s="185"/>
      <c r="B95" s="185"/>
      <c r="C95" s="191"/>
      <c r="D95" s="236"/>
      <c r="F95" s="187"/>
      <c r="G95" s="237"/>
      <c r="H95" s="237"/>
    </row>
    <row r="96" spans="1:8" ht="15" customHeight="1">
      <c r="A96" s="185"/>
      <c r="B96" s="185"/>
      <c r="C96" s="191"/>
      <c r="D96" s="236"/>
      <c r="F96" s="187"/>
      <c r="G96" s="237"/>
      <c r="H96" s="237"/>
    </row>
    <row r="97" spans="1:8" ht="15" customHeight="1">
      <c r="A97" s="185"/>
      <c r="B97" s="185"/>
      <c r="C97" s="191"/>
      <c r="D97" s="236"/>
      <c r="F97" s="187"/>
      <c r="G97" s="237"/>
      <c r="H97" s="237"/>
    </row>
    <row r="98" spans="1:8" ht="15" customHeight="1">
      <c r="A98" s="185"/>
      <c r="B98" s="185"/>
      <c r="C98" s="191"/>
      <c r="D98" s="236"/>
      <c r="F98" s="187"/>
      <c r="G98" s="237"/>
      <c r="H98" s="237"/>
    </row>
    <row r="99" spans="1:8" ht="15" customHeight="1">
      <c r="A99" s="1467" t="s">
        <v>96</v>
      </c>
      <c r="B99" s="1468"/>
      <c r="C99" s="1468"/>
      <c r="D99" s="1468"/>
      <c r="E99" s="1468"/>
      <c r="F99" s="1468"/>
      <c r="G99" s="1469"/>
      <c r="H99" s="1473">
        <f>SUM(H11:H84)</f>
        <v>55500</v>
      </c>
    </row>
    <row r="100" spans="1:8" ht="15" customHeight="1">
      <c r="A100" s="1470"/>
      <c r="B100" s="1471"/>
      <c r="C100" s="1471"/>
      <c r="D100" s="1471"/>
      <c r="E100" s="1471"/>
      <c r="F100" s="1471"/>
      <c r="G100" s="1472"/>
      <c r="H100" s="1474"/>
    </row>
    <row r="101" spans="1:8" ht="15" customHeight="1">
      <c r="A101" s="221"/>
      <c r="B101" s="212"/>
      <c r="C101" s="1475" t="s">
        <v>220</v>
      </c>
      <c r="D101" s="1475"/>
      <c r="E101" s="1475"/>
      <c r="F101" s="1476"/>
      <c r="G101" s="1476"/>
      <c r="H101" s="213">
        <f>H99</f>
        <v>55500</v>
      </c>
    </row>
    <row r="102" spans="1:8" ht="15" customHeight="1">
      <c r="A102" s="166"/>
      <c r="B102" s="166"/>
      <c r="C102" s="167"/>
      <c r="D102" s="166"/>
      <c r="E102" s="168"/>
      <c r="F102" s="169"/>
      <c r="G102" s="170"/>
      <c r="H102" s="185"/>
    </row>
    <row r="103" spans="1:8" ht="15" customHeight="1">
      <c r="A103" s="1477" t="s">
        <v>223</v>
      </c>
      <c r="B103" s="1478"/>
      <c r="C103" s="1478"/>
      <c r="D103" s="1478"/>
      <c r="E103" s="1478"/>
      <c r="F103" s="1478"/>
      <c r="G103" s="1478"/>
      <c r="H103" s="1479"/>
    </row>
    <row r="104" spans="1:8" ht="15" customHeight="1">
      <c r="A104" s="201"/>
      <c r="B104" s="202"/>
      <c r="C104" s="202"/>
      <c r="D104" s="202"/>
      <c r="E104" s="210"/>
      <c r="F104" s="210"/>
      <c r="G104" s="210"/>
      <c r="H104" s="211"/>
    </row>
    <row r="105" spans="1:8" ht="69.95" customHeight="1">
      <c r="A105" s="181" t="s">
        <v>98</v>
      </c>
      <c r="B105" s="181">
        <v>600</v>
      </c>
      <c r="C105" s="181" t="s">
        <v>73</v>
      </c>
      <c r="D105" s="195" t="s">
        <v>99</v>
      </c>
      <c r="E105" s="181"/>
      <c r="F105" s="181">
        <v>2</v>
      </c>
      <c r="G105" s="190">
        <v>85000</v>
      </c>
      <c r="H105" s="190">
        <f>F105*G105</f>
        <v>170000</v>
      </c>
    </row>
    <row r="106" spans="1:8" ht="110.1" customHeight="1">
      <c r="A106" s="181" t="s">
        <v>100</v>
      </c>
      <c r="B106" s="181">
        <v>600</v>
      </c>
      <c r="C106" s="181" t="s">
        <v>73</v>
      </c>
      <c r="D106" s="195" t="s">
        <v>101</v>
      </c>
      <c r="E106" s="181"/>
      <c r="F106" s="181">
        <v>1</v>
      </c>
      <c r="G106" s="181"/>
      <c r="H106" s="181"/>
    </row>
    <row r="107" spans="1:8" ht="69.95" customHeight="1">
      <c r="A107" s="181" t="s">
        <v>102</v>
      </c>
      <c r="B107" s="181">
        <v>600</v>
      </c>
      <c r="C107" s="181" t="s">
        <v>73</v>
      </c>
      <c r="D107" s="181" t="s">
        <v>103</v>
      </c>
      <c r="E107" s="181"/>
      <c r="F107" s="181">
        <v>4</v>
      </c>
      <c r="G107" s="190">
        <v>75000</v>
      </c>
      <c r="H107" s="190">
        <f>F107*G107</f>
        <v>300000</v>
      </c>
    </row>
    <row r="108" spans="1:8" ht="69.95" customHeight="1">
      <c r="A108" s="181" t="s">
        <v>104</v>
      </c>
      <c r="B108" s="181">
        <v>600</v>
      </c>
      <c r="C108" s="181" t="s">
        <v>73</v>
      </c>
      <c r="D108" s="181" t="s">
        <v>105</v>
      </c>
      <c r="E108" s="181"/>
      <c r="F108" s="181">
        <v>2</v>
      </c>
      <c r="G108" s="181"/>
      <c r="H108" s="181"/>
    </row>
    <row r="109" spans="1:8" ht="69.95" customHeight="1">
      <c r="A109" s="181" t="s">
        <v>106</v>
      </c>
      <c r="B109" s="181">
        <v>600</v>
      </c>
      <c r="C109" s="181" t="s">
        <v>73</v>
      </c>
      <c r="D109" s="195" t="s">
        <v>107</v>
      </c>
      <c r="E109" s="181"/>
      <c r="F109" s="181">
        <v>2</v>
      </c>
      <c r="G109" s="190">
        <v>25000</v>
      </c>
      <c r="H109" s="190">
        <f>F109*G109</f>
        <v>50000</v>
      </c>
    </row>
    <row r="110" spans="1:8" ht="90" customHeight="1">
      <c r="A110" s="181" t="s">
        <v>108</v>
      </c>
      <c r="B110" s="181">
        <v>600</v>
      </c>
      <c r="C110" s="181" t="s">
        <v>73</v>
      </c>
      <c r="D110" s="195" t="s">
        <v>109</v>
      </c>
      <c r="E110" s="181"/>
      <c r="F110" s="181">
        <v>2</v>
      </c>
      <c r="G110" s="190">
        <v>110000</v>
      </c>
      <c r="H110" s="192">
        <f>F110*G110</f>
        <v>220000</v>
      </c>
    </row>
    <row r="111" spans="1:8" ht="90" customHeight="1">
      <c r="A111" s="181" t="s">
        <v>110</v>
      </c>
      <c r="B111" s="181" t="s">
        <v>111</v>
      </c>
      <c r="C111" s="181" t="s">
        <v>73</v>
      </c>
      <c r="D111" s="195" t="s">
        <v>112</v>
      </c>
      <c r="E111" s="181"/>
      <c r="F111" s="181">
        <v>2</v>
      </c>
      <c r="G111" s="181"/>
      <c r="H111" s="181"/>
    </row>
    <row r="112" spans="1:8" ht="110.1" customHeight="1">
      <c r="A112" s="181" t="s">
        <v>113</v>
      </c>
      <c r="B112" s="181">
        <v>600</v>
      </c>
      <c r="C112" s="181" t="s">
        <v>73</v>
      </c>
      <c r="D112" s="181" t="s">
        <v>114</v>
      </c>
      <c r="E112" s="181"/>
      <c r="F112" s="181">
        <v>1</v>
      </c>
      <c r="G112" s="190">
        <v>125000</v>
      </c>
      <c r="H112" s="192">
        <f>F112*G112</f>
        <v>125000</v>
      </c>
    </row>
    <row r="113" spans="1:9" ht="69.95" customHeight="1">
      <c r="A113" s="181" t="s">
        <v>115</v>
      </c>
      <c r="B113" s="181">
        <v>150</v>
      </c>
      <c r="C113" s="181" t="s">
        <v>73</v>
      </c>
      <c r="D113" s="181" t="s">
        <v>116</v>
      </c>
      <c r="E113" s="181"/>
      <c r="F113" s="181">
        <v>1</v>
      </c>
      <c r="G113" s="181"/>
      <c r="H113" s="181"/>
    </row>
    <row r="114" spans="1:9" ht="69.95" customHeight="1">
      <c r="A114" s="181" t="s">
        <v>117</v>
      </c>
      <c r="B114" s="181">
        <v>500</v>
      </c>
      <c r="C114" s="181" t="s">
        <v>73</v>
      </c>
      <c r="D114" s="181" t="s">
        <v>118</v>
      </c>
      <c r="E114" s="181"/>
      <c r="F114" s="181">
        <v>2</v>
      </c>
      <c r="G114" s="190">
        <v>50000</v>
      </c>
      <c r="H114" s="190">
        <f>F114*G114</f>
        <v>100000</v>
      </c>
    </row>
    <row r="115" spans="1:9" ht="90" customHeight="1">
      <c r="A115" s="181" t="s">
        <v>119</v>
      </c>
      <c r="B115" s="181">
        <v>500</v>
      </c>
      <c r="C115" s="181" t="s">
        <v>73</v>
      </c>
      <c r="D115" s="195" t="s">
        <v>120</v>
      </c>
      <c r="E115" s="181"/>
      <c r="F115" s="181">
        <v>1</v>
      </c>
      <c r="G115" s="190">
        <f>85000</f>
        <v>85000</v>
      </c>
      <c r="H115" s="190">
        <f>F115*G115</f>
        <v>85000</v>
      </c>
    </row>
    <row r="116" spans="1:9" ht="15" customHeight="1">
      <c r="A116" s="1467" t="s">
        <v>96</v>
      </c>
      <c r="B116" s="1468"/>
      <c r="C116" s="1468"/>
      <c r="D116" s="1468"/>
      <c r="E116" s="1468"/>
      <c r="F116" s="1468"/>
      <c r="G116" s="1469"/>
      <c r="H116" s="1473">
        <f>SUM(H101:H115)</f>
        <v>1105500</v>
      </c>
    </row>
    <row r="117" spans="1:9" ht="15" customHeight="1">
      <c r="A117" s="1470"/>
      <c r="B117" s="1471"/>
      <c r="C117" s="1471"/>
      <c r="D117" s="1471"/>
      <c r="E117" s="1471"/>
      <c r="F117" s="1471"/>
      <c r="G117" s="1472"/>
      <c r="H117" s="1474"/>
    </row>
    <row r="118" spans="1:9" s="171" customFormat="1" ht="15" customHeight="1">
      <c r="A118" s="221"/>
      <c r="B118" s="212"/>
      <c r="C118" s="1475" t="s">
        <v>220</v>
      </c>
      <c r="D118" s="1475"/>
      <c r="E118" s="1475"/>
      <c r="F118" s="1476"/>
      <c r="G118" s="1476"/>
      <c r="H118" s="213">
        <f>H116</f>
        <v>1105500</v>
      </c>
      <c r="I118" s="233"/>
    </row>
    <row r="119" spans="1:9" ht="15" customHeight="1">
      <c r="A119" s="166"/>
      <c r="B119" s="166"/>
      <c r="C119" s="167"/>
      <c r="D119" s="166"/>
      <c r="E119" s="168"/>
      <c r="F119" s="169"/>
      <c r="G119" s="170"/>
      <c r="H119" s="185"/>
    </row>
    <row r="120" spans="1:9" ht="15" customHeight="1">
      <c r="A120" s="1477" t="s">
        <v>223</v>
      </c>
      <c r="B120" s="1478"/>
      <c r="C120" s="1478"/>
      <c r="D120" s="1478"/>
      <c r="E120" s="1478"/>
      <c r="F120" s="1478"/>
      <c r="G120" s="1478"/>
      <c r="H120" s="1479"/>
    </row>
    <row r="121" spans="1:9" ht="69.95" customHeight="1">
      <c r="A121" s="181" t="s">
        <v>122</v>
      </c>
      <c r="B121" s="181">
        <v>500</v>
      </c>
      <c r="C121" s="181" t="s">
        <v>73</v>
      </c>
      <c r="D121" s="195" t="s">
        <v>123</v>
      </c>
      <c r="E121" s="181"/>
      <c r="F121" s="181">
        <v>4</v>
      </c>
      <c r="G121" s="190">
        <v>48000</v>
      </c>
      <c r="H121" s="190">
        <f>F121*G121</f>
        <v>192000</v>
      </c>
    </row>
    <row r="122" spans="1:9" ht="69.95" customHeight="1">
      <c r="A122" s="181" t="s">
        <v>124</v>
      </c>
      <c r="B122" s="181" t="s">
        <v>125</v>
      </c>
      <c r="C122" s="181" t="s">
        <v>73</v>
      </c>
      <c r="D122" s="195" t="s">
        <v>126</v>
      </c>
      <c r="E122" s="182"/>
      <c r="F122" s="182">
        <v>2</v>
      </c>
      <c r="G122" s="182"/>
      <c r="H122" s="182"/>
    </row>
    <row r="123" spans="1:9" ht="69.95" customHeight="1">
      <c r="A123" s="181" t="s">
        <v>127</v>
      </c>
      <c r="B123" s="182">
        <v>300</v>
      </c>
      <c r="C123" s="181"/>
      <c r="D123" s="195" t="s">
        <v>107</v>
      </c>
      <c r="E123" s="182"/>
      <c r="F123" s="182">
        <v>4</v>
      </c>
      <c r="G123" s="186">
        <v>10000</v>
      </c>
      <c r="H123" s="186">
        <f>F123*G123</f>
        <v>40000</v>
      </c>
    </row>
    <row r="124" spans="1:9" ht="69.95" customHeight="1">
      <c r="A124" s="181" t="s">
        <v>128</v>
      </c>
      <c r="B124" s="182">
        <v>300</v>
      </c>
      <c r="C124" s="181" t="s">
        <v>73</v>
      </c>
      <c r="D124" s="195" t="s">
        <v>129</v>
      </c>
      <c r="E124" s="182"/>
      <c r="F124" s="182">
        <v>2</v>
      </c>
      <c r="G124" s="182"/>
      <c r="H124" s="182"/>
    </row>
    <row r="125" spans="1:9" ht="69.95" customHeight="1">
      <c r="A125" s="181" t="s">
        <v>130</v>
      </c>
      <c r="B125" s="182">
        <v>300</v>
      </c>
      <c r="C125" s="181" t="s">
        <v>73</v>
      </c>
      <c r="D125" s="195" t="s">
        <v>131</v>
      </c>
      <c r="E125" s="182"/>
      <c r="F125" s="182">
        <v>2</v>
      </c>
      <c r="G125" s="182"/>
      <c r="H125" s="182"/>
    </row>
    <row r="126" spans="1:9" ht="110.1" customHeight="1">
      <c r="A126" s="181" t="s">
        <v>132</v>
      </c>
      <c r="B126" s="182">
        <v>500</v>
      </c>
      <c r="C126" s="181" t="s">
        <v>73</v>
      </c>
      <c r="D126" s="195" t="s">
        <v>133</v>
      </c>
      <c r="E126" s="182"/>
      <c r="F126" s="182">
        <v>1</v>
      </c>
      <c r="G126" s="182"/>
      <c r="H126" s="182"/>
    </row>
    <row r="127" spans="1:9" ht="69.95" customHeight="1">
      <c r="A127" s="181" t="s">
        <v>134</v>
      </c>
      <c r="B127" s="182">
        <v>600</v>
      </c>
      <c r="C127" s="181"/>
      <c r="D127" s="195" t="s">
        <v>135</v>
      </c>
      <c r="E127" s="182"/>
      <c r="F127" s="182">
        <v>2</v>
      </c>
      <c r="G127" s="186">
        <v>350000</v>
      </c>
      <c r="H127" s="186">
        <f>F127*G127</f>
        <v>700000</v>
      </c>
    </row>
    <row r="128" spans="1:9" ht="69.95" customHeight="1">
      <c r="A128" s="181" t="s">
        <v>136</v>
      </c>
      <c r="B128" s="182">
        <v>100</v>
      </c>
      <c r="C128" s="181"/>
      <c r="D128" s="195" t="s">
        <v>137</v>
      </c>
      <c r="E128" s="182"/>
      <c r="F128" s="182">
        <v>2</v>
      </c>
      <c r="G128" s="186">
        <v>6000</v>
      </c>
      <c r="H128" s="186">
        <f>F128*G128</f>
        <v>12000</v>
      </c>
    </row>
    <row r="129" spans="1:8" ht="69.95" customHeight="1">
      <c r="A129" s="181" t="s">
        <v>138</v>
      </c>
      <c r="B129" s="182">
        <v>100</v>
      </c>
      <c r="C129" s="181"/>
      <c r="D129" s="195" t="s">
        <v>139</v>
      </c>
      <c r="E129" s="182" t="s">
        <v>140</v>
      </c>
      <c r="F129" s="182">
        <v>2</v>
      </c>
      <c r="G129" s="186">
        <v>100000</v>
      </c>
      <c r="H129" s="186">
        <f>F129*G129</f>
        <v>200000</v>
      </c>
    </row>
    <row r="130" spans="1:8" ht="50.1" customHeight="1">
      <c r="A130" s="181" t="s">
        <v>141</v>
      </c>
      <c r="B130" s="182">
        <v>600</v>
      </c>
      <c r="C130" s="181"/>
      <c r="D130" s="195" t="s">
        <v>142</v>
      </c>
      <c r="E130" s="182"/>
      <c r="F130" s="182">
        <v>2</v>
      </c>
      <c r="G130" s="186">
        <f>455000</f>
        <v>455000</v>
      </c>
      <c r="H130" s="186">
        <f>F130*G130</f>
        <v>910000</v>
      </c>
    </row>
    <row r="131" spans="1:8" ht="50.1" customHeight="1">
      <c r="A131" s="181" t="s">
        <v>143</v>
      </c>
      <c r="B131" s="182">
        <v>300</v>
      </c>
      <c r="C131" s="181"/>
      <c r="D131" s="195" t="s">
        <v>144</v>
      </c>
      <c r="E131" s="182"/>
      <c r="F131" s="182">
        <v>2</v>
      </c>
      <c r="G131" s="186">
        <v>100000</v>
      </c>
      <c r="H131" s="186">
        <f>F131*G131</f>
        <v>200000</v>
      </c>
    </row>
    <row r="132" spans="1:8" ht="50.1" customHeight="1">
      <c r="A132" s="193" t="s">
        <v>145</v>
      </c>
      <c r="B132" s="194">
        <v>300</v>
      </c>
      <c r="C132" s="193"/>
      <c r="D132" s="215" t="s">
        <v>146</v>
      </c>
      <c r="E132" s="194" t="s">
        <v>140</v>
      </c>
      <c r="F132" s="194">
        <v>2</v>
      </c>
      <c r="G132" s="194"/>
      <c r="H132" s="194"/>
    </row>
    <row r="133" spans="1:8" ht="50.1" customHeight="1">
      <c r="A133" s="181" t="s">
        <v>147</v>
      </c>
      <c r="B133" s="182">
        <v>300</v>
      </c>
      <c r="C133" s="181"/>
      <c r="D133" s="216" t="s">
        <v>148</v>
      </c>
      <c r="E133" s="182" t="s">
        <v>140</v>
      </c>
      <c r="F133" s="182">
        <v>2</v>
      </c>
      <c r="G133" s="186">
        <v>50000</v>
      </c>
      <c r="H133" s="186">
        <f>F133*G133</f>
        <v>100000</v>
      </c>
    </row>
    <row r="134" spans="1:8" ht="15" customHeight="1">
      <c r="A134" s="185"/>
      <c r="B134" s="187"/>
      <c r="C134" s="185"/>
      <c r="D134" s="236"/>
      <c r="E134" s="187"/>
      <c r="F134" s="187"/>
      <c r="G134" s="214"/>
      <c r="H134" s="214"/>
    </row>
    <row r="135" spans="1:8" ht="15" customHeight="1">
      <c r="A135" s="185"/>
      <c r="B135" s="187"/>
      <c r="C135" s="185"/>
      <c r="D135" s="236"/>
      <c r="E135" s="187"/>
      <c r="F135" s="187"/>
      <c r="G135" s="214"/>
      <c r="H135" s="214"/>
    </row>
    <row r="136" spans="1:8" ht="15" customHeight="1">
      <c r="A136" s="185"/>
      <c r="B136" s="187"/>
      <c r="C136" s="185"/>
      <c r="D136" s="236"/>
      <c r="E136" s="187"/>
      <c r="F136" s="187"/>
      <c r="G136" s="214"/>
      <c r="H136" s="214"/>
    </row>
    <row r="137" spans="1:8" ht="15" customHeight="1">
      <c r="A137" s="185"/>
      <c r="B137" s="187"/>
      <c r="C137" s="185"/>
      <c r="D137" s="236"/>
      <c r="E137" s="187"/>
      <c r="F137" s="187"/>
      <c r="G137" s="214"/>
      <c r="H137" s="214"/>
    </row>
    <row r="138" spans="1:8">
      <c r="A138" s="1467" t="s">
        <v>96</v>
      </c>
      <c r="B138" s="1468"/>
      <c r="C138" s="1468"/>
      <c r="D138" s="1468"/>
      <c r="E138" s="1468"/>
      <c r="F138" s="1468"/>
      <c r="G138" s="1469"/>
      <c r="H138" s="1473">
        <f>SUM(H118:H134)</f>
        <v>3459500</v>
      </c>
    </row>
    <row r="139" spans="1:8">
      <c r="A139" s="1470"/>
      <c r="B139" s="1471"/>
      <c r="C139" s="1471"/>
      <c r="D139" s="1471"/>
      <c r="E139" s="1471"/>
      <c r="F139" s="1471"/>
      <c r="G139" s="1472"/>
      <c r="H139" s="1474"/>
    </row>
    <row r="140" spans="1:8" ht="15" customHeight="1">
      <c r="A140" s="221"/>
      <c r="B140" s="212"/>
      <c r="C140" s="1475" t="s">
        <v>220</v>
      </c>
      <c r="D140" s="1475"/>
      <c r="E140" s="1475"/>
      <c r="F140" s="1476"/>
      <c r="G140" s="1476"/>
      <c r="H140" s="213">
        <f>H138</f>
        <v>3459500</v>
      </c>
    </row>
    <row r="141" spans="1:8" ht="15" customHeight="1">
      <c r="A141" s="166"/>
      <c r="B141" s="166"/>
      <c r="C141" s="167"/>
      <c r="D141" s="166"/>
      <c r="E141" s="168"/>
      <c r="F141" s="169"/>
      <c r="G141" s="170"/>
      <c r="H141" s="185"/>
    </row>
    <row r="142" spans="1:8" ht="15" customHeight="1">
      <c r="A142" s="1477" t="s">
        <v>223</v>
      </c>
      <c r="B142" s="1478"/>
      <c r="C142" s="1478"/>
      <c r="D142" s="1478"/>
      <c r="E142" s="1478"/>
      <c r="F142" s="1478"/>
      <c r="G142" s="1478"/>
      <c r="H142" s="1479"/>
    </row>
    <row r="143" spans="1:8" ht="15" customHeight="1">
      <c r="A143" s="201"/>
      <c r="B143" s="202"/>
      <c r="C143" s="202"/>
      <c r="D143" s="202"/>
      <c r="E143" s="210"/>
      <c r="F143" s="210"/>
      <c r="G143" s="210"/>
      <c r="H143" s="211"/>
    </row>
    <row r="144" spans="1:8" ht="50.1" customHeight="1">
      <c r="A144" s="181" t="s">
        <v>149</v>
      </c>
      <c r="B144" s="182">
        <v>50</v>
      </c>
      <c r="C144" s="181"/>
      <c r="D144" s="195" t="s">
        <v>150</v>
      </c>
      <c r="E144" s="182"/>
      <c r="F144" s="182">
        <v>2</v>
      </c>
      <c r="G144" s="186">
        <v>3000</v>
      </c>
      <c r="H144" s="186">
        <f>F144*G144</f>
        <v>6000</v>
      </c>
    </row>
    <row r="145" spans="1:8" ht="50.1" customHeight="1">
      <c r="A145" s="181" t="s">
        <v>151</v>
      </c>
      <c r="B145" s="182">
        <v>50</v>
      </c>
      <c r="C145" s="181"/>
      <c r="D145" s="195" t="s">
        <v>139</v>
      </c>
      <c r="E145" s="182" t="s">
        <v>140</v>
      </c>
      <c r="F145" s="182">
        <v>2</v>
      </c>
      <c r="G145" s="182"/>
      <c r="H145" s="182"/>
    </row>
    <row r="146" spans="1:8" ht="15" customHeight="1">
      <c r="A146" s="166"/>
      <c r="B146" s="166"/>
      <c r="C146" s="167"/>
      <c r="D146" s="166"/>
      <c r="E146" s="168"/>
      <c r="F146" s="169"/>
      <c r="G146" s="170"/>
      <c r="H146" s="185"/>
    </row>
    <row r="147" spans="1:8" ht="15" customHeight="1">
      <c r="A147" s="166"/>
      <c r="B147" s="166"/>
      <c r="C147" s="167"/>
      <c r="D147" s="166"/>
      <c r="E147" s="168"/>
      <c r="F147" s="169"/>
      <c r="G147" s="170"/>
      <c r="H147" s="185"/>
    </row>
    <row r="148" spans="1:8" ht="15" customHeight="1">
      <c r="A148" s="166"/>
      <c r="B148" s="166"/>
      <c r="C148" s="167"/>
      <c r="D148" s="166"/>
      <c r="E148" s="168"/>
      <c r="F148" s="169"/>
      <c r="G148" s="170"/>
      <c r="H148" s="185"/>
    </row>
    <row r="149" spans="1:8" ht="15" customHeight="1">
      <c r="A149" s="166"/>
      <c r="B149" s="166"/>
      <c r="C149" s="167"/>
      <c r="D149" s="166"/>
      <c r="E149" s="168"/>
      <c r="F149" s="169"/>
      <c r="G149" s="170"/>
      <c r="H149" s="185"/>
    </row>
    <row r="150" spans="1:8" ht="15" customHeight="1">
      <c r="A150" s="166"/>
      <c r="B150" s="166"/>
      <c r="C150" s="167"/>
      <c r="D150" s="166"/>
      <c r="E150" s="168"/>
      <c r="F150" s="169"/>
      <c r="G150" s="170"/>
      <c r="H150" s="185"/>
    </row>
    <row r="151" spans="1:8" ht="15" customHeight="1">
      <c r="A151" s="166"/>
      <c r="B151" s="166"/>
      <c r="C151" s="167"/>
      <c r="D151" s="166"/>
      <c r="E151" s="168"/>
      <c r="F151" s="169"/>
      <c r="G151" s="170"/>
      <c r="H151" s="185"/>
    </row>
    <row r="152" spans="1:8" ht="15" customHeight="1">
      <c r="A152" s="166"/>
      <c r="B152" s="166"/>
      <c r="C152" s="167"/>
      <c r="D152" s="166"/>
      <c r="E152" s="168"/>
      <c r="F152" s="169"/>
      <c r="G152" s="170"/>
      <c r="H152" s="185"/>
    </row>
    <row r="153" spans="1:8" ht="15" customHeight="1">
      <c r="A153" s="166"/>
      <c r="B153" s="166"/>
      <c r="C153" s="167"/>
      <c r="D153" s="166"/>
      <c r="E153" s="168"/>
      <c r="F153" s="169"/>
      <c r="G153" s="170"/>
      <c r="H153" s="185"/>
    </row>
    <row r="154" spans="1:8" ht="15" customHeight="1">
      <c r="A154" s="166"/>
      <c r="B154" s="166"/>
      <c r="C154" s="167"/>
      <c r="D154" s="166"/>
      <c r="E154" s="168"/>
      <c r="F154" s="169"/>
      <c r="G154" s="170"/>
      <c r="H154" s="185"/>
    </row>
    <row r="155" spans="1:8" ht="15" customHeight="1">
      <c r="A155" s="166"/>
      <c r="B155" s="166"/>
      <c r="C155" s="167"/>
      <c r="D155" s="166"/>
      <c r="E155" s="168"/>
      <c r="F155" s="169"/>
      <c r="G155" s="170"/>
      <c r="H155" s="185"/>
    </row>
    <row r="156" spans="1:8" ht="15" customHeight="1">
      <c r="A156" s="166"/>
      <c r="B156" s="166"/>
      <c r="C156" s="167"/>
      <c r="D156" s="166"/>
      <c r="E156" s="168"/>
      <c r="F156" s="169"/>
      <c r="G156" s="170"/>
      <c r="H156" s="185"/>
    </row>
    <row r="157" spans="1:8" ht="15" customHeight="1">
      <c r="A157" s="166"/>
      <c r="B157" s="166"/>
      <c r="C157" s="167"/>
      <c r="D157" s="166"/>
      <c r="E157" s="168"/>
      <c r="F157" s="169"/>
      <c r="G157" s="170"/>
      <c r="H157" s="185"/>
    </row>
    <row r="158" spans="1:8" ht="15" customHeight="1">
      <c r="A158" s="166"/>
      <c r="B158" s="166"/>
      <c r="C158" s="167"/>
      <c r="D158" s="166"/>
      <c r="E158" s="168"/>
      <c r="F158" s="169"/>
      <c r="G158" s="170"/>
      <c r="H158" s="185"/>
    </row>
    <row r="159" spans="1:8" ht="15" customHeight="1">
      <c r="A159" s="166"/>
      <c r="B159" s="166"/>
      <c r="C159" s="167"/>
      <c r="D159" s="166"/>
      <c r="E159" s="168"/>
      <c r="F159" s="169"/>
      <c r="G159" s="170"/>
      <c r="H159" s="185"/>
    </row>
    <row r="160" spans="1:8" ht="15" customHeight="1">
      <c r="A160" s="166"/>
      <c r="B160" s="166"/>
      <c r="C160" s="167"/>
      <c r="D160" s="166"/>
      <c r="E160" s="168"/>
      <c r="F160" s="169"/>
      <c r="G160" s="170"/>
      <c r="H160" s="185"/>
    </row>
    <row r="161" spans="1:8" ht="15" customHeight="1">
      <c r="A161" s="166"/>
      <c r="B161" s="166"/>
      <c r="C161" s="167"/>
      <c r="D161" s="166"/>
      <c r="E161" s="168"/>
      <c r="F161" s="169"/>
      <c r="G161" s="170"/>
      <c r="H161" s="185"/>
    </row>
    <row r="162" spans="1:8" ht="15" customHeight="1">
      <c r="A162" s="166"/>
      <c r="B162" s="166"/>
      <c r="C162" s="167"/>
      <c r="D162" s="166"/>
      <c r="E162" s="168"/>
      <c r="F162" s="169"/>
      <c r="G162" s="170"/>
      <c r="H162" s="185"/>
    </row>
    <row r="163" spans="1:8" ht="15" customHeight="1">
      <c r="A163" s="166"/>
      <c r="B163" s="166"/>
      <c r="C163" s="167"/>
      <c r="D163" s="166"/>
      <c r="E163" s="168"/>
      <c r="F163" s="169"/>
      <c r="G163" s="170"/>
      <c r="H163" s="185"/>
    </row>
    <row r="164" spans="1:8" ht="15" customHeight="1">
      <c r="A164" s="166"/>
      <c r="B164" s="166"/>
      <c r="C164" s="167"/>
      <c r="D164" s="166"/>
      <c r="E164" s="168"/>
      <c r="F164" s="169"/>
      <c r="G164" s="170"/>
      <c r="H164" s="185"/>
    </row>
    <row r="165" spans="1:8" ht="15" customHeight="1">
      <c r="A165" s="166"/>
      <c r="B165" s="166"/>
      <c r="C165" s="167"/>
      <c r="D165" s="166"/>
      <c r="E165" s="168"/>
      <c r="F165" s="169"/>
      <c r="G165" s="170"/>
      <c r="H165" s="185"/>
    </row>
    <row r="166" spans="1:8" ht="15" customHeight="1">
      <c r="A166" s="166"/>
      <c r="B166" s="166"/>
      <c r="C166" s="167"/>
      <c r="D166" s="166"/>
      <c r="E166" s="168"/>
      <c r="F166" s="169"/>
      <c r="G166" s="170"/>
      <c r="H166" s="185"/>
    </row>
    <row r="167" spans="1:8" ht="15" customHeight="1">
      <c r="A167" s="166"/>
      <c r="B167" s="166"/>
      <c r="C167" s="167"/>
      <c r="D167" s="166"/>
      <c r="E167" s="168"/>
      <c r="F167" s="169"/>
      <c r="G167" s="170"/>
      <c r="H167" s="185"/>
    </row>
    <row r="168" spans="1:8" ht="15" customHeight="1">
      <c r="A168" s="166"/>
      <c r="B168" s="166"/>
      <c r="C168" s="167"/>
      <c r="D168" s="166"/>
      <c r="E168" s="168"/>
      <c r="F168" s="169"/>
      <c r="G168" s="170"/>
      <c r="H168" s="185"/>
    </row>
    <row r="169" spans="1:8" ht="15" customHeight="1">
      <c r="A169" s="166"/>
      <c r="B169" s="166"/>
      <c r="C169" s="167"/>
      <c r="D169" s="166"/>
      <c r="E169" s="168"/>
      <c r="F169" s="169"/>
      <c r="G169" s="170"/>
      <c r="H169" s="185"/>
    </row>
    <row r="170" spans="1:8" ht="15" customHeight="1">
      <c r="A170" s="166"/>
      <c r="B170" s="166"/>
      <c r="C170" s="167"/>
      <c r="D170" s="166"/>
      <c r="E170" s="168"/>
      <c r="F170" s="169"/>
      <c r="G170" s="170"/>
      <c r="H170" s="185"/>
    </row>
    <row r="171" spans="1:8" ht="15" customHeight="1">
      <c r="A171" s="166"/>
      <c r="B171" s="166"/>
      <c r="C171" s="167"/>
      <c r="D171" s="166"/>
      <c r="E171" s="168"/>
      <c r="F171" s="169"/>
      <c r="G171" s="170"/>
      <c r="H171" s="185"/>
    </row>
    <row r="172" spans="1:8" ht="15" customHeight="1">
      <c r="A172" s="166"/>
      <c r="B172" s="166"/>
      <c r="C172" s="167"/>
      <c r="D172" s="166"/>
      <c r="E172" s="168"/>
      <c r="F172" s="169"/>
      <c r="G172" s="170"/>
      <c r="H172" s="185"/>
    </row>
    <row r="173" spans="1:8" ht="15" customHeight="1">
      <c r="A173" s="166"/>
      <c r="B173" s="166"/>
      <c r="C173" s="167"/>
      <c r="D173" s="166"/>
      <c r="E173" s="168"/>
      <c r="F173" s="169"/>
      <c r="G173" s="170"/>
      <c r="H173" s="185"/>
    </row>
    <row r="174" spans="1:8" ht="15" customHeight="1">
      <c r="A174" s="166"/>
      <c r="B174" s="166"/>
      <c r="C174" s="167"/>
      <c r="D174" s="166"/>
      <c r="E174" s="168"/>
      <c r="F174" s="169"/>
      <c r="G174" s="170"/>
      <c r="H174" s="185"/>
    </row>
    <row r="175" spans="1:8" ht="15" customHeight="1">
      <c r="A175" s="166"/>
      <c r="B175" s="166"/>
      <c r="C175" s="167"/>
      <c r="D175" s="166"/>
      <c r="E175" s="168"/>
      <c r="F175" s="169"/>
      <c r="G175" s="170"/>
      <c r="H175" s="185"/>
    </row>
    <row r="176" spans="1:8" ht="15" customHeight="1">
      <c r="A176" s="166"/>
      <c r="B176" s="166"/>
      <c r="C176" s="167"/>
      <c r="D176" s="166"/>
      <c r="E176" s="168"/>
      <c r="F176" s="169"/>
      <c r="G176" s="170"/>
      <c r="H176" s="185"/>
    </row>
    <row r="177" spans="1:8" ht="15" customHeight="1">
      <c r="A177" s="166"/>
      <c r="B177" s="166"/>
      <c r="C177" s="167"/>
      <c r="D177" s="166"/>
      <c r="E177" s="168"/>
      <c r="F177" s="169"/>
      <c r="G177" s="170"/>
      <c r="H177" s="185"/>
    </row>
    <row r="178" spans="1:8" ht="15" customHeight="1">
      <c r="A178" s="166"/>
      <c r="B178" s="166"/>
      <c r="C178" s="167"/>
      <c r="D178" s="166"/>
      <c r="E178" s="168"/>
      <c r="F178" s="169"/>
      <c r="G178" s="170"/>
      <c r="H178" s="185"/>
    </row>
    <row r="179" spans="1:8" ht="15" customHeight="1">
      <c r="A179" s="166"/>
      <c r="B179" s="166"/>
      <c r="C179" s="167"/>
      <c r="D179" s="166"/>
      <c r="E179" s="168"/>
      <c r="F179" s="169"/>
      <c r="G179" s="170"/>
      <c r="H179" s="185"/>
    </row>
    <row r="180" spans="1:8" ht="15" customHeight="1">
      <c r="A180" s="166"/>
      <c r="B180" s="166"/>
      <c r="C180" s="167"/>
      <c r="D180" s="166"/>
      <c r="E180" s="168"/>
      <c r="F180" s="169"/>
      <c r="G180" s="170"/>
      <c r="H180" s="185"/>
    </row>
    <row r="181" spans="1:8" ht="15" customHeight="1">
      <c r="A181" s="166"/>
      <c r="B181" s="166"/>
      <c r="C181" s="167"/>
      <c r="D181" s="166"/>
      <c r="E181" s="168"/>
      <c r="F181" s="169"/>
      <c r="G181" s="170"/>
      <c r="H181" s="185"/>
    </row>
    <row r="182" spans="1:8" ht="15" customHeight="1">
      <c r="A182" s="166"/>
      <c r="B182" s="166"/>
      <c r="C182" s="167"/>
      <c r="D182" s="166"/>
      <c r="E182" s="168"/>
      <c r="F182" s="169"/>
      <c r="G182" s="170"/>
      <c r="H182" s="185"/>
    </row>
    <row r="183" spans="1:8" ht="15" customHeight="1">
      <c r="A183" s="166"/>
      <c r="B183" s="166"/>
      <c r="C183" s="167"/>
      <c r="D183" s="166"/>
      <c r="E183" s="168"/>
      <c r="F183" s="169"/>
      <c r="G183" s="170"/>
      <c r="H183" s="185"/>
    </row>
    <row r="184" spans="1:8" ht="15" customHeight="1">
      <c r="A184" s="166"/>
      <c r="B184" s="166"/>
      <c r="C184" s="167"/>
      <c r="D184" s="166"/>
      <c r="E184" s="168"/>
      <c r="F184" s="169"/>
      <c r="G184" s="170"/>
      <c r="H184" s="185"/>
    </row>
    <row r="185" spans="1:8" ht="15" customHeight="1">
      <c r="A185" s="166"/>
      <c r="B185" s="166"/>
      <c r="C185" s="167"/>
      <c r="D185" s="166"/>
      <c r="E185" s="168"/>
      <c r="F185" s="169"/>
      <c r="G185" s="170"/>
      <c r="H185" s="185"/>
    </row>
    <row r="186" spans="1:8" ht="15" customHeight="1">
      <c r="A186" s="166"/>
      <c r="B186" s="166"/>
      <c r="C186" s="167"/>
      <c r="D186" s="166"/>
      <c r="E186" s="168"/>
      <c r="F186" s="169"/>
      <c r="G186" s="170"/>
      <c r="H186" s="185"/>
    </row>
    <row r="187" spans="1:8" ht="15" customHeight="1">
      <c r="A187" s="166"/>
      <c r="B187" s="166"/>
      <c r="C187" s="167"/>
      <c r="D187" s="166"/>
      <c r="E187" s="168"/>
      <c r="F187" s="169"/>
      <c r="G187" s="170"/>
      <c r="H187" s="185"/>
    </row>
    <row r="188" spans="1:8" ht="15" customHeight="1">
      <c r="A188" s="166"/>
      <c r="B188" s="166"/>
      <c r="C188" s="167"/>
      <c r="D188" s="166"/>
      <c r="E188" s="168"/>
      <c r="F188" s="169"/>
      <c r="G188" s="170"/>
      <c r="H188" s="185"/>
    </row>
    <row r="189" spans="1:8" ht="15" customHeight="1">
      <c r="A189" s="166"/>
      <c r="B189" s="166"/>
      <c r="C189" s="167"/>
      <c r="D189" s="166"/>
      <c r="E189" s="168"/>
      <c r="F189" s="169"/>
      <c r="G189" s="170"/>
      <c r="H189" s="185"/>
    </row>
    <row r="190" spans="1:8" ht="15" customHeight="1">
      <c r="A190" s="166"/>
      <c r="B190" s="166"/>
      <c r="C190" s="167"/>
      <c r="D190" s="166"/>
      <c r="E190" s="168"/>
      <c r="F190" s="169"/>
      <c r="G190" s="170"/>
      <c r="H190" s="185"/>
    </row>
    <row r="191" spans="1:8" ht="15" customHeight="1">
      <c r="A191" s="166"/>
      <c r="B191" s="166"/>
      <c r="C191" s="167"/>
      <c r="D191" s="166"/>
      <c r="E191" s="168"/>
      <c r="F191" s="169"/>
      <c r="G191" s="170"/>
      <c r="H191" s="185"/>
    </row>
    <row r="192" spans="1:8" ht="15" customHeight="1">
      <c r="A192" s="166"/>
      <c r="B192" s="166"/>
      <c r="C192" s="167"/>
      <c r="D192" s="166"/>
      <c r="E192" s="168"/>
      <c r="F192" s="169"/>
      <c r="G192" s="170"/>
      <c r="H192" s="185"/>
    </row>
    <row r="193" spans="1:8" ht="15" customHeight="1">
      <c r="A193" s="166"/>
      <c r="B193" s="166"/>
      <c r="C193" s="167"/>
      <c r="D193" s="166"/>
      <c r="E193" s="168"/>
      <c r="F193" s="169"/>
      <c r="G193" s="170"/>
      <c r="H193" s="185"/>
    </row>
    <row r="194" spans="1:8" ht="15" customHeight="1">
      <c r="A194" s="166"/>
      <c r="B194" s="166"/>
      <c r="C194" s="167"/>
      <c r="D194" s="166"/>
      <c r="E194" s="168"/>
      <c r="F194" s="169"/>
      <c r="G194" s="170"/>
      <c r="H194" s="185"/>
    </row>
    <row r="195" spans="1:8" ht="15" customHeight="1">
      <c r="A195" s="166"/>
      <c r="B195" s="166"/>
      <c r="C195" s="167"/>
      <c r="D195" s="166"/>
      <c r="E195" s="168"/>
      <c r="F195" s="169"/>
      <c r="G195" s="170"/>
      <c r="H195" s="185"/>
    </row>
    <row r="196" spans="1:8" ht="15" customHeight="1">
      <c r="A196" s="166"/>
      <c r="B196" s="166"/>
      <c r="C196" s="167"/>
      <c r="D196" s="166"/>
      <c r="E196" s="168"/>
      <c r="F196" s="169"/>
      <c r="G196" s="170"/>
      <c r="H196" s="185"/>
    </row>
    <row r="197" spans="1:8" ht="15" customHeight="1">
      <c r="A197" s="166"/>
      <c r="B197" s="166"/>
      <c r="C197" s="167"/>
      <c r="D197" s="166"/>
      <c r="E197" s="168"/>
      <c r="F197" s="169"/>
      <c r="G197" s="170"/>
      <c r="H197" s="185"/>
    </row>
    <row r="198" spans="1:8" ht="15" customHeight="1">
      <c r="A198" s="166"/>
      <c r="B198" s="166"/>
      <c r="C198" s="167"/>
      <c r="D198" s="166"/>
      <c r="E198" s="168"/>
      <c r="F198" s="169"/>
      <c r="G198" s="170"/>
      <c r="H198" s="185"/>
    </row>
    <row r="199" spans="1:8" ht="15" customHeight="1">
      <c r="A199" s="166"/>
      <c r="B199" s="166"/>
      <c r="C199" s="167"/>
      <c r="D199" s="166"/>
      <c r="E199" s="168"/>
      <c r="F199" s="169"/>
      <c r="G199" s="170"/>
      <c r="H199" s="185"/>
    </row>
    <row r="200" spans="1:8" ht="15" customHeight="1">
      <c r="A200" s="1467" t="s">
        <v>96</v>
      </c>
      <c r="B200" s="1468"/>
      <c r="C200" s="1468"/>
      <c r="D200" s="1468"/>
      <c r="E200" s="1468"/>
      <c r="F200" s="1468"/>
      <c r="G200" s="1469"/>
      <c r="H200" s="1473">
        <f>SUM(H140:H199)</f>
        <v>3465500</v>
      </c>
    </row>
    <row r="201" spans="1:8" ht="15" customHeight="1">
      <c r="A201" s="1470"/>
      <c r="B201" s="1471"/>
      <c r="C201" s="1471"/>
      <c r="D201" s="1471"/>
      <c r="E201" s="1471"/>
      <c r="F201" s="1471"/>
      <c r="G201" s="1472"/>
      <c r="H201" s="1474"/>
    </row>
    <row r="202" spans="1:8" ht="15" customHeight="1">
      <c r="A202" s="221"/>
      <c r="B202" s="212"/>
      <c r="C202" s="1475" t="s">
        <v>220</v>
      </c>
      <c r="D202" s="1475"/>
      <c r="E202" s="1475"/>
      <c r="F202" s="1476"/>
      <c r="G202" s="1476"/>
      <c r="H202" s="213">
        <f>H200</f>
        <v>3465500</v>
      </c>
    </row>
    <row r="203" spans="1:8" ht="15" customHeight="1">
      <c r="A203" s="166"/>
      <c r="B203" s="166"/>
      <c r="C203" s="167"/>
      <c r="D203" s="166"/>
      <c r="E203" s="168"/>
      <c r="F203" s="169"/>
      <c r="G203" s="170"/>
      <c r="H203" s="185"/>
    </row>
    <row r="204" spans="1:8" ht="15" customHeight="1">
      <c r="A204" s="1477" t="s">
        <v>224</v>
      </c>
      <c r="B204" s="1478"/>
      <c r="C204" s="1478"/>
      <c r="D204" s="1478"/>
      <c r="E204" s="1478"/>
      <c r="F204" s="1478"/>
      <c r="G204" s="1478"/>
      <c r="H204" s="1479"/>
    </row>
    <row r="205" spans="1:8" ht="15" customHeight="1">
      <c r="A205" s="201"/>
      <c r="B205" s="202"/>
      <c r="C205" s="202"/>
      <c r="D205" s="202"/>
      <c r="E205" s="210"/>
      <c r="F205" s="210"/>
      <c r="G205" s="210"/>
      <c r="H205" s="211"/>
    </row>
    <row r="206" spans="1:8" ht="90" customHeight="1">
      <c r="A206" s="181" t="s">
        <v>86</v>
      </c>
      <c r="B206" s="181">
        <v>150</v>
      </c>
      <c r="C206" s="181" t="s">
        <v>73</v>
      </c>
      <c r="D206" s="195" t="s">
        <v>87</v>
      </c>
      <c r="E206" s="181"/>
      <c r="F206" s="181">
        <v>1</v>
      </c>
      <c r="G206" s="181"/>
      <c r="H206" s="181"/>
    </row>
    <row r="207" spans="1:8" ht="110.1" customHeight="1">
      <c r="A207" s="181" t="s">
        <v>88</v>
      </c>
      <c r="B207" s="181">
        <v>150</v>
      </c>
      <c r="C207" s="181" t="s">
        <v>73</v>
      </c>
      <c r="D207" s="195" t="s">
        <v>89</v>
      </c>
      <c r="E207" s="181"/>
      <c r="F207" s="181">
        <v>1</v>
      </c>
      <c r="G207" s="181"/>
      <c r="H207" s="181"/>
    </row>
    <row r="208" spans="1:8" ht="69.95" customHeight="1">
      <c r="A208" s="181" t="s">
        <v>90</v>
      </c>
      <c r="B208" s="181">
        <v>150</v>
      </c>
      <c r="C208" s="181" t="s">
        <v>73</v>
      </c>
      <c r="D208" s="195" t="s">
        <v>91</v>
      </c>
      <c r="E208" s="182"/>
      <c r="F208" s="182">
        <v>1</v>
      </c>
      <c r="G208" s="182"/>
      <c r="H208" s="182"/>
    </row>
    <row r="209" spans="1:8" ht="69.95" customHeight="1">
      <c r="A209" s="181" t="s">
        <v>92</v>
      </c>
      <c r="B209" s="181">
        <v>150</v>
      </c>
      <c r="C209" s="181" t="s">
        <v>73</v>
      </c>
      <c r="D209" s="195" t="s">
        <v>93</v>
      </c>
      <c r="E209" s="182"/>
      <c r="F209" s="182">
        <v>2</v>
      </c>
      <c r="G209" s="186">
        <v>60000</v>
      </c>
      <c r="H209" s="186">
        <f>F209*G209</f>
        <v>120000</v>
      </c>
    </row>
    <row r="210" spans="1:8" ht="69.95" customHeight="1">
      <c r="A210" s="181" t="s">
        <v>94</v>
      </c>
      <c r="B210" s="181">
        <v>150</v>
      </c>
      <c r="C210" s="181" t="s">
        <v>73</v>
      </c>
      <c r="D210" s="195" t="s">
        <v>95</v>
      </c>
      <c r="E210" s="182"/>
      <c r="F210" s="182">
        <v>1</v>
      </c>
      <c r="G210" s="182"/>
      <c r="H210" s="182"/>
    </row>
    <row r="211" spans="1:8" ht="15" customHeight="1">
      <c r="A211" s="166"/>
      <c r="B211" s="166"/>
      <c r="C211" s="167"/>
      <c r="D211" s="166"/>
      <c r="E211" s="168"/>
      <c r="F211" s="169"/>
      <c r="G211" s="170"/>
      <c r="H211" s="185"/>
    </row>
    <row r="212" spans="1:8" ht="15" customHeight="1">
      <c r="A212" s="1477" t="s">
        <v>225</v>
      </c>
      <c r="B212" s="1478"/>
      <c r="C212" s="1478"/>
      <c r="D212" s="1478"/>
      <c r="E212" s="1478"/>
      <c r="F212" s="1478"/>
      <c r="G212" s="1478"/>
      <c r="H212" s="1479"/>
    </row>
    <row r="213" spans="1:8" ht="15" customHeight="1">
      <c r="A213" s="201"/>
      <c r="B213" s="202"/>
      <c r="C213" s="202"/>
      <c r="D213" s="202"/>
      <c r="E213" s="210"/>
      <c r="F213" s="210"/>
      <c r="G213" s="210"/>
      <c r="H213" s="211"/>
    </row>
    <row r="214" spans="1:8" ht="69.95" customHeight="1">
      <c r="A214" s="181" t="s">
        <v>168</v>
      </c>
      <c r="B214" s="181">
        <v>500</v>
      </c>
      <c r="C214" s="181" t="s">
        <v>73</v>
      </c>
      <c r="D214" s="195" t="s">
        <v>169</v>
      </c>
      <c r="E214" s="181"/>
      <c r="F214" s="181">
        <v>2</v>
      </c>
      <c r="G214" s="190">
        <v>55000</v>
      </c>
      <c r="H214" s="190">
        <f>F214*G214</f>
        <v>110000</v>
      </c>
    </row>
    <row r="215" spans="1:8" ht="15" customHeight="1">
      <c r="A215" s="204"/>
      <c r="B215" s="205"/>
      <c r="C215" s="205"/>
      <c r="D215" s="205"/>
      <c r="E215" s="217"/>
      <c r="F215" s="217"/>
      <c r="G215" s="218"/>
      <c r="H215" s="219"/>
    </row>
    <row r="216" spans="1:8" ht="15" customHeight="1">
      <c r="A216" s="204"/>
      <c r="B216" s="205"/>
      <c r="C216" s="205"/>
      <c r="D216" s="205"/>
      <c r="E216" s="217"/>
      <c r="F216" s="217"/>
      <c r="G216" s="218"/>
      <c r="H216" s="219"/>
    </row>
    <row r="217" spans="1:8" ht="15" customHeight="1">
      <c r="A217" s="1467" t="s">
        <v>96</v>
      </c>
      <c r="B217" s="1468"/>
      <c r="C217" s="1468"/>
      <c r="D217" s="1468"/>
      <c r="E217" s="1468"/>
      <c r="F217" s="1468"/>
      <c r="G217" s="1469"/>
      <c r="H217" s="1473">
        <f>SUM(H140:H216)</f>
        <v>10626500</v>
      </c>
    </row>
    <row r="218" spans="1:8" ht="15" customHeight="1">
      <c r="A218" s="1470"/>
      <c r="B218" s="1471"/>
      <c r="C218" s="1471"/>
      <c r="D218" s="1471"/>
      <c r="E218" s="1471"/>
      <c r="F218" s="1471"/>
      <c r="G218" s="1472"/>
      <c r="H218" s="1474"/>
    </row>
    <row r="221" spans="1:8" ht="15" customHeight="1">
      <c r="A221" s="221"/>
      <c r="B221" s="212"/>
      <c r="C221" s="1475" t="s">
        <v>220</v>
      </c>
      <c r="D221" s="1475"/>
      <c r="E221" s="1475"/>
      <c r="F221" s="1476"/>
      <c r="G221" s="1476"/>
      <c r="H221" s="213">
        <f>H217</f>
        <v>10626500</v>
      </c>
    </row>
    <row r="222" spans="1:8" ht="15" customHeight="1">
      <c r="A222" s="1477" t="s">
        <v>225</v>
      </c>
      <c r="B222" s="1478"/>
      <c r="C222" s="1478"/>
      <c r="D222" s="1478"/>
      <c r="E222" s="1478"/>
      <c r="F222" s="1478"/>
      <c r="G222" s="1478"/>
      <c r="H222" s="1479"/>
    </row>
    <row r="223" spans="1:8" ht="15" customHeight="1">
      <c r="A223" s="201"/>
      <c r="B223" s="202"/>
      <c r="C223" s="202"/>
      <c r="D223" s="202"/>
      <c r="E223" s="210"/>
      <c r="F223" s="210"/>
      <c r="G223" s="210"/>
      <c r="H223" s="211"/>
    </row>
    <row r="224" spans="1:8" ht="69.95" customHeight="1">
      <c r="A224" s="181" t="s">
        <v>170</v>
      </c>
      <c r="B224" s="181">
        <v>500</v>
      </c>
      <c r="C224" s="181" t="s">
        <v>73</v>
      </c>
      <c r="D224" s="195" t="s">
        <v>171</v>
      </c>
      <c r="E224" s="182"/>
      <c r="F224" s="182">
        <v>1</v>
      </c>
      <c r="G224" s="182"/>
      <c r="H224" s="182"/>
    </row>
    <row r="225" spans="1:8" ht="69.95" customHeight="1">
      <c r="A225" s="181" t="s">
        <v>172</v>
      </c>
      <c r="B225" s="181">
        <v>500</v>
      </c>
      <c r="C225" s="181"/>
      <c r="D225" s="195" t="s">
        <v>107</v>
      </c>
      <c r="E225" s="182"/>
      <c r="F225" s="182">
        <v>1</v>
      </c>
      <c r="G225" s="186">
        <f>20000</f>
        <v>20000</v>
      </c>
      <c r="H225" s="186">
        <f>F225*G225</f>
        <v>20000</v>
      </c>
    </row>
    <row r="226" spans="1:8" ht="69.95" customHeight="1">
      <c r="A226" s="181" t="s">
        <v>173</v>
      </c>
      <c r="B226" s="181">
        <v>500</v>
      </c>
      <c r="C226" s="181"/>
      <c r="D226" s="195" t="s">
        <v>174</v>
      </c>
      <c r="E226" s="182" t="s">
        <v>140</v>
      </c>
      <c r="F226" s="181">
        <v>1</v>
      </c>
      <c r="G226" s="182"/>
      <c r="H226" s="182"/>
    </row>
    <row r="227" spans="1:8" ht="15" customHeight="1"/>
    <row r="228" spans="1:8" ht="15" customHeight="1">
      <c r="A228" s="1480" t="s">
        <v>226</v>
      </c>
      <c r="B228" s="1481"/>
      <c r="C228" s="1481"/>
      <c r="D228" s="1481"/>
      <c r="E228" s="1481"/>
      <c r="F228" s="1481"/>
      <c r="G228" s="1481"/>
      <c r="H228" s="1482"/>
    </row>
    <row r="229" spans="1:8" ht="15" customHeight="1">
      <c r="A229" s="1483"/>
      <c r="B229" s="1484"/>
      <c r="C229" s="1484"/>
      <c r="D229" s="1484"/>
      <c r="E229" s="1484"/>
      <c r="F229" s="1484"/>
      <c r="G229" s="1484"/>
      <c r="H229" s="1485"/>
    </row>
    <row r="230" spans="1:8" ht="69.95" customHeight="1">
      <c r="A230" s="181" t="s">
        <v>175</v>
      </c>
      <c r="B230" s="181">
        <v>500</v>
      </c>
      <c r="C230" s="181" t="s">
        <v>73</v>
      </c>
      <c r="D230" s="181" t="s">
        <v>176</v>
      </c>
      <c r="E230" s="181"/>
      <c r="F230" s="181">
        <v>2</v>
      </c>
      <c r="G230" s="181"/>
      <c r="H230" s="181"/>
    </row>
    <row r="231" spans="1:8" ht="69.95" customHeight="1">
      <c r="A231" s="181" t="s">
        <v>177</v>
      </c>
      <c r="B231" s="181">
        <v>500</v>
      </c>
      <c r="C231" s="181" t="s">
        <v>73</v>
      </c>
      <c r="D231" s="181" t="s">
        <v>178</v>
      </c>
      <c r="E231" s="181"/>
      <c r="F231" s="181">
        <v>1</v>
      </c>
      <c r="G231" s="181"/>
      <c r="H231" s="181"/>
    </row>
    <row r="232" spans="1:8" ht="69.95" customHeight="1">
      <c r="A232" s="181" t="s">
        <v>179</v>
      </c>
      <c r="B232" s="181">
        <v>500</v>
      </c>
      <c r="C232" s="181"/>
      <c r="D232" s="181" t="s">
        <v>107</v>
      </c>
      <c r="E232" s="181"/>
      <c r="F232" s="181">
        <v>1</v>
      </c>
      <c r="G232" s="181"/>
      <c r="H232" s="181"/>
    </row>
    <row r="233" spans="1:8" ht="69.95" customHeight="1">
      <c r="A233" s="181" t="s">
        <v>180</v>
      </c>
      <c r="B233" s="181">
        <v>500</v>
      </c>
      <c r="C233" s="181"/>
      <c r="D233" s="181" t="s">
        <v>174</v>
      </c>
      <c r="E233" s="181" t="s">
        <v>140</v>
      </c>
      <c r="F233" s="181">
        <v>1</v>
      </c>
      <c r="G233" s="181"/>
      <c r="H233" s="181"/>
    </row>
    <row r="234" spans="1:8" ht="15" customHeight="1"/>
    <row r="235" spans="1:8" ht="15" customHeight="1">
      <c r="A235" s="1480" t="s">
        <v>227</v>
      </c>
      <c r="B235" s="1481"/>
      <c r="C235" s="1481"/>
      <c r="D235" s="1481"/>
      <c r="E235" s="1481"/>
      <c r="F235" s="1481"/>
      <c r="G235" s="1481"/>
      <c r="H235" s="1482"/>
    </row>
    <row r="236" spans="1:8" ht="15" customHeight="1">
      <c r="A236" s="1483"/>
      <c r="B236" s="1484"/>
      <c r="C236" s="1484"/>
      <c r="D236" s="1484"/>
      <c r="E236" s="1484"/>
      <c r="F236" s="1484"/>
      <c r="G236" s="1484"/>
      <c r="H236" s="1485"/>
    </row>
    <row r="237" spans="1:8" ht="69.95" customHeight="1">
      <c r="A237" s="181" t="s">
        <v>181</v>
      </c>
      <c r="B237" s="182">
        <v>500</v>
      </c>
      <c r="C237" s="181" t="s">
        <v>182</v>
      </c>
      <c r="D237" s="181" t="s">
        <v>183</v>
      </c>
      <c r="E237" s="182"/>
      <c r="F237" s="182">
        <v>13</v>
      </c>
      <c r="G237" s="186">
        <v>60000</v>
      </c>
      <c r="H237" s="186">
        <f>F237*G237</f>
        <v>780000</v>
      </c>
    </row>
    <row r="238" spans="1:8" ht="69.95" customHeight="1">
      <c r="A238" s="181" t="s">
        <v>184</v>
      </c>
      <c r="B238" s="182">
        <v>500</v>
      </c>
      <c r="C238" s="181" t="s">
        <v>182</v>
      </c>
      <c r="D238" s="181" t="s">
        <v>185</v>
      </c>
      <c r="E238" s="182"/>
      <c r="F238" s="182">
        <v>1</v>
      </c>
      <c r="G238" s="182"/>
      <c r="H238" s="182"/>
    </row>
    <row r="239" spans="1:8" ht="69.95" customHeight="1">
      <c r="A239" s="181" t="s">
        <v>186</v>
      </c>
      <c r="B239" s="182">
        <v>500</v>
      </c>
      <c r="C239" s="181" t="s">
        <v>182</v>
      </c>
      <c r="D239" s="181" t="s">
        <v>187</v>
      </c>
      <c r="E239" s="182"/>
      <c r="F239" s="182">
        <v>1</v>
      </c>
      <c r="G239" s="182"/>
      <c r="H239" s="182"/>
    </row>
    <row r="240" spans="1:8" ht="69.95" customHeight="1">
      <c r="A240" s="181" t="s">
        <v>188</v>
      </c>
      <c r="B240" s="182">
        <v>500</v>
      </c>
      <c r="C240" s="181" t="s">
        <v>182</v>
      </c>
      <c r="D240" s="181" t="s">
        <v>189</v>
      </c>
      <c r="E240" s="182"/>
      <c r="F240" s="182">
        <v>1</v>
      </c>
      <c r="G240" s="186">
        <v>50000</v>
      </c>
      <c r="H240" s="186">
        <f>F240*G240</f>
        <v>50000</v>
      </c>
    </row>
    <row r="241" spans="1:8" ht="15" customHeight="1">
      <c r="A241" s="219"/>
      <c r="B241" s="219"/>
      <c r="C241" s="219"/>
      <c r="D241" s="222"/>
      <c r="E241" s="219"/>
      <c r="F241" s="219"/>
      <c r="G241" s="219"/>
      <c r="H241" s="219"/>
    </row>
    <row r="242" spans="1:8" ht="15" customHeight="1">
      <c r="A242" s="177"/>
      <c r="B242" s="177"/>
      <c r="C242" s="177"/>
      <c r="D242" s="223"/>
      <c r="E242" s="177"/>
      <c r="F242" s="177"/>
      <c r="G242" s="177"/>
      <c r="H242" s="177"/>
    </row>
    <row r="243" spans="1:8" ht="15" customHeight="1">
      <c r="A243" s="178"/>
      <c r="B243" s="178"/>
      <c r="C243" s="178"/>
      <c r="D243" s="224"/>
      <c r="E243" s="178"/>
      <c r="F243" s="178"/>
      <c r="G243" s="178"/>
      <c r="H243" s="178"/>
    </row>
    <row r="244" spans="1:8" ht="15" customHeight="1">
      <c r="A244" s="1467" t="s">
        <v>96</v>
      </c>
      <c r="B244" s="1468"/>
      <c r="C244" s="1468"/>
      <c r="D244" s="1468"/>
      <c r="E244" s="1468"/>
      <c r="F244" s="1468"/>
      <c r="G244" s="1469"/>
      <c r="H244" s="1473">
        <f>SUM(H221:H243)</f>
        <v>11476500</v>
      </c>
    </row>
    <row r="245" spans="1:8" ht="20.100000000000001" customHeight="1">
      <c r="A245" s="1470"/>
      <c r="B245" s="1471"/>
      <c r="C245" s="1471"/>
      <c r="D245" s="1471"/>
      <c r="E245" s="1471"/>
      <c r="F245" s="1471"/>
      <c r="G245" s="1472"/>
      <c r="H245" s="1474"/>
    </row>
    <row r="246" spans="1:8" ht="15" customHeight="1">
      <c r="A246" s="221"/>
      <c r="B246" s="212"/>
      <c r="C246" s="1475" t="s">
        <v>220</v>
      </c>
      <c r="D246" s="1475"/>
      <c r="E246" s="1475"/>
      <c r="F246" s="1476"/>
      <c r="G246" s="1476"/>
      <c r="H246" s="213">
        <f>H244</f>
        <v>11476500</v>
      </c>
    </row>
    <row r="247" spans="1:8" ht="15" customHeight="1"/>
    <row r="248" spans="1:8" ht="15" customHeight="1">
      <c r="A248" s="1480" t="s">
        <v>227</v>
      </c>
      <c r="B248" s="1481"/>
      <c r="C248" s="1481"/>
      <c r="D248" s="1481"/>
      <c r="E248" s="1481"/>
      <c r="F248" s="1481"/>
      <c r="G248" s="1481"/>
      <c r="H248" s="1482"/>
    </row>
    <row r="249" spans="1:8" ht="15" customHeight="1">
      <c r="A249" s="1483"/>
      <c r="B249" s="1484"/>
      <c r="C249" s="1484"/>
      <c r="D249" s="1484"/>
      <c r="E249" s="1484"/>
      <c r="F249" s="1484"/>
      <c r="G249" s="1484"/>
      <c r="H249" s="1485"/>
    </row>
    <row r="250" spans="1:8" ht="69.95" customHeight="1">
      <c r="A250" s="181" t="s">
        <v>190</v>
      </c>
      <c r="B250" s="182">
        <v>500</v>
      </c>
      <c r="C250" s="181" t="s">
        <v>182</v>
      </c>
      <c r="D250" s="195" t="s">
        <v>191</v>
      </c>
      <c r="E250" s="182"/>
      <c r="F250" s="182">
        <v>1</v>
      </c>
      <c r="G250" s="186">
        <v>35000</v>
      </c>
      <c r="H250" s="186">
        <f>F250*G250</f>
        <v>35000</v>
      </c>
    </row>
    <row r="251" spans="1:8" ht="69.95" customHeight="1">
      <c r="A251" s="181" t="s">
        <v>192</v>
      </c>
      <c r="B251" s="182">
        <v>500</v>
      </c>
      <c r="C251" s="181" t="s">
        <v>182</v>
      </c>
      <c r="D251" s="195" t="s">
        <v>193</v>
      </c>
      <c r="E251" s="182"/>
      <c r="F251" s="182">
        <v>1</v>
      </c>
      <c r="G251" s="182"/>
      <c r="H251" s="182"/>
    </row>
    <row r="252" spans="1:8" ht="69.95" customHeight="1">
      <c r="A252" s="181" t="s">
        <v>192</v>
      </c>
      <c r="B252" s="182">
        <v>500</v>
      </c>
      <c r="C252" s="181" t="s">
        <v>182</v>
      </c>
      <c r="D252" s="195" t="s">
        <v>194</v>
      </c>
      <c r="E252" s="182"/>
      <c r="F252" s="182">
        <v>1</v>
      </c>
      <c r="G252" s="182"/>
      <c r="H252" s="182"/>
    </row>
    <row r="253" spans="1:8" ht="110.1" customHeight="1">
      <c r="A253" s="181" t="s">
        <v>195</v>
      </c>
      <c r="B253" s="182">
        <v>500</v>
      </c>
      <c r="C253" s="181" t="s">
        <v>182</v>
      </c>
      <c r="D253" s="195" t="s">
        <v>196</v>
      </c>
      <c r="E253" s="182"/>
      <c r="F253" s="182">
        <v>1</v>
      </c>
      <c r="G253" s="182"/>
      <c r="H253" s="182"/>
    </row>
    <row r="254" spans="1:8" ht="110.1" customHeight="1">
      <c r="A254" s="181" t="s">
        <v>197</v>
      </c>
      <c r="B254" s="182">
        <v>500</v>
      </c>
      <c r="C254" s="181" t="s">
        <v>182</v>
      </c>
      <c r="D254" s="195" t="s">
        <v>198</v>
      </c>
      <c r="E254" s="182"/>
      <c r="F254" s="182">
        <v>1</v>
      </c>
      <c r="G254" s="186">
        <v>55000</v>
      </c>
      <c r="H254" s="186">
        <f>F254*G254</f>
        <v>55000</v>
      </c>
    </row>
    <row r="255" spans="1:8" ht="110.1" customHeight="1">
      <c r="A255" s="181" t="s">
        <v>199</v>
      </c>
      <c r="B255" s="182">
        <v>500</v>
      </c>
      <c r="C255" s="181" t="s">
        <v>182</v>
      </c>
      <c r="D255" s="195" t="s">
        <v>200</v>
      </c>
      <c r="E255" s="182"/>
      <c r="F255" s="182">
        <v>1</v>
      </c>
      <c r="G255" s="182"/>
      <c r="H255" s="182"/>
    </row>
    <row r="256" spans="1:8" ht="69.95" customHeight="1">
      <c r="A256" s="181" t="s">
        <v>201</v>
      </c>
      <c r="B256" s="182">
        <v>500</v>
      </c>
      <c r="C256" s="181" t="s">
        <v>182</v>
      </c>
      <c r="D256" s="195" t="s">
        <v>202</v>
      </c>
      <c r="E256" s="182"/>
      <c r="F256" s="182">
        <v>1</v>
      </c>
      <c r="G256" s="186">
        <v>60000</v>
      </c>
      <c r="H256" s="186">
        <f>F256*G256</f>
        <v>60000</v>
      </c>
    </row>
    <row r="257" spans="1:8" ht="69.95" customHeight="1">
      <c r="A257" s="181" t="s">
        <v>203</v>
      </c>
      <c r="B257" s="182">
        <v>500</v>
      </c>
      <c r="C257" s="181"/>
      <c r="D257" s="195" t="s">
        <v>107</v>
      </c>
      <c r="E257" s="182"/>
      <c r="F257" s="182">
        <v>1</v>
      </c>
      <c r="G257" s="186">
        <v>20000</v>
      </c>
      <c r="H257" s="186">
        <f>F257*G257</f>
        <v>20000</v>
      </c>
    </row>
    <row r="258" spans="1:8" ht="15" customHeight="1"/>
    <row r="259" spans="1:8" ht="15" customHeight="1">
      <c r="A259" s="1480" t="s">
        <v>228</v>
      </c>
      <c r="B259" s="1481"/>
      <c r="C259" s="1481"/>
      <c r="D259" s="1481"/>
      <c r="E259" s="1481"/>
      <c r="F259" s="1481"/>
      <c r="G259" s="1481"/>
      <c r="H259" s="1482"/>
    </row>
    <row r="260" spans="1:8" ht="15" customHeight="1">
      <c r="A260" s="1483"/>
      <c r="B260" s="1484"/>
      <c r="C260" s="1484"/>
      <c r="D260" s="1484"/>
      <c r="E260" s="1484"/>
      <c r="F260" s="1484"/>
      <c r="G260" s="1484"/>
      <c r="H260" s="1485"/>
    </row>
    <row r="261" spans="1:8" ht="69.95" customHeight="1">
      <c r="A261" s="181" t="s">
        <v>204</v>
      </c>
      <c r="B261" s="182">
        <v>600</v>
      </c>
      <c r="C261" s="181" t="s">
        <v>205</v>
      </c>
      <c r="D261" s="181" t="s">
        <v>206</v>
      </c>
      <c r="E261" s="182"/>
      <c r="F261" s="182">
        <v>15</v>
      </c>
      <c r="G261" s="186">
        <v>70000</v>
      </c>
      <c r="H261" s="186">
        <f>F261*G261</f>
        <v>1050000</v>
      </c>
    </row>
    <row r="262" spans="1:8" ht="69.95" customHeight="1">
      <c r="A262" s="181" t="s">
        <v>207</v>
      </c>
      <c r="B262" s="182">
        <v>600</v>
      </c>
      <c r="C262" s="181" t="s">
        <v>205</v>
      </c>
      <c r="D262" s="197" t="s">
        <v>208</v>
      </c>
      <c r="E262" s="182"/>
      <c r="F262" s="182">
        <v>1</v>
      </c>
      <c r="G262" s="186">
        <v>60000</v>
      </c>
      <c r="H262" s="186">
        <f>F262*G262</f>
        <v>60000</v>
      </c>
    </row>
    <row r="263" spans="1:8" ht="15" customHeight="1">
      <c r="A263" s="225"/>
      <c r="B263" s="175"/>
      <c r="C263" s="225"/>
      <c r="D263" s="225"/>
      <c r="E263" s="175"/>
      <c r="F263" s="175"/>
      <c r="G263" s="226"/>
      <c r="H263" s="226"/>
    </row>
    <row r="264" spans="1:8" ht="15" customHeight="1">
      <c r="A264" s="225"/>
      <c r="B264" s="175"/>
      <c r="C264" s="225"/>
      <c r="D264" s="225"/>
      <c r="E264" s="175"/>
      <c r="F264" s="175"/>
      <c r="G264" s="226"/>
      <c r="H264" s="226"/>
    </row>
    <row r="265" spans="1:8" ht="15" customHeight="1">
      <c r="A265" s="227"/>
      <c r="B265" s="175"/>
      <c r="C265" s="225"/>
      <c r="D265" s="225"/>
      <c r="E265" s="175"/>
      <c r="F265" s="175"/>
      <c r="G265" s="226"/>
      <c r="H265" s="226"/>
    </row>
    <row r="266" spans="1:8" ht="15" customHeight="1">
      <c r="A266" s="1467" t="s">
        <v>96</v>
      </c>
      <c r="B266" s="1468"/>
      <c r="C266" s="1468"/>
      <c r="D266" s="1468"/>
      <c r="E266" s="1468"/>
      <c r="F266" s="1468"/>
      <c r="G266" s="1469"/>
      <c r="H266" s="1473">
        <f>SUM(H246:H265)</f>
        <v>12756500</v>
      </c>
    </row>
    <row r="267" spans="1:8" ht="15" customHeight="1">
      <c r="A267" s="1470"/>
      <c r="B267" s="1471"/>
      <c r="C267" s="1471"/>
      <c r="D267" s="1471"/>
      <c r="E267" s="1471"/>
      <c r="F267" s="1471"/>
      <c r="G267" s="1472"/>
      <c r="H267" s="1474"/>
    </row>
    <row r="268" spans="1:8" ht="15" customHeight="1">
      <c r="A268" s="221"/>
      <c r="B268" s="212"/>
      <c r="C268" s="1475" t="s">
        <v>220</v>
      </c>
      <c r="D268" s="1475"/>
      <c r="E268" s="1475"/>
      <c r="F268" s="1476"/>
      <c r="G268" s="1476"/>
      <c r="H268" s="213">
        <f>H266</f>
        <v>12756500</v>
      </c>
    </row>
    <row r="269" spans="1:8" ht="15" customHeight="1">
      <c r="A269" s="181"/>
      <c r="B269" s="182"/>
      <c r="C269" s="181"/>
      <c r="D269" s="181"/>
      <c r="E269" s="182"/>
      <c r="F269" s="182"/>
      <c r="G269" s="220"/>
      <c r="H269" s="220"/>
    </row>
    <row r="270" spans="1:8" ht="69.95" customHeight="1">
      <c r="A270" s="181" t="s">
        <v>209</v>
      </c>
      <c r="B270" s="182">
        <v>600</v>
      </c>
      <c r="C270" s="181" t="s">
        <v>205</v>
      </c>
      <c r="D270" s="181" t="s">
        <v>210</v>
      </c>
      <c r="E270" s="182"/>
      <c r="F270" s="182">
        <v>1</v>
      </c>
      <c r="G270" s="186">
        <v>50000</v>
      </c>
      <c r="H270" s="186">
        <f>F270*G270</f>
        <v>50000</v>
      </c>
    </row>
    <row r="271" spans="1:8" ht="69.95" customHeight="1">
      <c r="A271" s="181" t="s">
        <v>211</v>
      </c>
      <c r="B271" s="182">
        <v>600</v>
      </c>
      <c r="C271" s="181" t="s">
        <v>205</v>
      </c>
      <c r="D271" s="181" t="s">
        <v>212</v>
      </c>
      <c r="E271" s="182"/>
      <c r="F271" s="182">
        <v>1</v>
      </c>
      <c r="G271" s="182">
        <v>60000</v>
      </c>
      <c r="H271" s="186">
        <f>F271*G271</f>
        <v>60000</v>
      </c>
    </row>
    <row r="272" spans="1:8" ht="69.95" customHeight="1">
      <c r="A272" s="181" t="s">
        <v>213</v>
      </c>
      <c r="B272" s="182">
        <v>600</v>
      </c>
      <c r="C272" s="181" t="s">
        <v>205</v>
      </c>
      <c r="D272" s="181" t="s">
        <v>214</v>
      </c>
      <c r="E272" s="182"/>
      <c r="F272" s="182">
        <v>1</v>
      </c>
      <c r="G272" s="182"/>
      <c r="H272" s="182"/>
    </row>
    <row r="273" spans="1:8" ht="110.1" customHeight="1">
      <c r="A273" s="181" t="s">
        <v>215</v>
      </c>
      <c r="B273" s="182">
        <v>600</v>
      </c>
      <c r="C273" s="181" t="s">
        <v>205</v>
      </c>
      <c r="D273" s="195" t="s">
        <v>216</v>
      </c>
      <c r="E273" s="182"/>
      <c r="F273" s="182">
        <v>1</v>
      </c>
      <c r="G273" s="186"/>
      <c r="H273" s="186">
        <f>F273*G273</f>
        <v>0</v>
      </c>
    </row>
    <row r="274" spans="1:8" ht="69.95" customHeight="1">
      <c r="A274" s="181" t="s">
        <v>217</v>
      </c>
      <c r="B274" s="182">
        <v>600</v>
      </c>
      <c r="C274" s="181" t="s">
        <v>205</v>
      </c>
      <c r="D274" s="195" t="s">
        <v>218</v>
      </c>
      <c r="E274" s="182"/>
      <c r="F274" s="182">
        <v>1</v>
      </c>
      <c r="G274" s="186">
        <v>45000</v>
      </c>
      <c r="H274" s="186">
        <f>F274*G274</f>
        <v>45000</v>
      </c>
    </row>
    <row r="275" spans="1:8" ht="69.95" customHeight="1">
      <c r="A275" s="181" t="s">
        <v>219</v>
      </c>
      <c r="B275" s="182">
        <v>600</v>
      </c>
      <c r="C275" s="181"/>
      <c r="D275" s="195" t="s">
        <v>107</v>
      </c>
      <c r="E275" s="182"/>
      <c r="F275" s="182">
        <v>1</v>
      </c>
      <c r="G275" s="186">
        <v>25000</v>
      </c>
      <c r="H275" s="186">
        <f>F275*G275</f>
        <v>25000</v>
      </c>
    </row>
    <row r="276" spans="1:8" ht="15" customHeight="1">
      <c r="A276" s="204"/>
      <c r="B276" s="229"/>
      <c r="C276" s="204"/>
      <c r="D276" s="204"/>
      <c r="E276" s="229"/>
      <c r="F276" s="229"/>
      <c r="G276" s="229"/>
      <c r="H276" s="194"/>
    </row>
    <row r="277" spans="1:8" ht="15" customHeight="1">
      <c r="A277" s="1063"/>
      <c r="B277" s="1098"/>
      <c r="C277" s="1063"/>
      <c r="D277" s="1063"/>
      <c r="E277" s="1098"/>
      <c r="F277" s="1098"/>
      <c r="G277" s="1098"/>
      <c r="H277" s="175"/>
    </row>
    <row r="278" spans="1:8" ht="15" customHeight="1">
      <c r="A278" s="1063"/>
      <c r="B278" s="1098"/>
      <c r="C278" s="1063"/>
      <c r="D278" s="1063"/>
      <c r="E278" s="1098"/>
      <c r="F278" s="1098"/>
      <c r="G278" s="1098"/>
      <c r="H278" s="175"/>
    </row>
    <row r="279" spans="1:8" ht="15" customHeight="1">
      <c r="A279" s="1063"/>
      <c r="B279" s="1098"/>
      <c r="C279" s="1063"/>
      <c r="D279" s="1063"/>
      <c r="E279" s="1098"/>
      <c r="F279" s="1098"/>
      <c r="G279" s="1098"/>
      <c r="H279" s="175"/>
    </row>
    <row r="280" spans="1:8" ht="15" customHeight="1">
      <c r="A280" s="1063"/>
      <c r="B280" s="1098"/>
      <c r="C280" s="1063"/>
      <c r="D280" s="1063"/>
      <c r="E280" s="1098"/>
      <c r="F280" s="1098"/>
      <c r="G280" s="1098"/>
      <c r="H280" s="175"/>
    </row>
    <row r="281" spans="1:8" ht="15" customHeight="1">
      <c r="A281" s="1063"/>
      <c r="B281" s="1098"/>
      <c r="C281" s="1063"/>
      <c r="D281" s="1063"/>
      <c r="E281" s="1098"/>
      <c r="F281" s="1098"/>
      <c r="G281" s="1098"/>
      <c r="H281" s="175"/>
    </row>
    <row r="282" spans="1:8" ht="15" customHeight="1">
      <c r="A282" s="1063"/>
      <c r="B282" s="1098"/>
      <c r="C282" s="1063"/>
      <c r="D282" s="1063"/>
      <c r="E282" s="1098"/>
      <c r="F282" s="1098"/>
      <c r="G282" s="1098"/>
      <c r="H282" s="175"/>
    </row>
    <row r="283" spans="1:8" ht="15" customHeight="1">
      <c r="A283" s="1063"/>
      <c r="B283" s="1098"/>
      <c r="C283" s="1063"/>
      <c r="D283" s="1063"/>
      <c r="E283" s="1098"/>
      <c r="F283" s="1098"/>
      <c r="G283" s="1098"/>
      <c r="H283" s="175"/>
    </row>
    <row r="284" spans="1:8" ht="15" customHeight="1">
      <c r="A284" s="1063"/>
      <c r="B284" s="1098"/>
      <c r="C284" s="1063"/>
      <c r="D284" s="1063"/>
      <c r="E284" s="1098"/>
      <c r="F284" s="1098"/>
      <c r="G284" s="1098"/>
      <c r="H284" s="175"/>
    </row>
    <row r="285" spans="1:8" ht="15" customHeight="1">
      <c r="A285" s="1063"/>
      <c r="B285" s="1098"/>
      <c r="C285" s="1063"/>
      <c r="D285" s="1063"/>
      <c r="E285" s="1098"/>
      <c r="F285" s="1098"/>
      <c r="G285" s="1098"/>
      <c r="H285" s="175"/>
    </row>
    <row r="286" spans="1:8" ht="15" customHeight="1">
      <c r="A286" s="1063"/>
      <c r="B286" s="1098"/>
      <c r="C286" s="1063"/>
      <c r="D286" s="1063"/>
      <c r="E286" s="1098"/>
      <c r="F286" s="1098"/>
      <c r="G286" s="1098"/>
      <c r="H286" s="175"/>
    </row>
    <row r="287" spans="1:8" ht="15" customHeight="1">
      <c r="A287" s="1063"/>
      <c r="B287" s="1098"/>
      <c r="C287" s="1063"/>
      <c r="D287" s="1063"/>
      <c r="E287" s="1098"/>
      <c r="F287" s="1098"/>
      <c r="G287" s="1098"/>
      <c r="H287" s="175"/>
    </row>
    <row r="288" spans="1:8" ht="15" customHeight="1">
      <c r="A288" s="1063"/>
      <c r="B288" s="1098"/>
      <c r="C288" s="1063"/>
      <c r="D288" s="1063"/>
      <c r="E288" s="1098"/>
      <c r="F288" s="1098"/>
      <c r="G288" s="1098"/>
      <c r="H288" s="175"/>
    </row>
    <row r="289" spans="1:8" ht="15" customHeight="1">
      <c r="A289" s="1063"/>
      <c r="B289" s="1098"/>
      <c r="C289" s="1063"/>
      <c r="D289" s="1063"/>
      <c r="E289" s="1098"/>
      <c r="F289" s="1098"/>
      <c r="G289" s="1098"/>
      <c r="H289" s="175"/>
    </row>
    <row r="290" spans="1:8" ht="15" customHeight="1">
      <c r="A290" s="1063"/>
      <c r="B290" s="1098"/>
      <c r="C290" s="1063"/>
      <c r="D290" s="1063"/>
      <c r="E290" s="1098"/>
      <c r="F290" s="1098"/>
      <c r="G290" s="1098"/>
      <c r="H290" s="175"/>
    </row>
    <row r="291" spans="1:8" ht="15" customHeight="1">
      <c r="A291" s="1063"/>
      <c r="B291" s="1098"/>
      <c r="C291" s="1063"/>
      <c r="D291" s="1063"/>
      <c r="E291" s="1098"/>
      <c r="F291" s="1098"/>
      <c r="G291" s="1098"/>
      <c r="H291" s="175"/>
    </row>
    <row r="292" spans="1:8" ht="15" customHeight="1">
      <c r="A292" s="1063"/>
      <c r="B292" s="1098"/>
      <c r="C292" s="1063"/>
      <c r="D292" s="1063"/>
      <c r="E292" s="1098"/>
      <c r="F292" s="1098"/>
      <c r="G292" s="1098"/>
      <c r="H292" s="175"/>
    </row>
    <row r="293" spans="1:8" ht="15" customHeight="1">
      <c r="A293" s="1063"/>
      <c r="B293" s="1098"/>
      <c r="C293" s="1063"/>
      <c r="D293" s="1063"/>
      <c r="E293" s="1098"/>
      <c r="F293" s="1098"/>
      <c r="G293" s="1098"/>
      <c r="H293" s="175"/>
    </row>
    <row r="294" spans="1:8" ht="15" customHeight="1">
      <c r="A294" s="1063"/>
      <c r="B294" s="1098"/>
      <c r="C294" s="1063"/>
      <c r="D294" s="1063"/>
      <c r="E294" s="1098"/>
      <c r="F294" s="1098"/>
      <c r="G294" s="1098"/>
      <c r="H294" s="175"/>
    </row>
    <row r="295" spans="1:8" ht="15" customHeight="1">
      <c r="A295" s="1063"/>
      <c r="B295" s="1098"/>
      <c r="C295" s="1063"/>
      <c r="D295" s="1063"/>
      <c r="E295" s="1098"/>
      <c r="F295" s="1098"/>
      <c r="G295" s="1098"/>
      <c r="H295" s="175"/>
    </row>
    <row r="296" spans="1:8" ht="15" customHeight="1">
      <c r="A296" s="1063"/>
      <c r="B296" s="1098"/>
      <c r="C296" s="1063"/>
      <c r="D296" s="1063"/>
      <c r="E296" s="1098"/>
      <c r="F296" s="1098"/>
      <c r="G296" s="1098"/>
      <c r="H296" s="175"/>
    </row>
    <row r="297" spans="1:8" ht="15" customHeight="1">
      <c r="A297" s="1063"/>
      <c r="B297" s="1098"/>
      <c r="C297" s="1063"/>
      <c r="D297" s="1063"/>
      <c r="E297" s="1098"/>
      <c r="F297" s="1098"/>
      <c r="G297" s="1098"/>
      <c r="H297" s="175"/>
    </row>
    <row r="298" spans="1:8" ht="15" customHeight="1">
      <c r="A298" s="1063"/>
      <c r="B298" s="1098"/>
      <c r="C298" s="1063"/>
      <c r="D298" s="1063"/>
      <c r="E298" s="1098"/>
      <c r="F298" s="1098"/>
      <c r="G298" s="1098"/>
      <c r="H298" s="175"/>
    </row>
    <row r="299" spans="1:8" ht="15" customHeight="1">
      <c r="A299" s="1063"/>
      <c r="B299" s="1098"/>
      <c r="C299" s="1063"/>
      <c r="D299" s="1063"/>
      <c r="E299" s="1098"/>
      <c r="F299" s="1098"/>
      <c r="G299" s="1098"/>
      <c r="H299" s="175"/>
    </row>
    <row r="300" spans="1:8" ht="15" customHeight="1">
      <c r="A300" s="1063"/>
      <c r="B300" s="1098"/>
      <c r="C300" s="1063"/>
      <c r="D300" s="1063"/>
      <c r="E300" s="1098"/>
      <c r="F300" s="1098"/>
      <c r="G300" s="1098"/>
      <c r="H300" s="175"/>
    </row>
    <row r="301" spans="1:8" ht="15" customHeight="1">
      <c r="A301" s="1063"/>
      <c r="B301" s="1098"/>
      <c r="C301" s="1063"/>
      <c r="D301" s="1063"/>
      <c r="E301" s="1098"/>
      <c r="F301" s="1098"/>
      <c r="G301" s="1098"/>
      <c r="H301" s="175"/>
    </row>
    <row r="302" spans="1:8" ht="15" customHeight="1">
      <c r="A302" s="1063"/>
      <c r="B302" s="1098"/>
      <c r="C302" s="1063"/>
      <c r="D302" s="1063"/>
      <c r="E302" s="1098"/>
      <c r="F302" s="1098"/>
      <c r="G302" s="1098"/>
      <c r="H302" s="175"/>
    </row>
    <row r="303" spans="1:8" ht="15" customHeight="1">
      <c r="A303" s="1063"/>
      <c r="B303" s="1098"/>
      <c r="C303" s="1063"/>
      <c r="D303" s="1063"/>
      <c r="E303" s="1098"/>
      <c r="F303" s="1098"/>
      <c r="G303" s="1098"/>
      <c r="H303" s="175"/>
    </row>
    <row r="304" spans="1:8" ht="15" customHeight="1">
      <c r="A304" s="1063"/>
      <c r="B304" s="1098"/>
      <c r="C304" s="1063"/>
      <c r="D304" s="1063"/>
      <c r="E304" s="1098"/>
      <c r="F304" s="1098"/>
      <c r="G304" s="1098"/>
      <c r="H304" s="175"/>
    </row>
    <row r="305" spans="1:9" ht="15" customHeight="1">
      <c r="A305" s="1063"/>
      <c r="B305" s="1098"/>
      <c r="C305" s="1063"/>
      <c r="D305" s="1063"/>
      <c r="E305" s="1098"/>
      <c r="F305" s="1098"/>
      <c r="G305" s="1098"/>
      <c r="H305" s="175"/>
    </row>
    <row r="306" spans="1:9" ht="15" customHeight="1">
      <c r="A306" s="1063"/>
      <c r="B306" s="1098"/>
      <c r="C306" s="1063"/>
      <c r="D306" s="1063"/>
      <c r="E306" s="1098"/>
      <c r="F306" s="1098"/>
      <c r="G306" s="1098"/>
      <c r="H306" s="175"/>
    </row>
    <row r="307" spans="1:9" ht="15" customHeight="1">
      <c r="A307" s="228"/>
      <c r="B307" s="230"/>
      <c r="C307" s="228"/>
      <c r="D307" s="228"/>
      <c r="E307" s="230"/>
      <c r="F307" s="230"/>
      <c r="G307" s="230"/>
      <c r="H307" s="231"/>
    </row>
    <row r="308" spans="1:9" ht="15" customHeight="1">
      <c r="A308" s="1463" t="s">
        <v>229</v>
      </c>
      <c r="B308" s="1463"/>
      <c r="C308" s="1463"/>
      <c r="D308" s="1463"/>
      <c r="E308" s="1463"/>
      <c r="F308" s="1463"/>
      <c r="G308" s="1463"/>
      <c r="H308" s="1464">
        <f>SUM(H268:H307)</f>
        <v>12936500</v>
      </c>
    </row>
    <row r="309" spans="1:9" ht="15" customHeight="1">
      <c r="A309" s="1463"/>
      <c r="B309" s="1463"/>
      <c r="C309" s="1463"/>
      <c r="D309" s="1463"/>
      <c r="E309" s="1463"/>
      <c r="F309" s="1463"/>
      <c r="G309" s="1463"/>
      <c r="H309" s="1465"/>
    </row>
    <row r="310" spans="1:9" s="171" customFormat="1">
      <c r="I310" s="233"/>
    </row>
    <row r="311" spans="1:9" s="171" customFormat="1">
      <c r="I311" s="233"/>
    </row>
    <row r="312" spans="1:9" ht="90" customHeight="1"/>
    <row r="313" spans="1:9" ht="90" customHeight="1"/>
    <row r="314" spans="1:9" ht="90" customHeight="1"/>
  </sheetData>
  <mergeCells count="54">
    <mergeCell ref="A259:H259"/>
    <mergeCell ref="A260:H260"/>
    <mergeCell ref="A266:G267"/>
    <mergeCell ref="H266:H267"/>
    <mergeCell ref="A308:G309"/>
    <mergeCell ref="H308:H309"/>
    <mergeCell ref="C268:E268"/>
    <mergeCell ref="F268:G268"/>
    <mergeCell ref="H217:H218"/>
    <mergeCell ref="A228:H228"/>
    <mergeCell ref="A235:H235"/>
    <mergeCell ref="A229:H229"/>
    <mergeCell ref="A142:H142"/>
    <mergeCell ref="A204:H204"/>
    <mergeCell ref="A212:H212"/>
    <mergeCell ref="A222:H222"/>
    <mergeCell ref="C221:E221"/>
    <mergeCell ref="F221:G221"/>
    <mergeCell ref="A217:G218"/>
    <mergeCell ref="A200:G201"/>
    <mergeCell ref="H200:H201"/>
    <mergeCell ref="C202:E202"/>
    <mergeCell ref="F202:G202"/>
    <mergeCell ref="C1:H1"/>
    <mergeCell ref="C2:H2"/>
    <mergeCell ref="E4:H4"/>
    <mergeCell ref="C5:H5"/>
    <mergeCell ref="A99:G100"/>
    <mergeCell ref="A73:H73"/>
    <mergeCell ref="A78:H78"/>
    <mergeCell ref="H99:H100"/>
    <mergeCell ref="A14:G15"/>
    <mergeCell ref="H14:H15"/>
    <mergeCell ref="C71:E71"/>
    <mergeCell ref="F71:G71"/>
    <mergeCell ref="A248:H248"/>
    <mergeCell ref="A249:H249"/>
    <mergeCell ref="A236:H236"/>
    <mergeCell ref="A244:G245"/>
    <mergeCell ref="H244:H245"/>
    <mergeCell ref="C246:E246"/>
    <mergeCell ref="F246:G246"/>
    <mergeCell ref="C140:E140"/>
    <mergeCell ref="F140:G140"/>
    <mergeCell ref="A138:G139"/>
    <mergeCell ref="H138:H139"/>
    <mergeCell ref="C101:E101"/>
    <mergeCell ref="A103:H103"/>
    <mergeCell ref="A120:H120"/>
    <mergeCell ref="F101:G101"/>
    <mergeCell ref="A116:G117"/>
    <mergeCell ref="H116:H117"/>
    <mergeCell ref="C118:E118"/>
    <mergeCell ref="F118:G118"/>
  </mergeCells>
  <phoneticPr fontId="38" type="noConversion"/>
  <pageMargins left="0.70866141732283472" right="0.70866141732283472" top="0.74803149606299213" bottom="0.74803149606299213" header="0.31496062992125984" footer="0.31496062992125984"/>
  <pageSetup paperSize="9" scale="70"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7C29AFFF5411245A25022497C2A053D" ma:contentTypeVersion="2" ma:contentTypeDescription="Create a new document." ma:contentTypeScope="" ma:versionID="cb37ef08d28cc4054eec640bf21e53d6">
  <xsd:schema xmlns:xsd="http://www.w3.org/2001/XMLSchema" xmlns:xs="http://www.w3.org/2001/XMLSchema" xmlns:p="http://schemas.microsoft.com/office/2006/metadata/properties" xmlns:ns2="cd905fbf-ab9e-4054-b722-a1ddc83fcf75" targetNamespace="http://schemas.microsoft.com/office/2006/metadata/properties" ma:root="true" ma:fieldsID="b2a329b1edec8c37ff87e5f80262328a" ns2:_="">
    <xsd:import namespace="cd905fbf-ab9e-4054-b722-a1ddc83fcf75"/>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905fbf-ab9e-4054-b722-a1ddc83fcf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0A02A6F-9CFC-42F0-9EE9-18EE1E3986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905fbf-ab9e-4054-b722-a1ddc83fcf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1F4A5AB-CD09-4FB0-8684-D8F9FFED5538}">
  <ds:schemaRefs>
    <ds:schemaRef ds:uri="http://schemas.microsoft.com/sharepoint/v3/contenttype/forms"/>
  </ds:schemaRefs>
</ds:datastoreItem>
</file>

<file path=customXml/itemProps3.xml><?xml version="1.0" encoding="utf-8"?>
<ds:datastoreItem xmlns:ds="http://schemas.openxmlformats.org/officeDocument/2006/customXml" ds:itemID="{01FA5634-DDB4-4E8F-83B3-AB009ED5D4B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40</vt:i4>
      </vt:variant>
    </vt:vector>
  </HeadingPairs>
  <TitlesOfParts>
    <vt:vector size="64" baseType="lpstr">
      <vt:lpstr>Summary Sheet(OLD)</vt:lpstr>
      <vt:lpstr>Fee Calc</vt:lpstr>
      <vt:lpstr>PS - SCOUR PIPE DETAIL</vt:lpstr>
      <vt:lpstr>PS - OVERFLOW PIPING</vt:lpstr>
      <vt:lpstr>PS- DRAIN PIPING</vt:lpstr>
      <vt:lpstr>PS- VALVE BUILDING</vt:lpstr>
      <vt:lpstr>PS- SCOURBOX </vt:lpstr>
      <vt:lpstr>PS - FLOW CHAMBERS</vt:lpstr>
      <vt:lpstr>Pipe Schedule00</vt:lpstr>
      <vt:lpstr>Pipe Schedule</vt:lpstr>
      <vt:lpstr>1. P&amp;G</vt:lpstr>
      <vt:lpstr>Master Rates</vt:lpstr>
      <vt:lpstr>2. Site Prep &amp; Fencing </vt:lpstr>
      <vt:lpstr>3. Roads &amp; Stormwater</vt:lpstr>
      <vt:lpstr>4.Reservoir</vt:lpstr>
      <vt:lpstr>6.Interconnecting Pipework (2)</vt:lpstr>
      <vt:lpstr>5.Chambers &amp; Boxes</vt:lpstr>
      <vt:lpstr>6.Interconnecting Pipework</vt:lpstr>
      <vt:lpstr>7. Guard House</vt:lpstr>
      <vt:lpstr>8. Telemetry Hut</vt:lpstr>
      <vt:lpstr>9. Valve Building</vt:lpstr>
      <vt:lpstr>10. ElectricaI and C&amp;I</vt:lpstr>
      <vt:lpstr>Summary</vt:lpstr>
      <vt:lpstr>Sheet1</vt:lpstr>
      <vt:lpstr>'1. P&amp;G'!Print_Area</vt:lpstr>
      <vt:lpstr>'10. ElectricaI and C&amp;I'!Print_Area</vt:lpstr>
      <vt:lpstr>'2. Site Prep &amp; Fencing '!Print_Area</vt:lpstr>
      <vt:lpstr>'3. Roads &amp; Stormwater'!Print_Area</vt:lpstr>
      <vt:lpstr>'4.Reservoir'!Print_Area</vt:lpstr>
      <vt:lpstr>'5.Chambers &amp; Boxes'!Print_Area</vt:lpstr>
      <vt:lpstr>'6.Interconnecting Pipework'!Print_Area</vt:lpstr>
      <vt:lpstr>'6.Interconnecting Pipework (2)'!Print_Area</vt:lpstr>
      <vt:lpstr>'7. Guard House'!Print_Area</vt:lpstr>
      <vt:lpstr>'8. Telemetry Hut'!Print_Area</vt:lpstr>
      <vt:lpstr>'9. Valve Building'!Print_Area</vt:lpstr>
      <vt:lpstr>'Pipe Schedule'!Print_Area</vt:lpstr>
      <vt:lpstr>'Pipe Schedule00'!Print_Area</vt:lpstr>
      <vt:lpstr>'PS - FLOW CHAMBERS'!Print_Area</vt:lpstr>
      <vt:lpstr>'PS - OVERFLOW PIPING'!Print_Area</vt:lpstr>
      <vt:lpstr>'PS - SCOUR PIPE DETAIL'!Print_Area</vt:lpstr>
      <vt:lpstr>'PS- DRAIN PIPING'!Print_Area</vt:lpstr>
      <vt:lpstr>'PS- SCOURBOX '!Print_Area</vt:lpstr>
      <vt:lpstr>'PS- VALVE BUILDING'!Print_Area</vt:lpstr>
      <vt:lpstr>Summary!Print_Area</vt:lpstr>
      <vt:lpstr>'1. P&amp;G'!Print_Titles</vt:lpstr>
      <vt:lpstr>'10. ElectricaI and C&amp;I'!Print_Titles</vt:lpstr>
      <vt:lpstr>'2. Site Prep &amp; Fencing '!Print_Titles</vt:lpstr>
      <vt:lpstr>'3. Roads &amp; Stormwater'!Print_Titles</vt:lpstr>
      <vt:lpstr>'4.Reservoir'!Print_Titles</vt:lpstr>
      <vt:lpstr>'5.Chambers &amp; Boxes'!Print_Titles</vt:lpstr>
      <vt:lpstr>'6.Interconnecting Pipework'!Print_Titles</vt:lpstr>
      <vt:lpstr>'6.Interconnecting Pipework (2)'!Print_Titles</vt:lpstr>
      <vt:lpstr>'7. Guard House'!Print_Titles</vt:lpstr>
      <vt:lpstr>'8. Telemetry Hut'!Print_Titles</vt:lpstr>
      <vt:lpstr>'9. Valve Building'!Print_Titles</vt:lpstr>
      <vt:lpstr>'Pipe Schedule'!Print_Titles</vt:lpstr>
      <vt:lpstr>'Pipe Schedule00'!Print_Titles</vt:lpstr>
      <vt:lpstr>'PS - FLOW CHAMBERS'!Print_Titles</vt:lpstr>
      <vt:lpstr>'PS - OVERFLOW PIPING'!Print_Titles</vt:lpstr>
      <vt:lpstr>'PS - SCOUR PIPE DETAIL'!Print_Titles</vt:lpstr>
      <vt:lpstr>'PS- DRAIN PIPING'!Print_Titles</vt:lpstr>
      <vt:lpstr>'PS- SCOURBOX '!Print_Titles</vt:lpstr>
      <vt:lpstr>'PS- VALVE BUILDING'!Print_Titles</vt:lpstr>
      <vt:lpstr>Summary!Print_Titles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Carlswald 20ML Reservoir BOQ</dc:title>
  <dc:subject/>
  <dc:creator>Sehlodi Mamogobo</dc:creator>
  <cp:keywords>13214</cp:keywords>
  <dc:description/>
  <cp:lastModifiedBy>Gcina Ndela</cp:lastModifiedBy>
  <cp:revision/>
  <cp:lastPrinted>2023-09-26T14:11:27Z</cp:lastPrinted>
  <dcterms:created xsi:type="dcterms:W3CDTF">2020-09-29T12:54:56Z</dcterms:created>
  <dcterms:modified xsi:type="dcterms:W3CDTF">2023-09-29T07:08:55Z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0x01010037C29AFFF5411245A25022497C2A053D</vt:lpwstr>
  </property>
</Properties>
</file>